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8800" windowHeight="12300" tabRatio="825"/>
  </bookViews>
  <sheets>
    <sheet name="Lead " sheetId="36" r:id="rId1"/>
    <sheet name="Summary" sheetId="34" r:id="rId2"/>
    <sheet name="Sales &amp; Revenue Adj." sheetId="2" r:id="rId3"/>
    <sheet name="Temp Adj. by Schedule" sheetId="28" r:id="rId4"/>
    <sheet name="Normalized TotalUsage" sheetId="33" r:id="rId5"/>
    <sheet name="Actual Total Usage" sheetId="6" r:id="rId6"/>
    <sheet name="SAP BW Actual Usage" sheetId="16" r:id="rId7"/>
    <sheet name="System Model " sheetId="3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[1]ConsolidatingPL!#REF!</definedName>
    <definedName name="__123Graph_ECURRENT" localSheetId="1" hidden="1">[1]ConsolidatingPL!#REF!</definedName>
    <definedName name="__123Graph_ECURRENT" localSheetId="7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7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1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1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7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1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1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1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1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1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1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1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1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1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1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'SAP BW Actual Usage'!$A$1:$O$24</definedName>
    <definedName name="_xlnm.Print_Area" localSheetId="1">Summary!$A$1:$F$40</definedName>
    <definedName name="q" localSheetId="0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1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1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7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6" l="1"/>
  <c r="E38" i="36"/>
  <c r="E37" i="36"/>
  <c r="F41" i="36" l="1"/>
  <c r="E32" i="36" l="1"/>
  <c r="E31" i="36"/>
  <c r="E30" i="36"/>
  <c r="E29" i="36"/>
  <c r="E28" i="36"/>
  <c r="E27" i="36"/>
  <c r="E26" i="36"/>
  <c r="E35" i="36" s="1"/>
  <c r="F32" i="36"/>
  <c r="F31" i="36"/>
  <c r="F30" i="36"/>
  <c r="F29" i="36"/>
  <c r="F28" i="36"/>
  <c r="F27" i="36"/>
  <c r="F26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E12" i="36" s="1"/>
  <c r="C23" i="36"/>
  <c r="C22" i="36"/>
  <c r="C21" i="36"/>
  <c r="C20" i="36"/>
  <c r="C19" i="36"/>
  <c r="C18" i="36"/>
  <c r="C17" i="36"/>
  <c r="C16" i="36"/>
  <c r="C15" i="36"/>
  <c r="C14" i="36"/>
  <c r="C13" i="36"/>
  <c r="C12" i="36"/>
  <c r="C24" i="36"/>
  <c r="E23" i="36"/>
  <c r="E22" i="36"/>
  <c r="E21" i="36"/>
  <c r="E20" i="36"/>
  <c r="E19" i="36"/>
  <c r="E15" i="36"/>
  <c r="E14" i="36"/>
  <c r="E13" i="36"/>
  <c r="A13" i="36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12" i="36"/>
  <c r="A11" i="36"/>
  <c r="F35" i="36" l="1"/>
  <c r="F37" i="36" s="1"/>
  <c r="E16" i="36"/>
  <c r="E17" i="36"/>
  <c r="E18" i="36"/>
  <c r="D24" i="36"/>
  <c r="E24" i="36"/>
  <c r="G42" i="36" l="1"/>
  <c r="G35" i="36"/>
  <c r="F38" i="36"/>
  <c r="G39" i="36" s="1"/>
  <c r="G44" i="36" l="1"/>
  <c r="G46" i="36" s="1"/>
  <c r="G47" i="36" s="1"/>
  <c r="O29" i="2" l="1"/>
  <c r="N29" i="2"/>
  <c r="M29" i="2"/>
  <c r="L29" i="2"/>
  <c r="K29" i="2"/>
  <c r="J29" i="2"/>
  <c r="I29" i="2"/>
  <c r="H29" i="2"/>
  <c r="G29" i="2"/>
  <c r="F29" i="2"/>
  <c r="E29" i="2"/>
  <c r="C29" i="2"/>
  <c r="B29" i="2"/>
  <c r="D26" i="2"/>
  <c r="D25" i="2"/>
  <c r="D24" i="2"/>
  <c r="D23" i="2"/>
  <c r="D22" i="2"/>
  <c r="D21" i="2"/>
  <c r="C20" i="2"/>
  <c r="D20" i="2" l="1"/>
  <c r="C26" i="2"/>
  <c r="C25" i="2"/>
  <c r="C13" i="2" s="1"/>
  <c r="C24" i="2"/>
  <c r="C23" i="2"/>
  <c r="C22" i="2"/>
  <c r="C10" i="2" s="1"/>
  <c r="C21" i="2"/>
  <c r="C9" i="2" s="1"/>
  <c r="C8" i="2"/>
  <c r="E37" i="2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E35" i="2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E34" i="2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E33" i="2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E32" i="2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E36" i="2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C12" i="2" l="1"/>
  <c r="C14" i="2"/>
  <c r="C11" i="2"/>
  <c r="C16" i="2"/>
  <c r="C28" i="2"/>
  <c r="K13" i="35" l="1"/>
  <c r="K14" i="35"/>
  <c r="K7" i="35" l="1"/>
  <c r="K15" i="35" l="1"/>
  <c r="P60" i="28" l="1"/>
  <c r="Q60" i="28"/>
  <c r="R60" i="28"/>
  <c r="S60" i="28"/>
  <c r="T60" i="28"/>
  <c r="U60" i="28"/>
  <c r="P44" i="28"/>
  <c r="O60" i="28" l="1"/>
  <c r="N60" i="28"/>
  <c r="M60" i="28"/>
  <c r="L60" i="28"/>
  <c r="K60" i="28"/>
  <c r="J60" i="28"/>
  <c r="O56" i="28"/>
  <c r="N56" i="28"/>
  <c r="M56" i="28"/>
  <c r="L56" i="28"/>
  <c r="K56" i="28"/>
  <c r="J56" i="28"/>
  <c r="O52" i="28"/>
  <c r="N52" i="28"/>
  <c r="M52" i="28"/>
  <c r="L52" i="28"/>
  <c r="K52" i="28"/>
  <c r="J52" i="28"/>
  <c r="O48" i="28"/>
  <c r="N48" i="28"/>
  <c r="M48" i="28"/>
  <c r="L48" i="28"/>
  <c r="K48" i="28"/>
  <c r="J48" i="28"/>
  <c r="O44" i="28"/>
  <c r="N44" i="28"/>
  <c r="M44" i="28"/>
  <c r="L44" i="28"/>
  <c r="K44" i="28"/>
  <c r="J44" i="28"/>
  <c r="O40" i="28"/>
  <c r="N40" i="28"/>
  <c r="M40" i="28"/>
  <c r="L40" i="28"/>
  <c r="K40" i="28"/>
  <c r="J40" i="28"/>
  <c r="D5" i="2" a="1"/>
  <c r="E5" i="2" s="1"/>
  <c r="F5" i="2" l="1"/>
  <c r="L5" i="2"/>
  <c r="D5" i="2"/>
  <c r="C5" i="2" s="1"/>
  <c r="K5" i="2"/>
  <c r="J5" i="2"/>
  <c r="I5" i="2"/>
  <c r="H5" i="2"/>
  <c r="O5" i="2"/>
  <c r="G5" i="2"/>
  <c r="N5" i="2"/>
  <c r="M5" i="2"/>
  <c r="L24" i="16" l="1"/>
  <c r="E31" i="2" l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M15" i="35" l="1"/>
  <c r="M14" i="35"/>
  <c r="M13" i="35"/>
  <c r="M24" i="16" l="1"/>
  <c r="M12" i="35" l="1"/>
  <c r="M11" i="35" l="1"/>
  <c r="M10" i="35"/>
  <c r="M9" i="35"/>
  <c r="M8" i="35" l="1"/>
  <c r="M7" i="35" l="1"/>
  <c r="M6" i="35"/>
  <c r="M5" i="35" l="1"/>
  <c r="O8" i="16" l="1"/>
  <c r="E24" i="16"/>
  <c r="Q19" i="26" l="1"/>
  <c r="Q18" i="26"/>
  <c r="Q17" i="26"/>
  <c r="Q16" i="26"/>
  <c r="Q15" i="26"/>
  <c r="Q14" i="26"/>
  <c r="Q13" i="26"/>
  <c r="Q12" i="26"/>
  <c r="Q11" i="26"/>
  <c r="Q10" i="26"/>
  <c r="Q9" i="26"/>
  <c r="Q8" i="26"/>
  <c r="M4" i="35" l="1"/>
  <c r="D50" i="16" l="1"/>
  <c r="D24" i="16" l="1"/>
  <c r="B33" i="35" l="1"/>
  <c r="B32" i="35"/>
  <c r="B31" i="35"/>
  <c r="B30" i="35"/>
  <c r="B29" i="35"/>
  <c r="B28" i="35"/>
  <c r="B27" i="35"/>
  <c r="B26" i="35"/>
  <c r="B25" i="35"/>
  <c r="B24" i="35"/>
  <c r="B23" i="35"/>
  <c r="B22" i="35"/>
  <c r="A22" i="35"/>
  <c r="L15" i="35"/>
  <c r="N15" i="35" s="1"/>
  <c r="O15" i="35" s="1"/>
  <c r="L14" i="35"/>
  <c r="N14" i="35" s="1"/>
  <c r="O14" i="35" s="1"/>
  <c r="L13" i="35"/>
  <c r="N13" i="35" s="1"/>
  <c r="O13" i="35" s="1"/>
  <c r="L12" i="35"/>
  <c r="N12" i="35" s="1"/>
  <c r="O12" i="35" s="1"/>
  <c r="L11" i="35"/>
  <c r="N11" i="35" s="1"/>
  <c r="O11" i="35" s="1"/>
  <c r="L10" i="35"/>
  <c r="N10" i="35" s="1"/>
  <c r="O10" i="35" s="1"/>
  <c r="L9" i="35"/>
  <c r="N9" i="35" s="1"/>
  <c r="O9" i="35" s="1"/>
  <c r="L8" i="35"/>
  <c r="N8" i="35" s="1"/>
  <c r="O8" i="35" s="1"/>
  <c r="L7" i="35"/>
  <c r="N7" i="35" s="1"/>
  <c r="O7" i="35" s="1"/>
  <c r="L6" i="35"/>
  <c r="N6" i="35" s="1"/>
  <c r="O6" i="35" s="1"/>
  <c r="L5" i="35"/>
  <c r="N5" i="35" s="1"/>
  <c r="O5" i="35" s="1"/>
  <c r="A5" i="35"/>
  <c r="A6" i="35" s="1"/>
  <c r="K16" i="35"/>
  <c r="A7" i="35" l="1"/>
  <c r="A24" i="35"/>
  <c r="A23" i="35"/>
  <c r="L4" i="35"/>
  <c r="N4" i="35" s="1"/>
  <c r="O4" i="35" l="1"/>
  <c r="N16" i="35"/>
  <c r="N17" i="35" s="1"/>
  <c r="A25" i="35"/>
  <c r="A8" i="35"/>
  <c r="A9" i="35" l="1"/>
  <c r="A26" i="35"/>
  <c r="A10" i="35" l="1"/>
  <c r="A27" i="35"/>
  <c r="A11" i="35" l="1"/>
  <c r="A28" i="35"/>
  <c r="A29" i="35" l="1"/>
  <c r="A12" i="35"/>
  <c r="A13" i="35" l="1"/>
  <c r="A30" i="35"/>
  <c r="A14" i="35" l="1"/>
  <c r="A31" i="35"/>
  <c r="A15" i="35" l="1"/>
  <c r="A33" i="35" s="1"/>
  <c r="A32" i="35"/>
  <c r="M7" i="28" l="1"/>
  <c r="L7" i="28"/>
  <c r="K7" i="28"/>
  <c r="J7" i="28"/>
  <c r="I7" i="28"/>
  <c r="H7" i="28"/>
  <c r="G7" i="28"/>
  <c r="F7" i="28"/>
  <c r="E7" i="28"/>
  <c r="D7" i="28"/>
  <c r="C7" i="28"/>
  <c r="B7" i="28"/>
  <c r="J24" i="16" l="1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M7" i="33"/>
  <c r="M35" i="33" s="1"/>
  <c r="L7" i="33"/>
  <c r="L35" i="33" s="1"/>
  <c r="K7" i="33"/>
  <c r="K35" i="33" s="1"/>
  <c r="J7" i="33"/>
  <c r="J35" i="33" s="1"/>
  <c r="I7" i="33"/>
  <c r="I35" i="33" s="1"/>
  <c r="H7" i="33"/>
  <c r="H35" i="33" s="1"/>
  <c r="G7" i="33"/>
  <c r="G35" i="33" s="1"/>
  <c r="F7" i="33"/>
  <c r="F35" i="33" s="1"/>
  <c r="E7" i="33"/>
  <c r="E35" i="33" s="1"/>
  <c r="D7" i="33"/>
  <c r="D35" i="33" s="1"/>
  <c r="C7" i="33"/>
  <c r="C35" i="33" s="1"/>
  <c r="B7" i="33"/>
  <c r="B35" i="33" s="1"/>
  <c r="M78" i="28" l="1"/>
  <c r="L78" i="28"/>
  <c r="K78" i="28"/>
  <c r="J78" i="28"/>
  <c r="I78" i="28"/>
  <c r="H78" i="28"/>
  <c r="G78" i="28"/>
  <c r="F78" i="28"/>
  <c r="E78" i="28"/>
  <c r="D78" i="28"/>
  <c r="C78" i="28"/>
  <c r="B78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B11" i="28" s="1"/>
  <c r="M67" i="28"/>
  <c r="L67" i="28"/>
  <c r="K67" i="28"/>
  <c r="J67" i="28"/>
  <c r="I67" i="28"/>
  <c r="H67" i="28"/>
  <c r="G67" i="28"/>
  <c r="G8" i="28" s="1"/>
  <c r="F67" i="28"/>
  <c r="F8" i="28" s="1"/>
  <c r="E67" i="28"/>
  <c r="E8" i="28" s="1"/>
  <c r="D67" i="28"/>
  <c r="D8" i="28" s="1"/>
  <c r="C67" i="28"/>
  <c r="C8" i="28" s="1"/>
  <c r="B67" i="28"/>
  <c r="B8" i="28" s="1"/>
  <c r="U56" i="28"/>
  <c r="R56" i="28"/>
  <c r="Q56" i="28"/>
  <c r="I8" i="28" s="1"/>
  <c r="P56" i="28"/>
  <c r="H8" i="28" s="1"/>
  <c r="U52" i="28"/>
  <c r="R52" i="28"/>
  <c r="Q52" i="28"/>
  <c r="P52" i="28"/>
  <c r="R48" i="28"/>
  <c r="P48" i="28"/>
  <c r="Q44" i="28"/>
  <c r="U40" i="28"/>
  <c r="T40" i="28"/>
  <c r="S40" i="28"/>
  <c r="P40" i="28"/>
  <c r="J8" i="28" l="1"/>
  <c r="M8" i="28"/>
  <c r="E28" i="28"/>
  <c r="E93" i="28" s="1"/>
  <c r="D15" i="28"/>
  <c r="D86" i="28" s="1"/>
  <c r="C19" i="28"/>
  <c r="C88" i="28" s="1"/>
  <c r="C16" i="28"/>
  <c r="C87" i="28" s="1"/>
  <c r="I28" i="28"/>
  <c r="I93" i="28" s="1"/>
  <c r="G11" i="28"/>
  <c r="G84" i="28" s="1"/>
  <c r="D11" i="28"/>
  <c r="D84" i="28" s="1"/>
  <c r="C15" i="28"/>
  <c r="E19" i="28"/>
  <c r="E88" i="28" s="1"/>
  <c r="E24" i="28"/>
  <c r="E91" i="28" s="1"/>
  <c r="U44" i="28"/>
  <c r="U48" i="28"/>
  <c r="S44" i="28"/>
  <c r="T44" i="28"/>
  <c r="T56" i="28"/>
  <c r="L8" i="28" s="1"/>
  <c r="S56" i="28"/>
  <c r="K8" i="28" s="1"/>
  <c r="S48" i="28"/>
  <c r="T48" i="28"/>
  <c r="S52" i="28"/>
  <c r="T52" i="28"/>
  <c r="R44" i="28"/>
  <c r="R40" i="28"/>
  <c r="Q48" i="28"/>
  <c r="I27" i="28"/>
  <c r="Q40" i="28"/>
  <c r="F16" i="28"/>
  <c r="F87" i="28" s="1"/>
  <c r="F12" i="28"/>
  <c r="F85" i="28" s="1"/>
  <c r="F20" i="28"/>
  <c r="F89" i="28" s="1"/>
  <c r="G15" i="28"/>
  <c r="G12" i="28"/>
  <c r="G85" i="28" s="1"/>
  <c r="G28" i="28"/>
  <c r="C11" i="28"/>
  <c r="G16" i="28"/>
  <c r="G87" i="28" s="1"/>
  <c r="G19" i="28"/>
  <c r="G88" i="28" s="1"/>
  <c r="G23" i="28"/>
  <c r="G90" i="28" s="1"/>
  <c r="I24" i="28"/>
  <c r="I91" i="28" s="1"/>
  <c r="C27" i="28"/>
  <c r="C12" i="28"/>
  <c r="C85" i="28" s="1"/>
  <c r="I19" i="28"/>
  <c r="I88" i="28" s="1"/>
  <c r="G27" i="28"/>
  <c r="E23" i="28"/>
  <c r="E90" i="28" s="1"/>
  <c r="B24" i="28"/>
  <c r="B91" i="28" s="1"/>
  <c r="B19" i="28"/>
  <c r="B88" i="28" s="1"/>
  <c r="B15" i="28"/>
  <c r="B86" i="28" s="1"/>
  <c r="B84" i="28"/>
  <c r="B23" i="28"/>
  <c r="B90" i="28" s="1"/>
  <c r="B12" i="28"/>
  <c r="B85" i="28" s="1"/>
  <c r="B16" i="28"/>
  <c r="B87" i="28" s="1"/>
  <c r="B83" i="28"/>
  <c r="B27" i="28"/>
  <c r="B20" i="28"/>
  <c r="B89" i="28" s="1"/>
  <c r="J28" i="28"/>
  <c r="J23" i="28"/>
  <c r="J90" i="28" s="1"/>
  <c r="J20" i="28"/>
  <c r="J89" i="28" s="1"/>
  <c r="J15" i="28"/>
  <c r="J11" i="28"/>
  <c r="J84" i="28" s="1"/>
  <c r="J27" i="28"/>
  <c r="H27" i="28"/>
  <c r="H23" i="28"/>
  <c r="H90" i="28" s="1"/>
  <c r="H19" i="28"/>
  <c r="H88" i="28" s="1"/>
  <c r="H28" i="28"/>
  <c r="H24" i="28"/>
  <c r="H91" i="28" s="1"/>
  <c r="H16" i="28"/>
  <c r="H87" i="28" s="1"/>
  <c r="H12" i="28"/>
  <c r="H85" i="28" s="1"/>
  <c r="D27" i="28"/>
  <c r="D23" i="28"/>
  <c r="D90" i="28" s="1"/>
  <c r="D19" i="28"/>
  <c r="D88" i="28" s="1"/>
  <c r="D20" i="28"/>
  <c r="D89" i="28" s="1"/>
  <c r="D16" i="28"/>
  <c r="D87" i="28" s="1"/>
  <c r="D12" i="28"/>
  <c r="F27" i="28"/>
  <c r="F15" i="28"/>
  <c r="F11" i="28"/>
  <c r="F24" i="28"/>
  <c r="F91" i="28" s="1"/>
  <c r="F19" i="28"/>
  <c r="J12" i="28"/>
  <c r="J85" i="28" s="1"/>
  <c r="H20" i="28"/>
  <c r="H89" i="28" s="1"/>
  <c r="J24" i="28"/>
  <c r="J91" i="28" s="1"/>
  <c r="D28" i="28"/>
  <c r="C28" i="28"/>
  <c r="C23" i="28"/>
  <c r="C90" i="28" s="1"/>
  <c r="J16" i="28"/>
  <c r="J87" i="28" s="1"/>
  <c r="J19" i="28"/>
  <c r="H11" i="28"/>
  <c r="H15" i="28"/>
  <c r="F23" i="28"/>
  <c r="D24" i="28"/>
  <c r="D91" i="28" s="1"/>
  <c r="E11" i="28"/>
  <c r="E84" i="28" s="1"/>
  <c r="I11" i="28"/>
  <c r="E15" i="28"/>
  <c r="E86" i="28" s="1"/>
  <c r="I15" i="28"/>
  <c r="I86" i="28" s="1"/>
  <c r="I20" i="28"/>
  <c r="I89" i="28" s="1"/>
  <c r="I23" i="28"/>
  <c r="E27" i="28"/>
  <c r="B28" i="28"/>
  <c r="F28" i="28"/>
  <c r="E12" i="28"/>
  <c r="E85" i="28" s="1"/>
  <c r="I12" i="28"/>
  <c r="I85" i="28" s="1"/>
  <c r="E16" i="28"/>
  <c r="E87" i="28" s="1"/>
  <c r="I16" i="28"/>
  <c r="I87" i="28" s="1"/>
  <c r="E20" i="28"/>
  <c r="C24" i="28"/>
  <c r="C91" i="28" s="1"/>
  <c r="C20" i="28"/>
  <c r="G24" i="28"/>
  <c r="G20" i="28"/>
  <c r="G26" i="2" l="1"/>
  <c r="K26" i="2"/>
  <c r="K11" i="28"/>
  <c r="K84" i="28" s="1"/>
  <c r="L83" i="28"/>
  <c r="K9" i="28"/>
  <c r="M20" i="2" s="1"/>
  <c r="M23" i="28"/>
  <c r="M90" i="28" s="1"/>
  <c r="C17" i="28"/>
  <c r="E22" i="2" s="1"/>
  <c r="K15" i="28"/>
  <c r="K86" i="28" s="1"/>
  <c r="C86" i="28"/>
  <c r="L15" i="28"/>
  <c r="L86" i="28" s="1"/>
  <c r="K19" i="28"/>
  <c r="K88" i="28" s="1"/>
  <c r="L28" i="28"/>
  <c r="N26" i="2" s="1"/>
  <c r="K83" i="28"/>
  <c r="H92" i="28"/>
  <c r="J25" i="2"/>
  <c r="J93" i="28"/>
  <c r="L26" i="2"/>
  <c r="G92" i="28"/>
  <c r="I25" i="2"/>
  <c r="G93" i="28"/>
  <c r="I26" i="2"/>
  <c r="H93" i="28"/>
  <c r="J26" i="2"/>
  <c r="J92" i="28"/>
  <c r="L25" i="2"/>
  <c r="I92" i="28"/>
  <c r="K25" i="2"/>
  <c r="M20" i="28"/>
  <c r="M89" i="28" s="1"/>
  <c r="M16" i="28"/>
  <c r="M87" i="28" s="1"/>
  <c r="D17" i="28"/>
  <c r="F22" i="2" s="1"/>
  <c r="L11" i="28"/>
  <c r="L84" i="28" s="1"/>
  <c r="M19" i="28"/>
  <c r="M12" i="28"/>
  <c r="M85" i="28" s="1"/>
  <c r="M11" i="28"/>
  <c r="M84" i="28" s="1"/>
  <c r="K23" i="28"/>
  <c r="K90" i="28" s="1"/>
  <c r="L12" i="28"/>
  <c r="L85" i="28" s="1"/>
  <c r="L19" i="28"/>
  <c r="L88" i="28" s="1"/>
  <c r="K20" i="28"/>
  <c r="K89" i="28" s="1"/>
  <c r="M24" i="28"/>
  <c r="M15" i="28"/>
  <c r="K27" i="28"/>
  <c r="K92" i="28" s="1"/>
  <c r="L16" i="28"/>
  <c r="L23" i="28"/>
  <c r="M28" i="28"/>
  <c r="M93" i="28" s="1"/>
  <c r="K16" i="28"/>
  <c r="K87" i="28" s="1"/>
  <c r="K12" i="28"/>
  <c r="K85" i="28" s="1"/>
  <c r="M27" i="28"/>
  <c r="O25" i="2" s="1"/>
  <c r="K24" i="28"/>
  <c r="M9" i="28"/>
  <c r="O20" i="2" s="1"/>
  <c r="L20" i="28"/>
  <c r="L89" i="28" s="1"/>
  <c r="L24" i="28"/>
  <c r="L91" i="28" s="1"/>
  <c r="L27" i="28"/>
  <c r="N25" i="2" s="1"/>
  <c r="K28" i="28"/>
  <c r="M26" i="2" s="1"/>
  <c r="F93" i="28"/>
  <c r="H26" i="2"/>
  <c r="F92" i="28"/>
  <c r="H25" i="2"/>
  <c r="D92" i="28"/>
  <c r="F25" i="2"/>
  <c r="B93" i="28"/>
  <c r="C93" i="28"/>
  <c r="E26" i="2"/>
  <c r="C92" i="28"/>
  <c r="E25" i="2"/>
  <c r="E92" i="28"/>
  <c r="G25" i="2"/>
  <c r="D93" i="28"/>
  <c r="F26" i="2"/>
  <c r="B92" i="28"/>
  <c r="H13" i="28"/>
  <c r="J21" i="2" s="1"/>
  <c r="H84" i="28"/>
  <c r="J17" i="28"/>
  <c r="L22" i="2" s="1"/>
  <c r="J86" i="28"/>
  <c r="G17" i="28"/>
  <c r="I22" i="2" s="1"/>
  <c r="G86" i="28"/>
  <c r="G21" i="28"/>
  <c r="I23" i="2" s="1"/>
  <c r="G89" i="28"/>
  <c r="C21" i="28"/>
  <c r="E23" i="2" s="1"/>
  <c r="C89" i="28"/>
  <c r="I9" i="28"/>
  <c r="K20" i="2" s="1"/>
  <c r="I83" i="28"/>
  <c r="F25" i="28"/>
  <c r="H24" i="2" s="1"/>
  <c r="F90" i="28"/>
  <c r="J21" i="28"/>
  <c r="L23" i="2" s="1"/>
  <c r="J88" i="28"/>
  <c r="F13" i="28"/>
  <c r="H21" i="2" s="1"/>
  <c r="F84" i="28"/>
  <c r="D13" i="28"/>
  <c r="F21" i="2" s="1"/>
  <c r="D85" i="28"/>
  <c r="C13" i="28"/>
  <c r="E21" i="2" s="1"/>
  <c r="C84" i="28"/>
  <c r="G25" i="28"/>
  <c r="I24" i="2" s="1"/>
  <c r="G91" i="28"/>
  <c r="E9" i="28"/>
  <c r="G20" i="2" s="1"/>
  <c r="E83" i="28"/>
  <c r="I25" i="28"/>
  <c r="K24" i="2" s="1"/>
  <c r="I90" i="28"/>
  <c r="E25" i="28"/>
  <c r="G24" i="2" s="1"/>
  <c r="F17" i="28"/>
  <c r="H22" i="2" s="1"/>
  <c r="F86" i="28"/>
  <c r="C9" i="28"/>
  <c r="E20" i="2" s="1"/>
  <c r="C83" i="28"/>
  <c r="E21" i="28"/>
  <c r="G23" i="2" s="1"/>
  <c r="E89" i="28"/>
  <c r="I13" i="28"/>
  <c r="K21" i="2" s="1"/>
  <c r="I84" i="28"/>
  <c r="D9" i="28"/>
  <c r="F20" i="2" s="1"/>
  <c r="D83" i="28"/>
  <c r="H9" i="28"/>
  <c r="J20" i="2" s="1"/>
  <c r="H83" i="28"/>
  <c r="H17" i="28"/>
  <c r="J22" i="2" s="1"/>
  <c r="H86" i="28"/>
  <c r="J9" i="28"/>
  <c r="L20" i="2" s="1"/>
  <c r="J83" i="28"/>
  <c r="G13" i="28"/>
  <c r="F21" i="28"/>
  <c r="H23" i="2" s="1"/>
  <c r="F88" i="28"/>
  <c r="I21" i="28"/>
  <c r="K23" i="2" s="1"/>
  <c r="G9" i="28"/>
  <c r="I20" i="2" s="1"/>
  <c r="G83" i="28"/>
  <c r="F9" i="28"/>
  <c r="H20" i="2" s="1"/>
  <c r="F83" i="28"/>
  <c r="B9" i="28"/>
  <c r="B13" i="28"/>
  <c r="E17" i="28"/>
  <c r="G22" i="2" s="1"/>
  <c r="D21" i="28"/>
  <c r="F23" i="2" s="1"/>
  <c r="H21" i="28"/>
  <c r="J23" i="2" s="1"/>
  <c r="J25" i="28"/>
  <c r="L24" i="2" s="1"/>
  <c r="B21" i="28"/>
  <c r="D25" i="28"/>
  <c r="F24" i="2" s="1"/>
  <c r="H25" i="28"/>
  <c r="J13" i="28"/>
  <c r="L21" i="2" s="1"/>
  <c r="B25" i="28"/>
  <c r="C25" i="28"/>
  <c r="E24" i="2" s="1"/>
  <c r="I17" i="28"/>
  <c r="K22" i="2" s="1"/>
  <c r="E13" i="28"/>
  <c r="B17" i="28"/>
  <c r="B23" i="2" l="1"/>
  <c r="L9" i="28"/>
  <c r="N20" i="2" s="1"/>
  <c r="B20" i="2" s="1"/>
  <c r="N8" i="28"/>
  <c r="M25" i="28"/>
  <c r="O24" i="2" s="1"/>
  <c r="M21" i="28"/>
  <c r="O23" i="2" s="1"/>
  <c r="N23" i="28"/>
  <c r="L93" i="28"/>
  <c r="N15" i="28"/>
  <c r="M86" i="28"/>
  <c r="L17" i="28"/>
  <c r="N22" i="2" s="1"/>
  <c r="B22" i="2" s="1"/>
  <c r="M13" i="28"/>
  <c r="O21" i="2" s="1"/>
  <c r="N27" i="28"/>
  <c r="L92" i="28"/>
  <c r="M25" i="2"/>
  <c r="B25" i="2" s="1"/>
  <c r="M92" i="28"/>
  <c r="N19" i="28"/>
  <c r="M88" i="28"/>
  <c r="M17" i="28"/>
  <c r="O22" i="2" s="1"/>
  <c r="K17" i="28"/>
  <c r="M22" i="2" s="1"/>
  <c r="K21" i="28"/>
  <c r="M23" i="2" s="1"/>
  <c r="N20" i="28"/>
  <c r="G30" i="28"/>
  <c r="I21" i="2"/>
  <c r="H30" i="28"/>
  <c r="J24" i="2"/>
  <c r="B24" i="2" s="1"/>
  <c r="K93" i="28"/>
  <c r="K25" i="28"/>
  <c r="M24" i="2" s="1"/>
  <c r="N11" i="28"/>
  <c r="L90" i="28"/>
  <c r="M83" i="28"/>
  <c r="N12" i="28"/>
  <c r="L13" i="28"/>
  <c r="N21" i="2" s="1"/>
  <c r="O26" i="2"/>
  <c r="B26" i="2" s="1"/>
  <c r="N24" i="28"/>
  <c r="N28" i="28"/>
  <c r="L25" i="28"/>
  <c r="N24" i="2" s="1"/>
  <c r="K13" i="28"/>
  <c r="M21" i="2" s="1"/>
  <c r="N16" i="28"/>
  <c r="M91" i="28"/>
  <c r="L87" i="28"/>
  <c r="K91" i="28"/>
  <c r="L21" i="28"/>
  <c r="N23" i="2" s="1"/>
  <c r="C30" i="28"/>
  <c r="E30" i="28"/>
  <c r="G21" i="2"/>
  <c r="B21" i="2" s="1"/>
  <c r="I30" i="28"/>
  <c r="D30" i="28"/>
  <c r="J30" i="28"/>
  <c r="F30" i="28"/>
  <c r="N9" i="28"/>
  <c r="B30" i="28"/>
  <c r="B28" i="2" l="1"/>
  <c r="N25" i="28"/>
  <c r="N17" i="28"/>
  <c r="M30" i="28"/>
  <c r="L95" i="28"/>
  <c r="K95" i="28"/>
  <c r="K30" i="28"/>
  <c r="N13" i="28"/>
  <c r="N21" i="28"/>
  <c r="L30" i="28"/>
  <c r="M95" i="28"/>
  <c r="G95" i="28"/>
  <c r="G97" i="28" s="1"/>
  <c r="F95" i="28"/>
  <c r="F97" i="28" s="1"/>
  <c r="I95" i="28"/>
  <c r="I97" i="28" s="1"/>
  <c r="N90" i="28"/>
  <c r="H95" i="28"/>
  <c r="H97" i="28" s="1"/>
  <c r="J95" i="28"/>
  <c r="J97" i="28" s="1"/>
  <c r="D95" i="28"/>
  <c r="D97" i="28" s="1"/>
  <c r="L97" i="28" l="1"/>
  <c r="M97" i="28"/>
  <c r="K97" i="28"/>
  <c r="N30" i="28"/>
  <c r="N86" i="28"/>
  <c r="N88" i="28"/>
  <c r="N87" i="28"/>
  <c r="N93" i="28"/>
  <c r="E32" i="34" s="1"/>
  <c r="N89" i="28"/>
  <c r="C95" i="28"/>
  <c r="C97" i="28" s="1"/>
  <c r="N91" i="28"/>
  <c r="E30" i="34" s="1"/>
  <c r="E95" i="28"/>
  <c r="E97" i="28" s="1"/>
  <c r="N92" i="28"/>
  <c r="E31" i="34" s="1"/>
  <c r="N84" i="28"/>
  <c r="N85" i="28"/>
  <c r="N21" i="26"/>
  <c r="O25" i="28" l="1"/>
  <c r="O21" i="28"/>
  <c r="O13" i="28"/>
  <c r="O28" i="28"/>
  <c r="O27" i="28"/>
  <c r="O9" i="28"/>
  <c r="O17" i="28"/>
  <c r="E29" i="34"/>
  <c r="E27" i="34"/>
  <c r="E28" i="34"/>
  <c r="N83" i="28"/>
  <c r="E26" i="34" s="1"/>
  <c r="B95" i="28"/>
  <c r="B97" i="28" s="1"/>
  <c r="O30" i="28" l="1"/>
  <c r="E33" i="34"/>
  <c r="N95" i="28"/>
  <c r="N97" i="28" s="1"/>
  <c r="O90" i="28" l="1"/>
  <c r="O91" i="28"/>
  <c r="O87" i="28"/>
  <c r="O88" i="28"/>
  <c r="O85" i="28"/>
  <c r="O92" i="28"/>
  <c r="O86" i="28"/>
  <c r="O93" i="28"/>
  <c r="O89" i="28"/>
  <c r="O84" i="28"/>
  <c r="O83" i="28"/>
  <c r="O95" i="28" l="1"/>
  <c r="O97" i="28" s="1"/>
  <c r="M38" i="6" l="1"/>
  <c r="M39" i="33" s="1"/>
  <c r="L38" i="6"/>
  <c r="K38" i="6"/>
  <c r="J38" i="6"/>
  <c r="J39" i="33" s="1"/>
  <c r="I38" i="6"/>
  <c r="I39" i="33" s="1"/>
  <c r="H38" i="6"/>
  <c r="G38" i="6"/>
  <c r="F38" i="6"/>
  <c r="E38" i="6"/>
  <c r="D38" i="6"/>
  <c r="D39" i="33" s="1"/>
  <c r="C38" i="6"/>
  <c r="B38" i="6"/>
  <c r="B39" i="33" s="1"/>
  <c r="L39" i="33" l="1"/>
  <c r="K39" i="33"/>
  <c r="H39" i="33"/>
  <c r="G39" i="33"/>
  <c r="F39" i="33"/>
  <c r="E39" i="33"/>
  <c r="C39" i="33"/>
  <c r="N38" i="6"/>
  <c r="N39" i="33" l="1"/>
  <c r="K24" i="16"/>
  <c r="M21" i="26" l="1"/>
  <c r="O21" i="16"/>
  <c r="C24" i="16"/>
  <c r="F24" i="16"/>
  <c r="G24" i="16"/>
  <c r="H24" i="16"/>
  <c r="L21" i="26" l="1"/>
  <c r="E50" i="16" l="1"/>
  <c r="M27" i="6" l="1"/>
  <c r="M27" i="33" s="1"/>
  <c r="L27" i="6"/>
  <c r="L27" i="33" s="1"/>
  <c r="K27" i="6"/>
  <c r="K27" i="33" s="1"/>
  <c r="J27" i="6"/>
  <c r="J27" i="33" s="1"/>
  <c r="I27" i="6"/>
  <c r="H27" i="6"/>
  <c r="H27" i="33" s="1"/>
  <c r="G27" i="6"/>
  <c r="G27" i="33" s="1"/>
  <c r="F27" i="6"/>
  <c r="F27" i="33" s="1"/>
  <c r="E27" i="6"/>
  <c r="E27" i="33" s="1"/>
  <c r="D27" i="6"/>
  <c r="D27" i="33" s="1"/>
  <c r="C27" i="6"/>
  <c r="C27" i="33" s="1"/>
  <c r="B27" i="6"/>
  <c r="B27" i="33" s="1"/>
  <c r="J45" i="34" l="1" a="1"/>
  <c r="I27" i="33"/>
  <c r="J21" i="26"/>
  <c r="K45" i="34" l="1" a="1"/>
  <c r="N27" i="33"/>
  <c r="J56" i="34"/>
  <c r="J50" i="34"/>
  <c r="J46" i="34"/>
  <c r="J55" i="34"/>
  <c r="J51" i="34"/>
  <c r="J49" i="34"/>
  <c r="J47" i="34"/>
  <c r="J54" i="34"/>
  <c r="J48" i="34"/>
  <c r="J45" i="34"/>
  <c r="J52" i="34"/>
  <c r="J53" i="34"/>
  <c r="K45" i="34" l="1"/>
  <c r="K50" i="34"/>
  <c r="K55" i="34"/>
  <c r="K51" i="34"/>
  <c r="K48" i="34"/>
  <c r="K54" i="34"/>
  <c r="K46" i="34"/>
  <c r="K56" i="34"/>
  <c r="K47" i="34"/>
  <c r="K52" i="34"/>
  <c r="K53" i="34"/>
  <c r="K49" i="34"/>
  <c r="J57" i="34"/>
  <c r="N24" i="16"/>
  <c r="L46" i="34" l="1"/>
  <c r="L54" i="34"/>
  <c r="L50" i="34"/>
  <c r="L49" i="34"/>
  <c r="L56" i="34"/>
  <c r="L51" i="34"/>
  <c r="L53" i="34"/>
  <c r="L55" i="34"/>
  <c r="L52" i="34"/>
  <c r="L47" i="34"/>
  <c r="L48" i="34"/>
  <c r="K57" i="34"/>
  <c r="L45" i="34"/>
  <c r="L57" i="34" l="1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4" i="16" l="1"/>
  <c r="I21" i="26" l="1"/>
  <c r="O19" i="16" l="1"/>
  <c r="R21" i="26" l="1"/>
  <c r="J23" i="26" s="1"/>
  <c r="B23" i="26" l="1"/>
  <c r="F23" i="26"/>
  <c r="F50" i="16"/>
  <c r="G50" i="16"/>
  <c r="H50" i="16"/>
  <c r="I50" i="16"/>
  <c r="J50" i="16"/>
  <c r="K50" i="16"/>
  <c r="L50" i="16"/>
  <c r="M50" i="16"/>
  <c r="N50" i="16"/>
  <c r="C50" i="16"/>
  <c r="I7" i="26" l="1"/>
  <c r="J7" i="26" s="1"/>
  <c r="K7" i="26" s="1"/>
  <c r="L7" i="26" s="1"/>
  <c r="P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2" i="6"/>
  <c r="M12" i="33" s="1"/>
  <c r="M15" i="6"/>
  <c r="M15" i="33" s="1"/>
  <c r="M16" i="6"/>
  <c r="M16" i="33" s="1"/>
  <c r="M19" i="6"/>
  <c r="M19" i="33" s="1"/>
  <c r="M20" i="6"/>
  <c r="M20" i="33" s="1"/>
  <c r="M23" i="6"/>
  <c r="M23" i="33" s="1"/>
  <c r="M24" i="6"/>
  <c r="M24" i="33" s="1"/>
  <c r="M39" i="6"/>
  <c r="M40" i="33" s="1"/>
  <c r="M28" i="6"/>
  <c r="M28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D23" i="6"/>
  <c r="D23" i="33" s="1"/>
  <c r="E23" i="6"/>
  <c r="E23" i="33" s="1"/>
  <c r="F23" i="6"/>
  <c r="F23" i="33" s="1"/>
  <c r="G23" i="6"/>
  <c r="G23" i="33" s="1"/>
  <c r="H23" i="6"/>
  <c r="H23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39" i="6"/>
  <c r="B40" i="33" s="1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I40" i="33" s="1"/>
  <c r="J39" i="6"/>
  <c r="J40" i="33" s="1"/>
  <c r="K39" i="6"/>
  <c r="K40" i="33" s="1"/>
  <c r="L39" i="6"/>
  <c r="L40" i="33" s="1"/>
  <c r="B28" i="6"/>
  <c r="B28" i="33" s="1"/>
  <c r="C28" i="6"/>
  <c r="C28" i="33" s="1"/>
  <c r="D28" i="6"/>
  <c r="D28" i="33" s="1"/>
  <c r="E28" i="6"/>
  <c r="E28" i="33" s="1"/>
  <c r="F28" i="6"/>
  <c r="F28" i="33" s="1"/>
  <c r="G28" i="6"/>
  <c r="G28" i="33" s="1"/>
  <c r="H28" i="6"/>
  <c r="H28" i="33" s="1"/>
  <c r="I28" i="6"/>
  <c r="J28" i="6"/>
  <c r="J28" i="33" s="1"/>
  <c r="K28" i="6"/>
  <c r="K28" i="33" s="1"/>
  <c r="L28" i="6"/>
  <c r="L28" i="33" s="1"/>
  <c r="O9" i="16"/>
  <c r="O10" i="16"/>
  <c r="O11" i="16"/>
  <c r="O12" i="16"/>
  <c r="O13" i="16"/>
  <c r="O14" i="16"/>
  <c r="O15" i="16"/>
  <c r="O16" i="16"/>
  <c r="O17" i="16"/>
  <c r="O18" i="16"/>
  <c r="O20" i="16"/>
  <c r="O22" i="16"/>
  <c r="O23" i="16"/>
  <c r="C37" i="6"/>
  <c r="C38" i="33" s="1"/>
  <c r="D37" i="6"/>
  <c r="D38" i="33" s="1"/>
  <c r="E37" i="6"/>
  <c r="E38" i="33" s="1"/>
  <c r="F37" i="6"/>
  <c r="F38" i="33" s="1"/>
  <c r="G37" i="6"/>
  <c r="G38" i="33" s="1"/>
  <c r="H37" i="6"/>
  <c r="H38" i="33" s="1"/>
  <c r="I37" i="6"/>
  <c r="I38" i="33" s="1"/>
  <c r="J37" i="6"/>
  <c r="K37" i="6"/>
  <c r="L37" i="6"/>
  <c r="M37" i="6"/>
  <c r="B37" i="6"/>
  <c r="B38" i="33" s="1"/>
  <c r="C36" i="6"/>
  <c r="C37" i="33" s="1"/>
  <c r="D36" i="6"/>
  <c r="D37" i="33" s="1"/>
  <c r="E36" i="6"/>
  <c r="E37" i="33" s="1"/>
  <c r="F36" i="6"/>
  <c r="F37" i="33" s="1"/>
  <c r="G36" i="6"/>
  <c r="G37" i="33" s="1"/>
  <c r="H36" i="6"/>
  <c r="H37" i="33" s="1"/>
  <c r="I36" i="6"/>
  <c r="J36" i="6"/>
  <c r="K36" i="6"/>
  <c r="L36" i="6"/>
  <c r="M36" i="6"/>
  <c r="B36" i="6"/>
  <c r="B37" i="33" s="1"/>
  <c r="C35" i="6"/>
  <c r="D35" i="6"/>
  <c r="E35" i="6"/>
  <c r="F35" i="6"/>
  <c r="G35" i="6"/>
  <c r="H35" i="6"/>
  <c r="H41" i="6" s="1"/>
  <c r="I35" i="6"/>
  <c r="J35" i="6"/>
  <c r="K35" i="6"/>
  <c r="L35" i="6"/>
  <c r="M35" i="6"/>
  <c r="B35" i="6"/>
  <c r="F41" i="6" l="1"/>
  <c r="M36" i="33"/>
  <c r="M41" i="6"/>
  <c r="E36" i="33"/>
  <c r="E42" i="33" s="1"/>
  <c r="E41" i="6"/>
  <c r="L41" i="6"/>
  <c r="D41" i="6"/>
  <c r="I36" i="33"/>
  <c r="I41" i="6"/>
  <c r="B41" i="6"/>
  <c r="K36" i="33"/>
  <c r="K41" i="6"/>
  <c r="G36" i="33"/>
  <c r="G42" i="33" s="1"/>
  <c r="G41" i="6"/>
  <c r="C36" i="33"/>
  <c r="C42" i="33" s="1"/>
  <c r="C41" i="6"/>
  <c r="J41" i="6"/>
  <c r="E25" i="33"/>
  <c r="D13" i="33"/>
  <c r="C25" i="33"/>
  <c r="G21" i="33"/>
  <c r="E21" i="33"/>
  <c r="C21" i="33"/>
  <c r="D17" i="33"/>
  <c r="G13" i="33"/>
  <c r="H25" i="33"/>
  <c r="D25" i="33"/>
  <c r="H36" i="33"/>
  <c r="H42" i="33" s="1"/>
  <c r="H21" i="33"/>
  <c r="D21" i="33"/>
  <c r="G17" i="33"/>
  <c r="C17" i="33"/>
  <c r="F13" i="33"/>
  <c r="D36" i="33"/>
  <c r="D42" i="33" s="1"/>
  <c r="F21" i="33"/>
  <c r="B21" i="33"/>
  <c r="E17" i="33"/>
  <c r="H13" i="33"/>
  <c r="B13" i="33"/>
  <c r="B36" i="33"/>
  <c r="F36" i="33"/>
  <c r="F42" i="33" s="1"/>
  <c r="G25" i="33"/>
  <c r="F25" i="33"/>
  <c r="B25" i="33"/>
  <c r="H17" i="33"/>
  <c r="F17" i="33"/>
  <c r="B17" i="33"/>
  <c r="E13" i="33"/>
  <c r="C13" i="33"/>
  <c r="M21" i="33"/>
  <c r="M13" i="33"/>
  <c r="M37" i="33"/>
  <c r="M38" i="33"/>
  <c r="M25" i="33"/>
  <c r="M17" i="33"/>
  <c r="L13" i="33"/>
  <c r="L21" i="33"/>
  <c r="K21" i="33"/>
  <c r="K13" i="33"/>
  <c r="L36" i="33"/>
  <c r="L38" i="33"/>
  <c r="L25" i="33"/>
  <c r="L37" i="33"/>
  <c r="L17" i="33"/>
  <c r="K37" i="33"/>
  <c r="K38" i="33"/>
  <c r="N16" i="33"/>
  <c r="K9" i="6"/>
  <c r="K8" i="33"/>
  <c r="K9" i="33" s="1"/>
  <c r="K17" i="33"/>
  <c r="K25" i="33"/>
  <c r="J36" i="33"/>
  <c r="J37" i="33"/>
  <c r="J38" i="33"/>
  <c r="N24" i="33"/>
  <c r="J21" i="33"/>
  <c r="J13" i="33"/>
  <c r="N20" i="33"/>
  <c r="N12" i="33"/>
  <c r="J25" i="33"/>
  <c r="J17" i="33"/>
  <c r="I17" i="33"/>
  <c r="N15" i="33"/>
  <c r="I37" i="33"/>
  <c r="I28" i="33"/>
  <c r="N45" i="34" a="1"/>
  <c r="I21" i="33"/>
  <c r="N19" i="33"/>
  <c r="I13" i="33"/>
  <c r="N11" i="33"/>
  <c r="I25" i="33"/>
  <c r="N23" i="33"/>
  <c r="I9" i="6"/>
  <c r="I8" i="33"/>
  <c r="K82" i="28"/>
  <c r="K66" i="28"/>
  <c r="S37" i="28"/>
  <c r="G82" i="28"/>
  <c r="G66" i="28"/>
  <c r="O37" i="28"/>
  <c r="K37" i="28"/>
  <c r="C66" i="28"/>
  <c r="C82" i="28"/>
  <c r="G7" i="16"/>
  <c r="G31" i="16" s="1"/>
  <c r="C7" i="16"/>
  <c r="C31" i="16" s="1"/>
  <c r="M82" i="28"/>
  <c r="M66" i="28"/>
  <c r="U37" i="28"/>
  <c r="Q37" i="28"/>
  <c r="I82" i="28"/>
  <c r="I66" i="28"/>
  <c r="E66" i="28"/>
  <c r="M37" i="28"/>
  <c r="E82" i="28"/>
  <c r="M7" i="16"/>
  <c r="M31" i="16" s="1"/>
  <c r="I7" i="16"/>
  <c r="I31" i="16" s="1"/>
  <c r="E7" i="16"/>
  <c r="E31" i="16" s="1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4" i="6" s="1"/>
  <c r="K7" i="16"/>
  <c r="K31" i="16" s="1"/>
  <c r="N24" i="6"/>
  <c r="N35" i="6"/>
  <c r="N27" i="6"/>
  <c r="N20" i="6"/>
  <c r="N12" i="6"/>
  <c r="G9" i="6"/>
  <c r="E9" i="6"/>
  <c r="N11" i="6"/>
  <c r="M9" i="6"/>
  <c r="K17" i="6"/>
  <c r="I17" i="6"/>
  <c r="F13" i="6"/>
  <c r="D13" i="6"/>
  <c r="C9" i="6"/>
  <c r="E25" i="6"/>
  <c r="N39" i="6"/>
  <c r="I25" i="6"/>
  <c r="N37" i="6"/>
  <c r="N36" i="6"/>
  <c r="N7" i="16"/>
  <c r="N31" i="16" s="1"/>
  <c r="M7" i="6"/>
  <c r="M34" i="6" s="1"/>
  <c r="L7" i="16"/>
  <c r="L31" i="16" s="1"/>
  <c r="K7" i="6"/>
  <c r="K34" i="6" s="1"/>
  <c r="J7" i="16"/>
  <c r="J31" i="16" s="1"/>
  <c r="I7" i="6"/>
  <c r="I34" i="6" s="1"/>
  <c r="H7" i="16"/>
  <c r="H31" i="16" s="1"/>
  <c r="G7" i="6"/>
  <c r="G34" i="6" s="1"/>
  <c r="F7" i="16"/>
  <c r="F31" i="16" s="1"/>
  <c r="E7" i="6"/>
  <c r="E34" i="6" s="1"/>
  <c r="D7" i="16"/>
  <c r="D31" i="16" s="1"/>
  <c r="C7" i="6"/>
  <c r="C34" i="6" s="1"/>
  <c r="L7" i="6"/>
  <c r="L34" i="6" s="1"/>
  <c r="J7" i="6"/>
  <c r="J34" i="6" s="1"/>
  <c r="H7" i="6"/>
  <c r="H34" i="6" s="1"/>
  <c r="F7" i="6"/>
  <c r="F34" i="6" s="1"/>
  <c r="D7" i="6"/>
  <c r="D34" i="6" s="1"/>
  <c r="O24" i="16"/>
  <c r="N16" i="6"/>
  <c r="N15" i="6"/>
  <c r="N8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B42" i="33" l="1"/>
  <c r="J42" i="33"/>
  <c r="I42" i="33"/>
  <c r="N41" i="6"/>
  <c r="L42" i="33"/>
  <c r="K42" i="33"/>
  <c r="M42" i="33"/>
  <c r="D30" i="33"/>
  <c r="D45" i="33" s="1"/>
  <c r="N36" i="33"/>
  <c r="N38" i="33"/>
  <c r="G30" i="33"/>
  <c r="G45" i="33" s="1"/>
  <c r="F30" i="33"/>
  <c r="F45" i="33" s="1"/>
  <c r="C30" i="33"/>
  <c r="C45" i="33" s="1"/>
  <c r="H30" i="33"/>
  <c r="H45" i="33" s="1"/>
  <c r="B30" i="33"/>
  <c r="B45" i="33" s="1"/>
  <c r="E30" i="33"/>
  <c r="E45" i="33" s="1"/>
  <c r="M30" i="33"/>
  <c r="L30" i="33"/>
  <c r="N37" i="33"/>
  <c r="O28" i="34" a="1"/>
  <c r="O31" i="34" s="1"/>
  <c r="N11" i="34" a="1"/>
  <c r="N18" i="34" s="1"/>
  <c r="J28" i="34" a="1"/>
  <c r="J32" i="34" s="1"/>
  <c r="K30" i="33"/>
  <c r="J30" i="33"/>
  <c r="N28" i="34" a="1"/>
  <c r="N30" i="34" s="1"/>
  <c r="J11" i="34" a="1"/>
  <c r="J19" i="34" s="1"/>
  <c r="R11" i="34" a="1"/>
  <c r="R22" i="34" s="1"/>
  <c r="O11" i="34" a="1"/>
  <c r="N13" i="33"/>
  <c r="N25" i="33"/>
  <c r="I9" i="33"/>
  <c r="K11" i="34" a="1"/>
  <c r="N8" i="33"/>
  <c r="K28" i="34" a="1"/>
  <c r="N21" i="33"/>
  <c r="S11" i="34" a="1"/>
  <c r="N17" i="33"/>
  <c r="N40" i="33"/>
  <c r="O45" i="34" a="1"/>
  <c r="N28" i="33"/>
  <c r="N55" i="34"/>
  <c r="N56" i="34"/>
  <c r="N46" i="34"/>
  <c r="N49" i="34"/>
  <c r="N51" i="34"/>
  <c r="N45" i="34"/>
  <c r="N54" i="34"/>
  <c r="N52" i="34"/>
  <c r="N50" i="34"/>
  <c r="N48" i="34"/>
  <c r="N53" i="34"/>
  <c r="N47" i="34"/>
  <c r="H82" i="28"/>
  <c r="H66" i="28"/>
  <c r="P37" i="28"/>
  <c r="B66" i="28"/>
  <c r="B82" i="28"/>
  <c r="J37" i="28"/>
  <c r="R37" i="28"/>
  <c r="J82" i="28"/>
  <c r="J66" i="28"/>
  <c r="D82" i="28"/>
  <c r="D66" i="28"/>
  <c r="L37" i="28"/>
  <c r="T37" i="28"/>
  <c r="L82" i="28"/>
  <c r="L66" i="28"/>
  <c r="F66" i="28"/>
  <c r="N37" i="28"/>
  <c r="F82" i="28"/>
  <c r="N25" i="6"/>
  <c r="E30" i="6"/>
  <c r="I30" i="6"/>
  <c r="I31" i="28" s="1"/>
  <c r="M30" i="6"/>
  <c r="M31" i="28" s="1"/>
  <c r="C30" i="6"/>
  <c r="D30" i="6"/>
  <c r="D31" i="28" s="1"/>
  <c r="G30" i="6"/>
  <c r="H30" i="6"/>
  <c r="K30" i="6"/>
  <c r="K31" i="28" s="1"/>
  <c r="L30" i="6"/>
  <c r="L31" i="28" s="1"/>
  <c r="N13" i="6"/>
  <c r="N21" i="6"/>
  <c r="B30" i="6"/>
  <c r="N9" i="6"/>
  <c r="F30" i="6"/>
  <c r="J30" i="6"/>
  <c r="J31" i="28" s="1"/>
  <c r="N17" i="6"/>
  <c r="N42" i="33" l="1"/>
  <c r="J18" i="34"/>
  <c r="R11" i="34"/>
  <c r="L45" i="33"/>
  <c r="M45" i="33"/>
  <c r="J45" i="33"/>
  <c r="D32" i="33"/>
  <c r="N14" i="34"/>
  <c r="O34" i="34"/>
  <c r="O39" i="34"/>
  <c r="O35" i="34"/>
  <c r="N28" i="34"/>
  <c r="N11" i="34"/>
  <c r="O36" i="34"/>
  <c r="O32" i="34"/>
  <c r="O33" i="34"/>
  <c r="O28" i="34"/>
  <c r="O37" i="34"/>
  <c r="O38" i="34"/>
  <c r="N31" i="34"/>
  <c r="P31" i="34" s="1"/>
  <c r="N21" i="34"/>
  <c r="M32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2" i="33"/>
  <c r="K32" i="33"/>
  <c r="R12" i="34"/>
  <c r="N39" i="34"/>
  <c r="K45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2" i="33"/>
  <c r="H31" i="28"/>
  <c r="H32" i="33"/>
  <c r="G31" i="28"/>
  <c r="G32" i="33"/>
  <c r="F31" i="28"/>
  <c r="F32" i="33"/>
  <c r="E31" i="28"/>
  <c r="E32" i="33"/>
  <c r="C44" i="6"/>
  <c r="C31" i="28"/>
  <c r="C32" i="33"/>
  <c r="B44" i="6"/>
  <c r="B31" i="28"/>
  <c r="B32" i="33"/>
  <c r="N57" i="34"/>
  <c r="O45" i="34"/>
  <c r="O51" i="34"/>
  <c r="O56" i="34"/>
  <c r="O46" i="34"/>
  <c r="O50" i="34"/>
  <c r="O48" i="34"/>
  <c r="O53" i="34"/>
  <c r="O47" i="34"/>
  <c r="O55" i="34"/>
  <c r="O54" i="34"/>
  <c r="O52" i="34"/>
  <c r="O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0" i="33"/>
  <c r="N9" i="33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4" i="6"/>
  <c r="K44" i="6"/>
  <c r="L44" i="6"/>
  <c r="H44" i="6"/>
  <c r="I44" i="6"/>
  <c r="G44" i="6"/>
  <c r="F44" i="6"/>
  <c r="E44" i="6"/>
  <c r="D44" i="6"/>
  <c r="M44" i="6"/>
  <c r="N30" i="6"/>
  <c r="J63" i="34" l="1"/>
  <c r="J70" i="34"/>
  <c r="C20" i="34" s="1"/>
  <c r="J71" i="34"/>
  <c r="C21" i="34" s="1"/>
  <c r="K70" i="34"/>
  <c r="D20" i="34" s="1"/>
  <c r="J64" i="34"/>
  <c r="C14" i="34" s="1"/>
  <c r="K64" i="34"/>
  <c r="D14" i="34" s="1"/>
  <c r="J62" i="34"/>
  <c r="C12" i="34" s="1"/>
  <c r="J68" i="34"/>
  <c r="C18" i="34" s="1"/>
  <c r="K68" i="34"/>
  <c r="D18" i="34" s="1"/>
  <c r="K69" i="34"/>
  <c r="D19" i="34" s="1"/>
  <c r="J72" i="34"/>
  <c r="C22" i="34" s="1"/>
  <c r="K73" i="34"/>
  <c r="D23" i="34" s="1"/>
  <c r="J67" i="34"/>
  <c r="C17" i="34" s="1"/>
  <c r="J65" i="34"/>
  <c r="C15" i="34" s="1"/>
  <c r="J69" i="34"/>
  <c r="C19" i="34" s="1"/>
  <c r="K65" i="34"/>
  <c r="D15" i="34" s="1"/>
  <c r="K62" i="34"/>
  <c r="K66" i="34"/>
  <c r="D16" i="34" s="1"/>
  <c r="K67" i="34"/>
  <c r="D17" i="34" s="1"/>
  <c r="K71" i="34"/>
  <c r="D21" i="34" s="1"/>
  <c r="K63" i="34"/>
  <c r="D13" i="34" s="1"/>
  <c r="K72" i="34"/>
  <c r="D22" i="34" s="1"/>
  <c r="J66" i="34"/>
  <c r="C16" i="34" s="1"/>
  <c r="J73" i="34"/>
  <c r="C23" i="34" s="1"/>
  <c r="P38" i="34"/>
  <c r="P28" i="34"/>
  <c r="P30" i="34"/>
  <c r="O40" i="34"/>
  <c r="P32" i="34"/>
  <c r="P34" i="34"/>
  <c r="N23" i="34"/>
  <c r="P39" i="34"/>
  <c r="P33" i="34"/>
  <c r="J40" i="34"/>
  <c r="P36" i="34"/>
  <c r="R23" i="34"/>
  <c r="N40" i="34"/>
  <c r="P29" i="34"/>
  <c r="J23" i="34"/>
  <c r="C13" i="34"/>
  <c r="P35" i="34"/>
  <c r="L22" i="34"/>
  <c r="P15" i="34"/>
  <c r="P17" i="34"/>
  <c r="P22" i="34"/>
  <c r="L37" i="34"/>
  <c r="L34" i="34"/>
  <c r="L35" i="34"/>
  <c r="T20" i="34"/>
  <c r="T12" i="34"/>
  <c r="T13" i="34"/>
  <c r="P54" i="34"/>
  <c r="P48" i="34"/>
  <c r="P51" i="34"/>
  <c r="P19" i="34"/>
  <c r="P12" i="34"/>
  <c r="P14" i="34"/>
  <c r="L32" i="34"/>
  <c r="L29" i="34"/>
  <c r="L39" i="34"/>
  <c r="T17" i="34"/>
  <c r="P52" i="34"/>
  <c r="P56" i="34"/>
  <c r="P20" i="34"/>
  <c r="P16" i="34"/>
  <c r="P18" i="34"/>
  <c r="L31" i="34"/>
  <c r="L33" i="34"/>
  <c r="T21" i="34"/>
  <c r="P55" i="34"/>
  <c r="P50" i="34"/>
  <c r="T18" i="34"/>
  <c r="P53" i="34"/>
  <c r="P13" i="34"/>
  <c r="P21" i="34"/>
  <c r="P11" i="34"/>
  <c r="L36" i="34"/>
  <c r="L30" i="34"/>
  <c r="L38" i="34"/>
  <c r="T15" i="34"/>
  <c r="T22" i="34"/>
  <c r="T16" i="34"/>
  <c r="P49" i="34"/>
  <c r="P47" i="34"/>
  <c r="P46" i="34"/>
  <c r="T19" i="34"/>
  <c r="P37" i="34"/>
  <c r="T14" i="34"/>
  <c r="N44" i="6"/>
  <c r="N31" i="28"/>
  <c r="K40" i="34"/>
  <c r="L28" i="34"/>
  <c r="L15" i="34"/>
  <c r="L16" i="34"/>
  <c r="L20" i="34"/>
  <c r="L12" i="34"/>
  <c r="L21" i="34"/>
  <c r="I32" i="33"/>
  <c r="I45" i="33"/>
  <c r="L19" i="34"/>
  <c r="L17" i="34"/>
  <c r="L14" i="34"/>
  <c r="S23" i="34"/>
  <c r="T11" i="34"/>
  <c r="O57" i="34"/>
  <c r="P45" i="34"/>
  <c r="O23" i="34"/>
  <c r="L18" i="34"/>
  <c r="L13" i="34"/>
  <c r="K23" i="34"/>
  <c r="L11" i="34"/>
  <c r="N30" i="33"/>
  <c r="E16" i="34" l="1"/>
  <c r="L69" i="34"/>
  <c r="L62" i="34"/>
  <c r="L71" i="34"/>
  <c r="L65" i="34"/>
  <c r="L63" i="34"/>
  <c r="L68" i="34"/>
  <c r="L67" i="34"/>
  <c r="L64" i="34"/>
  <c r="L70" i="34"/>
  <c r="L72" i="34"/>
  <c r="L66" i="34"/>
  <c r="L73" i="34"/>
  <c r="E22" i="34"/>
  <c r="E17" i="34"/>
  <c r="E13" i="34"/>
  <c r="E19" i="34"/>
  <c r="E21" i="34"/>
  <c r="E18" i="34"/>
  <c r="P23" i="34"/>
  <c r="E20" i="34"/>
  <c r="P40" i="34"/>
  <c r="E23" i="34"/>
  <c r="C24" i="34"/>
  <c r="L40" i="34"/>
  <c r="P57" i="34"/>
  <c r="T23" i="34"/>
  <c r="E15" i="34"/>
  <c r="J74" i="34"/>
  <c r="L23" i="34"/>
  <c r="D12" i="34"/>
  <c r="E12" i="34" s="1"/>
  <c r="K74" i="34"/>
  <c r="N32" i="33"/>
  <c r="N45" i="33"/>
  <c r="E14" i="34"/>
  <c r="L74" i="34" l="1"/>
  <c r="D24" i="34"/>
  <c r="E24" i="34"/>
  <c r="G13" i="2" l="1"/>
  <c r="N13" i="2"/>
  <c r="L13" i="2"/>
  <c r="I13" i="2"/>
  <c r="H13" i="2"/>
  <c r="F13" i="2"/>
  <c r="O13" i="2"/>
  <c r="M13" i="2"/>
  <c r="J13" i="2"/>
  <c r="E13" i="2"/>
  <c r="K13" i="2"/>
  <c r="D13" i="2" l="1"/>
  <c r="B13" i="2" s="1"/>
  <c r="K14" i="2" l="1"/>
  <c r="E14" i="2"/>
  <c r="F14" i="2"/>
  <c r="J14" i="2"/>
  <c r="O14" i="2"/>
  <c r="L14" i="2"/>
  <c r="M14" i="2"/>
  <c r="H14" i="2"/>
  <c r="N14" i="2"/>
  <c r="G14" i="2"/>
  <c r="I14" i="2"/>
  <c r="D14" i="2" l="1"/>
  <c r="B14" i="2" s="1"/>
  <c r="G9" i="2"/>
  <c r="M9" i="2"/>
  <c r="H9" i="2"/>
  <c r="I9" i="2"/>
  <c r="O9" i="2"/>
  <c r="E9" i="2"/>
  <c r="K9" i="2"/>
  <c r="L9" i="2"/>
  <c r="N9" i="2"/>
  <c r="J9" i="2"/>
  <c r="F9" i="2"/>
  <c r="O11" i="2"/>
  <c r="N11" i="2"/>
  <c r="I11" i="2"/>
  <c r="G11" i="2"/>
  <c r="J11" i="2"/>
  <c r="L11" i="2"/>
  <c r="F11" i="2"/>
  <c r="M11" i="2"/>
  <c r="E11" i="2"/>
  <c r="H11" i="2"/>
  <c r="K11" i="2"/>
  <c r="G10" i="2"/>
  <c r="E10" i="2"/>
  <c r="L10" i="2"/>
  <c r="K10" i="2"/>
  <c r="H10" i="2"/>
  <c r="M10" i="2"/>
  <c r="I10" i="2"/>
  <c r="J10" i="2"/>
  <c r="N10" i="2"/>
  <c r="O10" i="2"/>
  <c r="F10" i="2"/>
  <c r="F12" i="2"/>
  <c r="K12" i="2"/>
  <c r="O12" i="2"/>
  <c r="M12" i="2"/>
  <c r="J12" i="2"/>
  <c r="G12" i="2"/>
  <c r="L12" i="2"/>
  <c r="N12" i="2"/>
  <c r="H12" i="2"/>
  <c r="I12" i="2"/>
  <c r="E12" i="2"/>
  <c r="N8" i="2" l="1"/>
  <c r="N16" i="2" s="1"/>
  <c r="N28" i="2"/>
  <c r="D8" i="2"/>
  <c r="D28" i="2"/>
  <c r="J8" i="2"/>
  <c r="J16" i="2" s="1"/>
  <c r="J28" i="2"/>
  <c r="O8" i="2"/>
  <c r="O16" i="2" s="1"/>
  <c r="O28" i="2"/>
  <c r="F8" i="2"/>
  <c r="F16" i="2" s="1"/>
  <c r="F28" i="2"/>
  <c r="L8" i="2"/>
  <c r="L16" i="2" s="1"/>
  <c r="L28" i="2"/>
  <c r="K8" i="2"/>
  <c r="K16" i="2" s="1"/>
  <c r="K28" i="2"/>
  <c r="I8" i="2"/>
  <c r="I16" i="2" s="1"/>
  <c r="I28" i="2"/>
  <c r="E8" i="2"/>
  <c r="E16" i="2" s="1"/>
  <c r="E28" i="2"/>
  <c r="D12" i="2"/>
  <c r="B12" i="2" s="1"/>
  <c r="D10" i="2"/>
  <c r="B10" i="2" s="1"/>
  <c r="D11" i="2"/>
  <c r="B11" i="2" s="1"/>
  <c r="D9" i="2"/>
  <c r="B9" i="2" s="1"/>
  <c r="M8" i="2"/>
  <c r="M16" i="2" s="1"/>
  <c r="M28" i="2"/>
  <c r="H8" i="2"/>
  <c r="H16" i="2" s="1"/>
  <c r="H28" i="2"/>
  <c r="G8" i="2"/>
  <c r="G16" i="2" s="1"/>
  <c r="G28" i="2"/>
  <c r="B8" i="2" l="1"/>
  <c r="B16" i="2" s="1"/>
  <c r="D16" i="2"/>
</calcChain>
</file>

<file path=xl/comments1.xml><?xml version="1.0" encoding="utf-8"?>
<comments xmlns="http://schemas.openxmlformats.org/spreadsheetml/2006/main">
  <authors>
    <author>Xu, Kelly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Xu, Kelly:</t>
        </r>
        <r>
          <rPr>
            <sz val="9"/>
            <color indexed="81"/>
            <rFont val="Tahoma"/>
            <family val="2"/>
          </rPr>
          <t xml:space="preserve">
Jan - Jun 2022 GPI has been updated per Liu, Yiou email on 10/12/2022
Month Total GPI original   Total GPI Updated 
January-22       2,366,040,416.00          2,365,940,416.00 
February-22       2,038,349,623.00          2,038,249,623.00 
March-22       2,021,479,168.00          2,021,379,168.00 
April-22       1,857,294,048.00          1,857,194,048.00 
May-22       1,709,653,832.00          1,709,553,832.00 
June-22       1,562,077,674.00          1,561,977,674.00 
</t>
        </r>
      </text>
    </comment>
  </commentList>
</comments>
</file>

<file path=xl/sharedStrings.xml><?xml version="1.0" encoding="utf-8"?>
<sst xmlns="http://schemas.openxmlformats.org/spreadsheetml/2006/main" count="408" uniqueCount="188">
  <si>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</si>
  <si>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</si>
  <si>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</si>
  <si>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</si>
  <si>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</si>
  <si>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</si>
  <si>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</si>
  <si>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</si>
  <si>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</si>
  <si>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</si>
  <si>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</si>
  <si>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</si>
  <si>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</si>
  <si>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</si>
  <si>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</si>
  <si>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</si>
  <si>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</si>
  <si>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</si>
  <si>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</si>
  <si>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</si>
  <si>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</si>
  <si>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</si>
  <si>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</si>
  <si>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</si>
  <si>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</si>
  <si>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</si>
  <si>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</si>
  <si>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</si>
  <si>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</si>
  <si>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</si>
  <si>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</si>
  <si>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</si>
  <si>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</si>
  <si>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</si>
  <si>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</si>
  <si>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</si>
  <si>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</si>
  <si>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</si>
  <si>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</si>
  <si>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</si>
  <si>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</si>
  <si>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</si>
  <si>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</si>
  <si>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</si>
  <si>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</si>
  <si>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</si>
  <si>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</si>
  <si>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</si>
  <si>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</si>
  <si>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</si>
  <si>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</si>
  <si>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</si>
  <si>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</si>
  <si>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Month</t>
  </si>
  <si>
    <t>HDD65Coeff</t>
  </si>
  <si>
    <t>HDD45Coef</t>
  </si>
  <si>
    <t>CDD60Coeff</t>
  </si>
  <si>
    <t>%</t>
  </si>
  <si>
    <t>Rate Schedules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</si>
  <si>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</si>
  <si>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</si>
  <si>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</si>
  <si>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</si>
  <si>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</si>
  <si>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</si>
  <si>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</si>
  <si>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</si>
  <si>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</si>
  <si>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</si>
  <si>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</si>
  <si>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</si>
  <si>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</si>
  <si>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</si>
  <si>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</si>
  <si>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</si>
  <si>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</si>
  <si>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</si>
  <si>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</si>
  <si>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</si>
  <si>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</si>
  <si>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</si>
  <si>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</si>
  <si>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</si>
  <si>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</si>
  <si>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</si>
  <si>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</si>
  <si>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</si>
  <si>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</si>
  <si>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</si>
  <si>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</si>
  <si>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</si>
  <si>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</si>
  <si>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</si>
  <si>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</si>
  <si>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</si>
  <si>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</si>
  <si>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</si>
  <si>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</si>
  <si>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</si>
  <si>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</si>
  <si>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</si>
  <si>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</si>
  <si>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</si>
  <si>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</si>
  <si>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</si>
  <si>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</si>
  <si>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</si>
  <si>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</si>
  <si>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</si>
  <si>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</si>
  <si>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</si>
  <si>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</si>
  <si>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</si>
  <si>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</si>
  <si>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</si>
  <si>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</si>
  <si>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</si>
  <si>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</si>
  <si>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</si>
  <si>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</si>
  <si>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</si>
  <si>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</si>
  <si>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</si>
  <si>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</si>
  <si>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</si>
  <si>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</si>
  <si>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</si>
  <si>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</si>
  <si>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</si>
  <si>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</si>
  <si>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</si>
  <si>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</si>
  <si>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</si>
  <si>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Weather Variables</t>
  </si>
  <si>
    <t>Year</t>
  </si>
  <si>
    <t>HDD65N (A)</t>
  </si>
  <si>
    <t>CDD65N (B)</t>
  </si>
  <si>
    <t>HDD65 (C)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</si>
  <si>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</si>
  <si>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</si>
  <si>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</si>
  <si>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</si>
  <si>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</si>
  <si>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</si>
  <si>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</si>
  <si>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</si>
  <si>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</si>
  <si>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GPI Adjustment</t>
  </si>
  <si>
    <t>HDD55N</t>
  </si>
  <si>
    <t>HDD55</t>
  </si>
  <si>
    <t>WeatherAdjustment, MWHs</t>
  </si>
  <si>
    <t>HDD45Coeff</t>
  </si>
  <si>
    <t>CDD65Coeff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</si>
  <si>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</si>
  <si>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</si>
  <si>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</si>
  <si>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</si>
  <si>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Monthly History of HDD65, Jan. 2008 - Dec. 2021</t>
  </si>
  <si>
    <t>Normal weather values are 30-year average values for 1991-2020.</t>
  </si>
  <si>
    <t>% Diff from Normal (1/2021-12/2021)</t>
  </si>
  <si>
    <t>1/2022 - 12/2022</t>
  </si>
  <si>
    <t>2022 System Temperature-Sensitivity Model Coefficients - Modeling Data Sample Period: 1/1/2018 - 12/31/2021</t>
  </si>
  <si>
    <t>2022 System Model Coefficients:</t>
  </si>
  <si>
    <t>HDD60Coef</t>
  </si>
  <si>
    <t>HDD60*(1-(OCT+NOV+DEC+JAN+FEB+MAR))</t>
  </si>
  <si>
    <t>2024 GRC Rate schedule Temperature-Sensitivity Model Coefficients</t>
  </si>
  <si>
    <t>Normal HDD60</t>
  </si>
  <si>
    <t>Actual HDD60</t>
  </si>
  <si>
    <t>2023 Monthly Number of Customers by Rate Schedule</t>
  </si>
  <si>
    <t>FOR THE TWELVE MONTHS ENDED DECEMBER, 2023</t>
  </si>
  <si>
    <t>Normal weather values are climate change normal used in F23</t>
  </si>
  <si>
    <t>Normal weather values are climate change normal weather defined in F23</t>
  </si>
  <si>
    <t>10 days</t>
  </si>
  <si>
    <t>21 days</t>
  </si>
  <si>
    <t>Effective July 1, 2021 and January 11, 2023
Variable PCA Rates Only
(Decoupling Covers Fixed Production &amp; Margin Revenue)</t>
  </si>
  <si>
    <t>cross check</t>
  </si>
  <si>
    <t>Including Schedule 139</t>
  </si>
  <si>
    <t>GPI KWH</t>
  </si>
  <si>
    <t>REVENUE ADJUSTMENT:</t>
  </si>
  <si>
    <t>Schedule 8 &amp; 24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</si>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</sst>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666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rgb="FF0000FF"/>
      <name val="Arial"/>
      <family val="2"/>
    </font>
    <font>
      <u/>
      <sz val="10"/>
      <color rgb="FF0000FF"/>
      <name val="Times New Roman"/>
      <family val="1"/>
    </font>
    <font>
      <u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2573">
    <xf numFmtId="0" fontId="0" fillId="0" borderId="0"/>
    <xf numFmtId="166" fontId="6" fillId="0" borderId="0">
      <alignment horizontal="left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38" fontId="8" fillId="22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38" fontId="16" fillId="0" borderId="0"/>
    <xf numFmtId="40" fontId="16" fillId="0" borderId="0"/>
    <xf numFmtId="0" fontId="29" fillId="7" borderId="1" applyNumberFormat="0" applyAlignment="0" applyProtection="0"/>
    <xf numFmtId="10" fontId="8" fillId="23" borderId="6" applyNumberFormat="0" applyBorder="0" applyAlignment="0" applyProtection="0"/>
    <xf numFmtId="0" fontId="30" fillId="0" borderId="7" applyNumberFormat="0" applyFill="0" applyAlignment="0" applyProtection="0"/>
    <xf numFmtId="44" fontId="17" fillId="0" borderId="8" applyNumberFormat="0" applyFont="0" applyAlignment="0">
      <alignment horizontal="center"/>
    </xf>
    <xf numFmtId="44" fontId="17" fillId="0" borderId="9" applyNumberFormat="0" applyFont="0" applyAlignment="0">
      <alignment horizontal="center"/>
    </xf>
    <xf numFmtId="0" fontId="31" fillId="24" borderId="0" applyNumberFormat="0" applyBorder="0" applyAlignment="0" applyProtection="0"/>
    <xf numFmtId="171" fontId="9" fillId="0" borderId="0"/>
    <xf numFmtId="0" fontId="13" fillId="0" borderId="0"/>
    <xf numFmtId="0" fontId="6" fillId="0" borderId="0"/>
    <xf numFmtId="0" fontId="6" fillId="25" borderId="10" applyNumberFormat="0" applyFont="0" applyAlignment="0" applyProtection="0"/>
    <xf numFmtId="0" fontId="32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16" fillId="0" borderId="13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9" fillId="0" borderId="0"/>
    <xf numFmtId="0" fontId="39" fillId="0" borderId="0"/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9" fillId="0" borderId="0"/>
    <xf numFmtId="0" fontId="3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0" fontId="39" fillId="0" borderId="0"/>
    <xf numFmtId="174" fontId="41" fillId="0" borderId="0">
      <alignment horizontal="left"/>
    </xf>
    <xf numFmtId="175" fontId="42" fillId="0" borderId="0">
      <alignment horizontal="left"/>
    </xf>
    <xf numFmtId="0" fontId="43" fillId="0" borderId="38"/>
    <xf numFmtId="0" fontId="44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66" fontId="40" fillId="0" borderId="0">
      <alignment horizontal="left" wrapText="1"/>
    </xf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40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9" fillId="2" borderId="0" applyNumberFormat="0" applyBorder="0" applyAlignment="0" applyProtection="0"/>
    <xf numFmtId="166" fontId="40" fillId="0" borderId="0">
      <alignment horizontal="left" wrapText="1"/>
    </xf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6" fontId="40" fillId="0" borderId="0">
      <alignment horizontal="left" wrapText="1"/>
    </xf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40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9" fillId="3" borderId="0" applyNumberFormat="0" applyBorder="0" applyAlignment="0" applyProtection="0"/>
    <xf numFmtId="166" fontId="40" fillId="0" borderId="0">
      <alignment horizontal="left" wrapText="1"/>
    </xf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66" fontId="40" fillId="0" borderId="0">
      <alignment horizontal="left" wrapText="1"/>
    </xf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0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9" fillId="4" borderId="0" applyNumberFormat="0" applyBorder="0" applyAlignment="0" applyProtection="0"/>
    <xf numFmtId="166" fontId="40" fillId="0" borderId="0">
      <alignment horizontal="left" wrapText="1"/>
    </xf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40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66" fontId="40" fillId="0" borderId="0">
      <alignment horizontal="left" wrapText="1"/>
    </xf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66" fontId="40" fillId="0" borderId="0">
      <alignment horizontal="left" wrapText="1"/>
    </xf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0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9" fillId="7" borderId="0" applyNumberFormat="0" applyBorder="0" applyAlignment="0" applyProtection="0"/>
    <xf numFmtId="166" fontId="40" fillId="0" borderId="0">
      <alignment horizontal="left" wrapText="1"/>
    </xf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0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6" fontId="40" fillId="0" borderId="0">
      <alignment horizontal="left" wrapText="1"/>
    </xf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40" fillId="0" borderId="0">
      <alignment horizontal="left" wrapText="1"/>
    </xf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40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9" fillId="10" borderId="0" applyNumberFormat="0" applyBorder="0" applyAlignment="0" applyProtection="0"/>
    <xf numFmtId="166" fontId="40" fillId="0" borderId="0">
      <alignment horizontal="left" wrapText="1"/>
    </xf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40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0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40" fillId="0" borderId="0">
      <alignment horizontal="left" wrapText="1"/>
    </xf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0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9" fillId="11" borderId="0" applyNumberFormat="0" applyBorder="0" applyAlignment="0" applyProtection="0"/>
    <xf numFmtId="166" fontId="40" fillId="0" borderId="0">
      <alignment horizontal="left" wrapText="1"/>
    </xf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0" fillId="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0" fillId="1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11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0" fillId="1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1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1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3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0" fillId="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6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0" fillId="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0" fillId="9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9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9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166" fontId="40" fillId="0" borderId="0">
      <alignment horizontal="left" wrapText="1"/>
    </xf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1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19" borderId="0" applyNumberFormat="0" applyBorder="0" applyAlignment="0" applyProtection="0"/>
    <xf numFmtId="166" fontId="40" fillId="0" borderId="0">
      <alignment horizontal="left" wrapText="1"/>
    </xf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11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11" borderId="0" applyNumberFormat="0" applyBorder="0" applyAlignment="0" applyProtection="0"/>
    <xf numFmtId="166" fontId="40" fillId="0" borderId="0">
      <alignment horizontal="left" wrapText="1"/>
    </xf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166" fontId="40" fillId="0" borderId="0">
      <alignment horizontal="left" wrapText="1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46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6" fontId="40" fillId="0" borderId="0">
      <alignment horizontal="left" wrapText="1"/>
    </xf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6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17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17" borderId="0" applyNumberFormat="0" applyBorder="0" applyAlignment="0" applyProtection="0"/>
    <xf numFmtId="166" fontId="40" fillId="0" borderId="0">
      <alignment horizontal="left" wrapText="1"/>
    </xf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5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21" fillId="5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5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5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4" fillId="0" borderId="38"/>
    <xf numFmtId="176" fontId="47" fillId="0" borderId="0" applyFill="0" applyBorder="0" applyAlignment="0"/>
    <xf numFmtId="176" fontId="47" fillId="0" borderId="0" applyFill="0" applyBorder="0" applyAlignment="0"/>
    <xf numFmtId="166" fontId="40" fillId="0" borderId="0">
      <alignment horizontal="left" wrapText="1"/>
    </xf>
    <xf numFmtId="166" fontId="40" fillId="0" borderId="0">
      <alignment horizontal="left" wrapText="1"/>
    </xf>
    <xf numFmtId="176" fontId="47" fillId="0" borderId="0" applyFill="0" applyBorder="0" applyAlignment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0" fontId="22" fillId="20" borderId="1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20" borderId="1" applyNumberFormat="0" applyAlignment="0" applyProtection="0"/>
    <xf numFmtId="0" fontId="48" fillId="65" borderId="39" applyNumberFormat="0" applyAlignment="0" applyProtection="0"/>
    <xf numFmtId="0" fontId="49" fillId="66" borderId="39" applyNumberFormat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1" fontId="6" fillId="23" borderId="0"/>
    <xf numFmtId="166" fontId="40" fillId="0" borderId="0">
      <alignment horizontal="left" wrapText="1"/>
    </xf>
    <xf numFmtId="41" fontId="6" fillId="23" borderId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9" fillId="66" borderId="39" applyNumberFormat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41" fontId="6" fillId="23" borderId="0"/>
    <xf numFmtId="166" fontId="40" fillId="0" borderId="0">
      <alignment horizontal="left" wrapText="1"/>
    </xf>
    <xf numFmtId="41" fontId="6" fillId="23" borderId="0"/>
    <xf numFmtId="166" fontId="40" fillId="0" borderId="0">
      <alignment horizontal="left" wrapText="1"/>
    </xf>
    <xf numFmtId="41" fontId="6" fillId="23" borderId="0"/>
    <xf numFmtId="166" fontId="40" fillId="0" borderId="0">
      <alignment horizontal="left" wrapText="1"/>
    </xf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166" fontId="40" fillId="0" borderId="0">
      <alignment horizontal="left" wrapText="1"/>
    </xf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19" fillId="0" borderId="0"/>
    <xf numFmtId="41" fontId="6" fillId="23" borderId="0"/>
    <xf numFmtId="0" fontId="19" fillId="0" borderId="0"/>
    <xf numFmtId="0" fontId="49" fillId="66" borderId="39" applyNumberFormat="0" applyAlignment="0" applyProtection="0"/>
    <xf numFmtId="0" fontId="48" fillId="65" borderId="39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1" borderId="2" applyNumberFormat="0" applyAlignment="0" applyProtection="0"/>
    <xf numFmtId="166" fontId="40" fillId="0" borderId="0">
      <alignment horizontal="left" wrapText="1"/>
    </xf>
    <xf numFmtId="0" fontId="19" fillId="0" borderId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23" fillId="21" borderId="2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41" fontId="6" fillId="22" borderId="0"/>
    <xf numFmtId="41" fontId="6" fillId="22" borderId="0"/>
    <xf numFmtId="166" fontId="40" fillId="0" borderId="0">
      <alignment horizontal="left" wrapText="1"/>
    </xf>
    <xf numFmtId="41" fontId="6" fillId="22" borderId="0"/>
    <xf numFmtId="41" fontId="6" fillId="22" borderId="0"/>
    <xf numFmtId="166" fontId="40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3" fontId="54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166" fontId="40" fillId="0" borderId="0">
      <alignment horizontal="left" wrapText="1"/>
    </xf>
    <xf numFmtId="3" fontId="54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0" fontId="61" fillId="0" borderId="0">
      <protection locked="0"/>
    </xf>
    <xf numFmtId="0" fontId="57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8" fillId="0" borderId="0"/>
    <xf numFmtId="0" fontId="62" fillId="0" borderId="0" applyNumberFormat="0" applyAlignment="0">
      <alignment horizontal="left"/>
    </xf>
    <xf numFmtId="0" fontId="62" fillId="0" borderId="0" applyNumberFormat="0" applyAlignment="0">
      <alignment horizontal="left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2" fillId="0" borderId="0" applyNumberFormat="0" applyAlignment="0">
      <alignment horizontal="left"/>
    </xf>
    <xf numFmtId="0" fontId="63" fillId="0" borderId="0" applyNumberFormat="0" applyAlignment="0"/>
    <xf numFmtId="0" fontId="63" fillId="0" borderId="0" applyNumberFormat="0" applyAlignment="0"/>
    <xf numFmtId="166" fontId="40" fillId="0" borderId="0">
      <alignment horizontal="left" wrapText="1"/>
    </xf>
    <xf numFmtId="166" fontId="40" fillId="0" borderId="0">
      <alignment horizontal="left" wrapText="1"/>
    </xf>
    <xf numFmtId="0" fontId="63" fillId="0" borderId="0" applyNumberFormat="0" applyAlignment="0"/>
    <xf numFmtId="0" fontId="55" fillId="0" borderId="0"/>
    <xf numFmtId="0" fontId="55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8" fillId="0" borderId="0"/>
    <xf numFmtId="0" fontId="55" fillId="0" borderId="0"/>
    <xf numFmtId="0" fontId="55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0" fontId="19" fillId="0" borderId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8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0" fillId="0" borderId="0">
      <alignment horizontal="left" wrapText="1"/>
    </xf>
    <xf numFmtId="8" fontId="5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8" fontId="51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40" fillId="0" borderId="0">
      <alignment horizontal="left" wrapText="1"/>
    </xf>
    <xf numFmtId="181" fontId="6" fillId="0" borderId="0" applyFont="0" applyFill="0" applyBorder="0" applyAlignment="0" applyProtection="0"/>
    <xf numFmtId="166" fontId="40" fillId="0" borderId="0">
      <alignment horizontal="left" wrapText="1"/>
    </xf>
    <xf numFmtId="181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5" fontId="54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82" fontId="6" fillId="0" borderId="0" applyFont="0" applyFill="0" applyBorder="0" applyAlignment="0" applyProtection="0"/>
    <xf numFmtId="183" fontId="6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0" fillId="0" borderId="0">
      <alignment horizontal="left" wrapText="1"/>
    </xf>
    <xf numFmtId="5" fontId="54" fillId="0" borderId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183" fontId="54" fillId="0" borderId="0" applyFont="0" applyFill="0" applyBorder="0" applyAlignment="0" applyProtection="0"/>
    <xf numFmtId="5" fontId="54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2" fontId="6" fillId="0" borderId="0" applyFont="0" applyFill="0" applyBorder="0" applyAlignment="0" applyProtection="0"/>
    <xf numFmtId="184" fontId="54" fillId="0" borderId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166" fontId="40" fillId="0" borderId="0">
      <alignment horizontal="left" wrapText="1"/>
    </xf>
    <xf numFmtId="184" fontId="54" fillId="0" borderId="0" applyFill="0" applyBorder="0" applyAlignment="0" applyProtection="0"/>
    <xf numFmtId="0" fontId="5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4" fillId="0" borderId="0" applyFill="0" applyBorder="0" applyAlignment="0" applyProtection="0"/>
    <xf numFmtId="0" fontId="66" fillId="0" borderId="0" applyFont="0" applyFill="0" applyBorder="0" applyAlignment="0" applyProtection="0"/>
    <xf numFmtId="0" fontId="44" fillId="0" borderId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166" fontId="6" fillId="0" borderId="0"/>
    <xf numFmtId="166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/>
    <xf numFmtId="166" fontId="6" fillId="0" borderId="0"/>
    <xf numFmtId="166" fontId="40" fillId="0" borderId="0">
      <alignment horizontal="left" wrapText="1"/>
    </xf>
    <xf numFmtId="166" fontId="6" fillId="0" borderId="0"/>
    <xf numFmtId="166" fontId="40" fillId="0" borderId="0">
      <alignment horizontal="left" wrapText="1"/>
    </xf>
    <xf numFmtId="166" fontId="6" fillId="0" borderId="0"/>
    <xf numFmtId="166" fontId="40" fillId="0" borderId="0">
      <alignment horizontal="left" wrapText="1"/>
    </xf>
    <xf numFmtId="170" fontId="7" fillId="0" borderId="0"/>
    <xf numFmtId="166" fontId="40" fillId="0" borderId="0">
      <alignment horizontal="left" wrapText="1"/>
    </xf>
    <xf numFmtId="166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40" fillId="0" borderId="0">
      <alignment horizontal="left" wrapText="1"/>
    </xf>
    <xf numFmtId="0" fontId="1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54" fillId="0" borderId="0" applyFill="0" applyBorder="0" applyAlignment="0" applyProtection="0"/>
    <xf numFmtId="2" fontId="5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ill="0" applyBorder="0" applyAlignment="0" applyProtection="0"/>
    <xf numFmtId="2" fontId="59" fillId="0" borderId="0" applyFont="0" applyFill="0" applyBorder="0" applyAlignment="0" applyProtection="0"/>
    <xf numFmtId="0" fontId="55" fillId="0" borderId="0"/>
    <xf numFmtId="0" fontId="55" fillId="0" borderId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9" fillId="0" borderId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6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25" fillId="6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6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6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40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69" fillId="0" borderId="38"/>
    <xf numFmtId="186" fontId="70" fillId="0" borderId="0" applyNumberFormat="0" applyFill="0" applyBorder="0" applyProtection="0">
      <alignment horizontal="right"/>
    </xf>
    <xf numFmtId="0" fontId="18" fillId="0" borderId="29" applyNumberFormat="0" applyAlignment="0" applyProtection="0">
      <alignment horizontal="left"/>
    </xf>
    <xf numFmtId="0" fontId="18" fillId="0" borderId="29" applyNumberFormat="0" applyAlignment="0" applyProtection="0">
      <alignment horizontal="left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18" fillId="0" borderId="29" applyNumberFormat="0" applyAlignment="0" applyProtection="0">
      <alignment horizontal="left"/>
    </xf>
    <xf numFmtId="166" fontId="40" fillId="0" borderId="0">
      <alignment horizontal="left" wrapText="1"/>
    </xf>
    <xf numFmtId="0" fontId="18" fillId="0" borderId="22">
      <alignment horizontal="left"/>
    </xf>
    <xf numFmtId="0" fontId="18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22">
      <alignment horizontal="left"/>
    </xf>
    <xf numFmtId="0" fontId="18" fillId="0" borderId="22">
      <alignment horizontal="left"/>
    </xf>
    <xf numFmtId="166" fontId="40" fillId="0" borderId="0">
      <alignment horizontal="left" wrapText="1"/>
    </xf>
    <xf numFmtId="14" fontId="10" fillId="72" borderId="34">
      <alignment horizontal="center" vertical="center" wrapText="1"/>
    </xf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59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2" fillId="0" borderId="42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3" fillId="0" borderId="0" applyNumberFormat="0" applyFill="0" applyBorder="0" applyAlignment="0" applyProtection="0"/>
    <xf numFmtId="166" fontId="40" fillId="0" borderId="0">
      <alignment horizontal="left" wrapText="1"/>
    </xf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4" fillId="0" borderId="0" applyNumberFormat="0" applyFill="0" applyBorder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71" fillId="0" borderId="41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59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6" fillId="0" borderId="44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40" fillId="0" borderId="0">
      <alignment horizontal="left" wrapText="1"/>
    </xf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5" fillId="0" borderId="43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16" fillId="0" borderId="0"/>
    <xf numFmtId="38" fontId="16" fillId="0" borderId="0"/>
    <xf numFmtId="38" fontId="16" fillId="0" borderId="0"/>
    <xf numFmtId="166" fontId="40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38" fontId="16" fillId="0" borderId="0"/>
    <xf numFmtId="38" fontId="16" fillId="0" borderId="0"/>
    <xf numFmtId="38" fontId="16" fillId="0" borderId="0"/>
    <xf numFmtId="40" fontId="16" fillId="0" borderId="0"/>
    <xf numFmtId="40" fontId="16" fillId="0" borderId="0"/>
    <xf numFmtId="40" fontId="16" fillId="0" borderId="0"/>
    <xf numFmtId="166" fontId="40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40" fontId="16" fillId="0" borderId="0"/>
    <xf numFmtId="40" fontId="16" fillId="0" borderId="0"/>
    <xf numFmtId="4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9" fillId="0" borderId="0" applyNumberFormat="0" applyFill="0" applyBorder="0" applyAlignment="0" applyProtection="0">
      <alignment vertical="top"/>
      <protection locked="0"/>
    </xf>
    <xf numFmtId="166" fontId="40" fillId="0" borderId="0">
      <alignment horizontal="left" wrapText="1"/>
    </xf>
    <xf numFmtId="0" fontId="79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24" borderId="39" applyNumberFormat="0" applyAlignment="0" applyProtection="0"/>
    <xf numFmtId="0" fontId="29" fillId="7" borderId="1" applyNumberFormat="0" applyAlignment="0" applyProtection="0"/>
    <xf numFmtId="166" fontId="40" fillId="0" borderId="0">
      <alignment horizontal="left" wrapText="1"/>
    </xf>
    <xf numFmtId="0" fontId="2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24" borderId="39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29" fillId="7" borderId="1" applyNumberFormat="0" applyAlignment="0" applyProtection="0"/>
    <xf numFmtId="0" fontId="19" fillId="0" borderId="0"/>
    <xf numFmtId="0" fontId="29" fillId="7" borderId="1" applyNumberFormat="0" applyAlignment="0" applyProtection="0"/>
    <xf numFmtId="41" fontId="81" fillId="26" borderId="47">
      <alignment horizontal="left"/>
      <protection locked="0"/>
    </xf>
    <xf numFmtId="166" fontId="40" fillId="0" borderId="0">
      <alignment horizontal="left" wrapText="1"/>
    </xf>
    <xf numFmtId="41" fontId="81" fillId="26" borderId="47">
      <alignment horizontal="left"/>
      <protection locked="0"/>
    </xf>
    <xf numFmtId="10" fontId="81" fillId="26" borderId="47">
      <alignment horizontal="right"/>
      <protection locked="0"/>
    </xf>
    <xf numFmtId="166" fontId="40" fillId="0" borderId="0">
      <alignment horizontal="left" wrapText="1"/>
    </xf>
    <xf numFmtId="10" fontId="81" fillId="26" borderId="47">
      <alignment horizontal="right"/>
      <protection locked="0"/>
    </xf>
    <xf numFmtId="166" fontId="40" fillId="0" borderId="0">
      <alignment horizontal="left" wrapText="1"/>
    </xf>
    <xf numFmtId="41" fontId="81" fillId="26" borderId="47">
      <alignment horizontal="left"/>
      <protection locked="0"/>
    </xf>
    <xf numFmtId="0" fontId="69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40" fillId="0" borderId="0">
      <alignment horizontal="left" wrapText="1"/>
    </xf>
    <xf numFmtId="3" fontId="82" fillId="0" borderId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9" fillId="0" borderId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166" fontId="40" fillId="0" borderId="0">
      <alignment horizontal="left" wrapText="1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166" fontId="40" fillId="0" borderId="0">
      <alignment horizontal="left" wrapText="1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9" fillId="0" borderId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5" fillId="74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6" fillId="2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5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5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37" fontId="87" fillId="0" borderId="0"/>
    <xf numFmtId="37" fontId="87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37" fontId="87" fillId="0" borderId="0"/>
    <xf numFmtId="188" fontId="6" fillId="0" borderId="0"/>
    <xf numFmtId="188" fontId="6" fillId="0" borderId="0"/>
    <xf numFmtId="166" fontId="40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40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40" fillId="0" borderId="0">
      <alignment horizontal="left" wrapText="1"/>
    </xf>
    <xf numFmtId="188" fontId="6" fillId="0" borderId="0"/>
    <xf numFmtId="188" fontId="6" fillId="0" borderId="0"/>
    <xf numFmtId="189" fontId="40" fillId="0" borderId="0"/>
    <xf numFmtId="189" fontId="40" fillId="0" borderId="0"/>
    <xf numFmtId="0" fontId="88" fillId="0" borderId="0"/>
    <xf numFmtId="0" fontId="5" fillId="0" borderId="0"/>
    <xf numFmtId="171" fontId="9" fillId="0" borderId="0"/>
    <xf numFmtId="0" fontId="6" fillId="0" borderId="0"/>
    <xf numFmtId="0" fontId="88" fillId="0" borderId="0"/>
    <xf numFmtId="171" fontId="9" fillId="0" borderId="0"/>
    <xf numFmtId="19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89" fontId="40" fillId="0" borderId="0"/>
    <xf numFmtId="0" fontId="5" fillId="0" borderId="0"/>
    <xf numFmtId="0" fontId="88" fillId="0" borderId="0"/>
    <xf numFmtId="0" fontId="88" fillId="0" borderId="0"/>
    <xf numFmtId="191" fontId="6" fillId="0" borderId="0"/>
    <xf numFmtId="0" fontId="88" fillId="0" borderId="0"/>
    <xf numFmtId="192" fontId="5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88" fontId="40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40" fillId="0" borderId="0">
      <alignment horizontal="left" wrapText="1"/>
    </xf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19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40" fillId="0" borderId="0">
      <alignment horizontal="left" wrapText="1"/>
    </xf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6" fillId="0" borderId="0"/>
    <xf numFmtId="188" fontId="40" fillId="0" borderId="0">
      <alignment horizontal="left" wrapText="1"/>
    </xf>
    <xf numFmtId="0" fontId="88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88" fontId="40" fillId="0" borderId="0">
      <alignment horizontal="left" wrapText="1"/>
    </xf>
    <xf numFmtId="166" fontId="6" fillId="0" borderId="0">
      <alignment horizontal="left" wrapText="1"/>
    </xf>
    <xf numFmtId="188" fontId="40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88" fontId="40" fillId="0" borderId="0">
      <alignment horizontal="left" wrapText="1"/>
    </xf>
    <xf numFmtId="188" fontId="40" fillId="0" borderId="0">
      <alignment horizontal="left" wrapText="1"/>
    </xf>
    <xf numFmtId="188" fontId="40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88" fontId="40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6" fillId="0" borderId="0"/>
    <xf numFmtId="0" fontId="6" fillId="0" borderId="0"/>
    <xf numFmtId="0" fontId="38" fillId="0" borderId="0"/>
    <xf numFmtId="0" fontId="19" fillId="0" borderId="0"/>
    <xf numFmtId="0" fontId="19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19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3" fillId="0" borderId="0"/>
    <xf numFmtId="0" fontId="88" fillId="0" borderId="0"/>
    <xf numFmtId="166" fontId="40" fillId="0" borderId="0">
      <alignment horizontal="left" wrapText="1"/>
    </xf>
    <xf numFmtId="0" fontId="88" fillId="0" borderId="0"/>
    <xf numFmtId="0" fontId="19" fillId="0" borderId="0"/>
    <xf numFmtId="0" fontId="19" fillId="0" borderId="0"/>
    <xf numFmtId="0" fontId="13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3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40" fillId="0" borderId="0">
      <alignment horizontal="left" wrapText="1"/>
    </xf>
    <xf numFmtId="193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88" fillId="0" borderId="0"/>
    <xf numFmtId="0" fontId="6" fillId="0" borderId="0"/>
    <xf numFmtId="0" fontId="6" fillId="0" borderId="0"/>
    <xf numFmtId="0" fontId="40" fillId="0" borderId="0"/>
    <xf numFmtId="195" fontId="40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5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88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88" fillId="0" borderId="0"/>
    <xf numFmtId="168" fontId="6" fillId="0" borderId="0">
      <alignment horizontal="left" wrapText="1"/>
    </xf>
    <xf numFmtId="0" fontId="88" fillId="0" borderId="0"/>
    <xf numFmtId="0" fontId="19" fillId="0" borderId="0"/>
    <xf numFmtId="0" fontId="88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0" fontId="64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39" fontId="36" fillId="0" borderId="0" applyNumberForma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39" fontId="36" fillId="0" borderId="0" applyNumberFormat="0" applyFill="0" applyBorder="0" applyAlignment="0" applyProtection="0"/>
    <xf numFmtId="166" fontId="40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6" fontId="40" fillId="0" borderId="0">
      <alignment horizontal="left" wrapText="1"/>
    </xf>
    <xf numFmtId="0" fontId="6" fillId="0" borderId="0"/>
    <xf numFmtId="0" fontId="13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0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5" fontId="40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0" fontId="13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5" fontId="40" fillId="0" borderId="0">
      <alignment horizontal="left" wrapText="1"/>
    </xf>
    <xf numFmtId="165" fontId="40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38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166" fontId="40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88" fillId="0" borderId="0"/>
    <xf numFmtId="0" fontId="88" fillId="0" borderId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88" fillId="0" borderId="0"/>
    <xf numFmtId="0" fontId="40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88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88" fillId="0" borderId="0"/>
    <xf numFmtId="0" fontId="88" fillId="0" borderId="0"/>
    <xf numFmtId="0" fontId="5" fillId="0" borderId="0"/>
    <xf numFmtId="166" fontId="40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32" fillId="20" borderId="11" applyNumberFormat="0" applyAlignment="0" applyProtection="0"/>
    <xf numFmtId="0" fontId="32" fillId="20" borderId="11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20" borderId="11" applyNumberFormat="0" applyAlignment="0" applyProtection="0"/>
    <xf numFmtId="0" fontId="88" fillId="0" borderId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88" fillId="0" borderId="0"/>
    <xf numFmtId="0" fontId="6" fillId="0" borderId="0"/>
    <xf numFmtId="0" fontId="6" fillId="0" borderId="0"/>
    <xf numFmtId="0" fontId="6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6" borderId="52" applyNumberFormat="0" applyAlignment="0" applyProtection="0"/>
    <xf numFmtId="166" fontId="40" fillId="0" borderId="0">
      <alignment horizontal="left" wrapText="1"/>
    </xf>
    <xf numFmtId="0" fontId="88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32" fillId="66" borderId="11" applyNumberFormat="0" applyAlignment="0" applyProtection="0"/>
    <xf numFmtId="0" fontId="88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6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6" borderId="52" applyNumberFormat="0" applyAlignment="0" applyProtection="0"/>
    <xf numFmtId="0" fontId="88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55" fillId="0" borderId="0"/>
    <xf numFmtId="0" fontId="55" fillId="0" borderId="0"/>
    <xf numFmtId="0" fontId="88" fillId="0" borderId="0"/>
    <xf numFmtId="0" fontId="5" fillId="0" borderId="0"/>
    <xf numFmtId="0" fontId="55" fillId="0" borderId="0"/>
    <xf numFmtId="0" fontId="56" fillId="0" borderId="0"/>
    <xf numFmtId="0" fontId="88" fillId="0" borderId="0"/>
    <xf numFmtId="0" fontId="56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8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0" fontId="88" fillId="0" borderId="0"/>
    <xf numFmtId="10" fontId="6" fillId="0" borderId="0" applyFont="0" applyFill="0" applyBorder="0" applyAlignment="0" applyProtection="0"/>
    <xf numFmtId="0" fontId="88" fillId="0" borderId="0"/>
    <xf numFmtId="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5" fillId="0" borderId="0" applyFont="0" applyFill="0" applyBorder="0" applyAlignment="0" applyProtection="0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0" fontId="6" fillId="0" borderId="47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13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8" fillId="0" borderId="0"/>
    <xf numFmtId="9" fontId="6" fillId="0" borderId="0" applyFont="0" applyFill="0" applyBorder="0" applyAlignment="0" applyProtection="0"/>
    <xf numFmtId="0" fontId="5" fillId="0" borderId="0"/>
    <xf numFmtId="0" fontId="88" fillId="0" borderId="0"/>
    <xf numFmtId="9" fontId="6" fillId="0" borderId="0" applyFont="0" applyFill="0" applyBorder="0" applyAlignment="0" applyProtection="0"/>
    <xf numFmtId="0" fontId="88" fillId="0" borderId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0" fontId="88" fillId="0" borderId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47"/>
    <xf numFmtId="9" fontId="51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9" fontId="13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13" fillId="0" borderId="0" applyFont="0" applyFill="0" applyBorder="0" applyAlignment="0" applyProtection="0"/>
    <xf numFmtId="10" fontId="6" fillId="0" borderId="47"/>
    <xf numFmtId="9" fontId="13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13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0" fontId="88" fillId="0" borderId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8" fillId="0" borderId="0"/>
    <xf numFmtId="9" fontId="40" fillId="0" borderId="0" applyFont="0" applyFill="0" applyBorder="0" applyAlignment="0" applyProtection="0"/>
    <xf numFmtId="0" fontId="5" fillId="0" borderId="0"/>
    <xf numFmtId="0" fontId="88" fillId="0" borderId="0"/>
    <xf numFmtId="0" fontId="5" fillId="0" borderId="0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0" fontId="88" fillId="0" borderId="0"/>
    <xf numFmtId="9" fontId="6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0" fontId="88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40" fillId="0" borderId="0">
      <alignment horizontal="left" wrapText="1"/>
    </xf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0" fillId="0" borderId="0">
      <alignment horizontal="left" wrapText="1"/>
    </xf>
    <xf numFmtId="9" fontId="51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0" fillId="0" borderId="0">
      <alignment horizontal="left" wrapText="1"/>
    </xf>
    <xf numFmtId="0" fontId="88" fillId="0" borderId="0"/>
    <xf numFmtId="0" fontId="5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40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88" fillId="0" borderId="0"/>
    <xf numFmtId="0" fontId="5" fillId="0" borderId="0"/>
    <xf numFmtId="166" fontId="40" fillId="0" borderId="0">
      <alignment horizontal="left" wrapText="1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" fontId="13" fillId="0" borderId="0" applyFont="0" applyFill="0" applyBorder="0" applyAlignment="0" applyProtection="0"/>
    <xf numFmtId="0" fontId="37" fillId="0" borderId="34">
      <alignment horizontal="center"/>
    </xf>
    <xf numFmtId="0" fontId="37" fillId="0" borderId="34">
      <alignment horizontal="center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37" fillId="0" borderId="34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3" fontId="13" fillId="0" borderId="0" applyFont="0" applyFill="0" applyBorder="0" applyAlignment="0" applyProtection="0"/>
    <xf numFmtId="0" fontId="13" fillId="77" borderId="0" applyNumberFormat="0" applyFont="0" applyBorder="0" applyAlignment="0" applyProtection="0"/>
    <xf numFmtId="0" fontId="13" fillId="77" borderId="0" applyNumberFormat="0" applyFon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13" fillId="77" borderId="0" applyNumberFormat="0" applyFont="0" applyBorder="0" applyAlignment="0" applyProtection="0"/>
    <xf numFmtId="0" fontId="57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6" fillId="23" borderId="0"/>
    <xf numFmtId="0" fontId="56" fillId="78" borderId="0"/>
    <xf numFmtId="0" fontId="93" fillId="78" borderId="48"/>
    <xf numFmtId="0" fontId="94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95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40" fillId="0" borderId="0">
      <alignment horizontal="left" wrapText="1"/>
    </xf>
    <xf numFmtId="0" fontId="5" fillId="0" borderId="0"/>
    <xf numFmtId="42" fontId="6" fillId="23" borderId="0"/>
    <xf numFmtId="166" fontId="40" fillId="0" borderId="0">
      <alignment horizontal="left" wrapText="1"/>
    </xf>
    <xf numFmtId="0" fontId="88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40" fillId="0" borderId="0">
      <alignment horizontal="left" wrapText="1"/>
    </xf>
    <xf numFmtId="0" fontId="10" fillId="23" borderId="20" applyNumberFormat="0">
      <alignment horizontal="center" vertical="center" wrapText="1"/>
    </xf>
    <xf numFmtId="0" fontId="10" fillId="23" borderId="20" applyNumberFormat="0">
      <alignment horizontal="center" vertical="center" wrapText="1"/>
    </xf>
    <xf numFmtId="0" fontId="88" fillId="0" borderId="0"/>
    <xf numFmtId="0" fontId="10" fillId="23" borderId="20" applyNumberFormat="0">
      <alignment horizontal="center" vertical="center" wrapText="1"/>
    </xf>
    <xf numFmtId="166" fontId="40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23" borderId="0"/>
    <xf numFmtId="10" fontId="6" fillId="23" borderId="0"/>
    <xf numFmtId="166" fontId="40" fillId="0" borderId="0">
      <alignment horizontal="left" wrapText="1"/>
    </xf>
    <xf numFmtId="10" fontId="6" fillId="23" borderId="0"/>
    <xf numFmtId="166" fontId="40" fillId="0" borderId="0">
      <alignment horizontal="left" wrapText="1"/>
    </xf>
    <xf numFmtId="10" fontId="6" fillId="23" borderId="0"/>
    <xf numFmtId="166" fontId="40" fillId="0" borderId="0">
      <alignment horizontal="left" wrapText="1"/>
    </xf>
    <xf numFmtId="10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23" borderId="0"/>
    <xf numFmtId="0" fontId="88" fillId="0" borderId="0"/>
    <xf numFmtId="10" fontId="6" fillId="23" borderId="0"/>
    <xf numFmtId="0" fontId="88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198" fontId="6" fillId="23" borderId="0"/>
    <xf numFmtId="198" fontId="6" fillId="23" borderId="0"/>
    <xf numFmtId="166" fontId="40" fillId="0" borderId="0">
      <alignment horizontal="left" wrapText="1"/>
    </xf>
    <xf numFmtId="198" fontId="6" fillId="23" borderId="0"/>
    <xf numFmtId="166" fontId="40" fillId="0" borderId="0">
      <alignment horizontal="left" wrapText="1"/>
    </xf>
    <xf numFmtId="198" fontId="6" fillId="23" borderId="0"/>
    <xf numFmtId="166" fontId="40" fillId="0" borderId="0">
      <alignment horizontal="left" wrapText="1"/>
    </xf>
    <xf numFmtId="198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88" fillId="0" borderId="0"/>
    <xf numFmtId="0" fontId="5" fillId="0" borderId="0"/>
    <xf numFmtId="0" fontId="88" fillId="0" borderId="0"/>
    <xf numFmtId="0" fontId="5" fillId="0" borderId="0"/>
    <xf numFmtId="198" fontId="6" fillId="23" borderId="0"/>
    <xf numFmtId="42" fontId="6" fillId="23" borderId="0"/>
    <xf numFmtId="164" fontId="16" fillId="0" borderId="0" applyBorder="0" applyAlignment="0"/>
    <xf numFmtId="164" fontId="16" fillId="0" borderId="0" applyBorder="0" applyAlignment="0"/>
    <xf numFmtId="0" fontId="88" fillId="0" borderId="0"/>
    <xf numFmtId="164" fontId="16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40" fillId="0" borderId="0">
      <alignment horizontal="left" wrapText="1"/>
    </xf>
    <xf numFmtId="198" fontId="15" fillId="23" borderId="13">
      <alignment horizontal="left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15" fillId="23" borderId="13">
      <alignment horizontal="left"/>
    </xf>
    <xf numFmtId="0" fontId="88" fillId="0" borderId="0"/>
    <xf numFmtId="0" fontId="5" fillId="0" borderId="0"/>
    <xf numFmtId="164" fontId="16" fillId="0" borderId="0" applyBorder="0" applyAlignment="0"/>
    <xf numFmtId="14" fontId="40" fillId="0" borderId="0" applyNumberFormat="0" applyFill="0" applyBorder="0" applyAlignment="0" applyProtection="0">
      <alignment horizontal="left"/>
    </xf>
    <xf numFmtId="14" fontId="40" fillId="0" borderId="0" applyNumberFormat="0" applyFill="0" applyBorder="0" applyAlignment="0" applyProtection="0">
      <alignment horizontal="left"/>
    </xf>
    <xf numFmtId="0" fontId="88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0" fontId="88" fillId="0" borderId="0"/>
    <xf numFmtId="199" fontId="6" fillId="0" borderId="0" applyFont="0" applyFill="0" applyAlignment="0">
      <alignment horizontal="right"/>
    </xf>
    <xf numFmtId="0" fontId="88" fillId="0" borderId="0"/>
    <xf numFmtId="0" fontId="5" fillId="0" borderId="0"/>
    <xf numFmtId="4" fontId="96" fillId="26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7" fillId="26" borderId="11" applyNumberFormat="0" applyProtection="0">
      <alignment vertical="center"/>
    </xf>
    <xf numFmtId="4" fontId="96" fillId="2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96" fillId="82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2" borderId="11" applyNumberFormat="0" applyProtection="0">
      <alignment horizontal="right" vertical="center"/>
    </xf>
    <xf numFmtId="4" fontId="96" fillId="83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3" borderId="11" applyNumberFormat="0" applyProtection="0">
      <alignment horizontal="right" vertical="center"/>
    </xf>
    <xf numFmtId="4" fontId="96" fillId="84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4" borderId="11" applyNumberFormat="0" applyProtection="0">
      <alignment horizontal="right" vertical="center"/>
    </xf>
    <xf numFmtId="4" fontId="96" fillId="85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5" borderId="11" applyNumberFormat="0" applyProtection="0">
      <alignment horizontal="right" vertical="center"/>
    </xf>
    <xf numFmtId="4" fontId="96" fillId="86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6" borderId="11" applyNumberFormat="0" applyProtection="0">
      <alignment horizontal="right" vertical="center"/>
    </xf>
    <xf numFmtId="4" fontId="96" fillId="87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7" borderId="11" applyNumberFormat="0" applyProtection="0">
      <alignment horizontal="right" vertical="center"/>
    </xf>
    <xf numFmtId="4" fontId="96" fillId="88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8" borderId="11" applyNumberFormat="0" applyProtection="0">
      <alignment horizontal="right" vertical="center"/>
    </xf>
    <xf numFmtId="4" fontId="96" fillId="89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9" borderId="11" applyNumberFormat="0" applyProtection="0">
      <alignment horizontal="right" vertical="center"/>
    </xf>
    <xf numFmtId="4" fontId="96" fillId="90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0" borderId="11" applyNumberFormat="0" applyProtection="0">
      <alignment horizontal="right" vertical="center"/>
    </xf>
    <xf numFmtId="4" fontId="98" fillId="91" borderId="11" applyNumberFormat="0" applyProtection="0">
      <alignment horizontal="left" vertical="center" indent="1"/>
    </xf>
    <xf numFmtId="4" fontId="98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8" fillId="92" borderId="0" applyNumberFormat="0" applyProtection="0">
      <alignment horizontal="left" vertical="center" indent="1"/>
    </xf>
    <xf numFmtId="4" fontId="98" fillId="91" borderId="11" applyNumberFormat="0" applyProtection="0">
      <alignment horizontal="left" vertical="center" indent="1"/>
    </xf>
    <xf numFmtId="4" fontId="96" fillId="93" borderId="55" applyNumberFormat="0" applyProtection="0">
      <alignment horizontal="left" vertical="center" indent="1"/>
    </xf>
    <xf numFmtId="4" fontId="96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3" borderId="0" applyNumberFormat="0" applyProtection="0">
      <alignment horizontal="left" vertical="center" indent="1"/>
    </xf>
    <xf numFmtId="4" fontId="99" fillId="94" borderId="0" applyNumberFormat="0" applyProtection="0">
      <alignment horizontal="left" vertical="center" indent="1"/>
    </xf>
    <xf numFmtId="4" fontId="99" fillId="94" borderId="0" applyNumberFormat="0" applyProtection="0">
      <alignment horizontal="left" vertical="center" indent="1"/>
    </xf>
    <xf numFmtId="0" fontId="88" fillId="0" borderId="0"/>
    <xf numFmtId="4" fontId="99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0" fillId="0" borderId="0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0" fillId="0" borderId="0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59" borderId="56" applyBorder="0"/>
    <xf numFmtId="4" fontId="96" fillId="97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7" fillId="97" borderId="11" applyNumberFormat="0" applyProtection="0">
      <alignment vertical="center"/>
    </xf>
    <xf numFmtId="4" fontId="96" fillId="97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7" borderId="11" applyNumberFormat="0" applyProtection="0">
      <alignment horizontal="left" vertical="center" indent="1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7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01" fillId="0" borderId="0"/>
    <xf numFmtId="0" fontId="101" fillId="0" borderId="0"/>
    <xf numFmtId="0" fontId="88" fillId="0" borderId="0"/>
    <xf numFmtId="0" fontId="102" fillId="0" borderId="0" applyNumberFormat="0" applyProtection="0">
      <alignment horizontal="left" indent="5"/>
    </xf>
    <xf numFmtId="0" fontId="8" fillId="98" borderId="6"/>
    <xf numFmtId="4" fontId="103" fillId="93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3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40" fillId="0" borderId="0">
      <alignment horizontal="left" wrapText="1"/>
    </xf>
    <xf numFmtId="166" fontId="40" fillId="0" borderId="0">
      <alignment horizontal="left" wrapText="1"/>
    </xf>
    <xf numFmtId="39" fontId="6" fillId="99" borderId="0"/>
    <xf numFmtId="39" fontId="6" fillId="99" borderId="0"/>
    <xf numFmtId="166" fontId="40" fillId="0" borderId="0">
      <alignment horizontal="left" wrapText="1"/>
    </xf>
    <xf numFmtId="39" fontId="6" fillId="99" borderId="0"/>
    <xf numFmtId="166" fontId="40" fillId="0" borderId="0">
      <alignment horizontal="left" wrapText="1"/>
    </xf>
    <xf numFmtId="39" fontId="6" fillId="99" borderId="0"/>
    <xf numFmtId="166" fontId="40" fillId="0" borderId="0">
      <alignment horizontal="left" wrapText="1"/>
    </xf>
    <xf numFmtId="39" fontId="6" fillId="99" borderId="0"/>
    <xf numFmtId="166" fontId="40" fillId="0" borderId="0">
      <alignment horizontal="left" wrapText="1"/>
    </xf>
    <xf numFmtId="166" fontId="40" fillId="0" borderId="0">
      <alignment horizontal="left" wrapText="1"/>
    </xf>
    <xf numFmtId="39" fontId="6" fillId="99" borderId="0"/>
    <xf numFmtId="0" fontId="88" fillId="0" borderId="0"/>
    <xf numFmtId="39" fontId="6" fillId="99" borderId="0"/>
    <xf numFmtId="0" fontId="88" fillId="0" borderId="0"/>
    <xf numFmtId="0" fontId="5" fillId="0" borderId="0"/>
    <xf numFmtId="39" fontId="6" fillId="99" borderId="0"/>
    <xf numFmtId="0" fontId="104" fillId="0" borderId="0" applyNumberFormat="0" applyFill="0" applyBorder="0" applyAlignment="0" applyProtection="0"/>
    <xf numFmtId="38" fontId="8" fillId="0" borderId="12"/>
    <xf numFmtId="38" fontId="8" fillId="0" borderId="12"/>
    <xf numFmtId="0" fontId="88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88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88" fillId="0" borderId="0"/>
    <xf numFmtId="38" fontId="8" fillId="0" borderId="12"/>
    <xf numFmtId="38" fontId="8" fillId="0" borderId="12"/>
    <xf numFmtId="38" fontId="8" fillId="0" borderId="12"/>
    <xf numFmtId="166" fontId="40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16" fillId="0" borderId="13"/>
    <xf numFmtId="38" fontId="16" fillId="0" borderId="13"/>
    <xf numFmtId="0" fontId="6" fillId="0" borderId="0"/>
    <xf numFmtId="0" fontId="6" fillId="0" borderId="0"/>
    <xf numFmtId="0" fontId="6" fillId="0" borderId="0"/>
    <xf numFmtId="38" fontId="16" fillId="0" borderId="13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3"/>
    <xf numFmtId="0" fontId="16" fillId="0" borderId="13"/>
    <xf numFmtId="38" fontId="16" fillId="0" borderId="13"/>
    <xf numFmtId="38" fontId="16" fillId="0" borderId="13"/>
    <xf numFmtId="38" fontId="16" fillId="0" borderId="13"/>
    <xf numFmtId="38" fontId="16" fillId="0" borderId="13"/>
    <xf numFmtId="39" fontId="40" fillId="100" borderId="0"/>
    <xf numFmtId="39" fontId="40" fillId="100" borderId="0"/>
    <xf numFmtId="0" fontId="88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88" fillId="0" borderId="0"/>
    <xf numFmtId="0" fontId="5" fillId="0" borderId="0"/>
    <xf numFmtId="0" fontId="8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88" fillId="0" borderId="0"/>
    <xf numFmtId="0" fontId="5" fillId="0" borderId="0"/>
    <xf numFmtId="166" fontId="6" fillId="0" borderId="0">
      <alignment horizontal="left" wrapText="1"/>
    </xf>
    <xf numFmtId="0" fontId="88" fillId="0" borderId="0"/>
    <xf numFmtId="173" fontId="6" fillId="0" borderId="0">
      <alignment horizontal="left" wrapText="1"/>
    </xf>
    <xf numFmtId="0" fontId="88" fillId="0" borderId="0"/>
    <xf numFmtId="0" fontId="88" fillId="0" borderId="0"/>
    <xf numFmtId="166" fontId="6" fillId="0" borderId="0">
      <alignment horizontal="left" wrapText="1"/>
    </xf>
    <xf numFmtId="0" fontId="88" fillId="0" borderId="0"/>
    <xf numFmtId="173" fontId="6" fillId="0" borderId="0">
      <alignment horizontal="left" wrapText="1"/>
    </xf>
    <xf numFmtId="0" fontId="88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88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88" fillId="0" borderId="0"/>
    <xf numFmtId="198" fontId="6" fillId="0" borderId="0">
      <alignment horizontal="left" wrapText="1"/>
    </xf>
    <xf numFmtId="0" fontId="88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88" fillId="0" borderId="0"/>
    <xf numFmtId="196" fontId="6" fillId="0" borderId="0">
      <alignment horizontal="left" wrapText="1"/>
    </xf>
    <xf numFmtId="0" fontId="88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40" fillId="0" borderId="0">
      <alignment horizontal="left" wrapText="1"/>
    </xf>
    <xf numFmtId="0" fontId="88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88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88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88" fillId="0" borderId="0"/>
    <xf numFmtId="194" fontId="6" fillId="0" borderId="0">
      <alignment horizontal="left" wrapText="1"/>
    </xf>
    <xf numFmtId="0" fontId="88" fillId="0" borderId="0"/>
    <xf numFmtId="0" fontId="88" fillId="0" borderId="0"/>
    <xf numFmtId="166" fontId="6" fillId="0" borderId="0">
      <alignment horizontal="left" wrapText="1"/>
    </xf>
    <xf numFmtId="0" fontId="5" fillId="0" borderId="0"/>
    <xf numFmtId="0" fontId="88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 applyNumberFormat="0" applyBorder="0" applyAlignment="0"/>
    <xf numFmtId="0" fontId="105" fillId="0" borderId="0" applyNumberFormat="0" applyBorder="0" applyAlignment="0"/>
    <xf numFmtId="0" fontId="98" fillId="0" borderId="0" applyNumberFormat="0" applyBorder="0" applyAlignment="0"/>
    <xf numFmtId="0" fontId="106" fillId="0" borderId="0"/>
    <xf numFmtId="0" fontId="69" fillId="0" borderId="54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108" fillId="0" borderId="0"/>
    <xf numFmtId="0" fontId="6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88" fillId="0" borderId="0"/>
    <xf numFmtId="0" fontId="33" fillId="0" borderId="0" applyNumberFormat="0" applyFill="0" applyBorder="0" applyAlignment="0" applyProtection="0"/>
    <xf numFmtId="0" fontId="5" fillId="0" borderId="0"/>
    <xf numFmtId="0" fontId="88" fillId="0" borderId="0"/>
    <xf numFmtId="0" fontId="5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6" fontId="40" fillId="0" borderId="0">
      <alignment horizontal="left" wrapText="1"/>
    </xf>
    <xf numFmtId="0" fontId="88" fillId="0" borderId="0"/>
    <xf numFmtId="166" fontId="40" fillId="0" borderId="0">
      <alignment horizontal="left"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6" fillId="0" borderId="0"/>
    <xf numFmtId="0" fontId="93" fillId="78" borderId="0"/>
    <xf numFmtId="201" fontId="111" fillId="23" borderId="0">
      <alignment horizontal="left" vertical="center"/>
    </xf>
    <xf numFmtId="201" fontId="112" fillId="0" borderId="0">
      <alignment horizontal="left" vertical="center"/>
    </xf>
    <xf numFmtId="201" fontId="112" fillId="0" borderId="0">
      <alignment horizontal="left" vertical="center"/>
    </xf>
    <xf numFmtId="0" fontId="88" fillId="0" borderId="0"/>
    <xf numFmtId="0" fontId="5" fillId="0" borderId="0"/>
    <xf numFmtId="0" fontId="10" fillId="23" borderId="0">
      <alignment horizontal="left" wrapText="1"/>
    </xf>
    <xf numFmtId="0" fontId="10" fillId="23" borderId="0">
      <alignment horizontal="left" wrapText="1"/>
    </xf>
    <xf numFmtId="0" fontId="88" fillId="0" borderId="0"/>
    <xf numFmtId="0" fontId="10" fillId="23" borderId="0">
      <alignment horizontal="left" wrapText="1"/>
    </xf>
    <xf numFmtId="166" fontId="40" fillId="0" borderId="0">
      <alignment horizontal="left" wrapText="1"/>
    </xf>
    <xf numFmtId="0" fontId="113" fillId="0" borderId="0">
      <alignment horizontal="left" vertical="center"/>
    </xf>
    <xf numFmtId="0" fontId="113" fillId="0" borderId="0">
      <alignment horizontal="left" vertical="center"/>
    </xf>
    <xf numFmtId="0" fontId="88" fillId="0" borderId="0"/>
    <xf numFmtId="0" fontId="5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59" fillId="0" borderId="58" applyNumberFormat="0" applyFon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14" applyNumberFormat="0" applyFill="0" applyAlignment="0" applyProtection="0"/>
    <xf numFmtId="0" fontId="88" fillId="0" borderId="0"/>
    <xf numFmtId="0" fontId="114" fillId="0" borderId="57" applyNumberFormat="0" applyFill="0" applyAlignment="0" applyProtection="0"/>
    <xf numFmtId="0" fontId="114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9" applyNumberFormat="0" applyFill="0" applyAlignment="0" applyProtection="0"/>
    <xf numFmtId="0" fontId="88" fillId="0" borderId="0"/>
    <xf numFmtId="0" fontId="5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41" fontId="10" fillId="23" borderId="0">
      <alignment horizontal="left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41" fontId="10" fillId="23" borderId="0">
      <alignment horizontal="left"/>
    </xf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9" applyNumberFormat="0" applyFill="0" applyAlignment="0" applyProtection="0"/>
    <xf numFmtId="0" fontId="114" fillId="0" borderId="57" applyNumberFormat="0" applyFill="0" applyAlignment="0" applyProtection="0"/>
    <xf numFmtId="0" fontId="57" fillId="0" borderId="60"/>
    <xf numFmtId="0" fontId="58" fillId="0" borderId="60"/>
    <xf numFmtId="0" fontId="58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0"/>
    <xf numFmtId="0" fontId="58" fillId="0" borderId="6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88" fillId="0" borderId="0"/>
    <xf numFmtId="166" fontId="40" fillId="0" borderId="0">
      <alignment horizontal="left" wrapText="1"/>
    </xf>
    <xf numFmtId="0" fontId="5" fillId="0" borderId="0"/>
    <xf numFmtId="0" fontId="88" fillId="0" borderId="0"/>
    <xf numFmtId="0" fontId="5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/>
    <xf numFmtId="0" fontId="5" fillId="0" borderId="0"/>
    <xf numFmtId="0" fontId="88" fillId="0" borderId="0"/>
    <xf numFmtId="0" fontId="5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>
      <alignment horizontal="left" wrapText="1"/>
    </xf>
    <xf numFmtId="0" fontId="19" fillId="0" borderId="0"/>
    <xf numFmtId="0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165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5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8" fillId="27" borderId="0" applyNumberFormat="0" applyBorder="0" applyAlignment="0" applyProtection="0"/>
    <xf numFmtId="0" fontId="6" fillId="0" borderId="0"/>
    <xf numFmtId="0" fontId="88" fillId="27" borderId="0" applyNumberFormat="0" applyBorder="0" applyAlignment="0" applyProtection="0"/>
    <xf numFmtId="0" fontId="88" fillId="27" borderId="0" applyNumberFormat="0" applyBorder="0" applyAlignment="0" applyProtection="0"/>
    <xf numFmtId="0" fontId="4" fillId="27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19" fillId="2" borderId="0" applyNumberFormat="0" applyBorder="0" applyAlignment="0" applyProtection="0"/>
    <xf numFmtId="0" fontId="19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19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27" borderId="0" applyNumberFormat="0" applyBorder="0" applyAlignment="0" applyProtection="0"/>
    <xf numFmtId="0" fontId="19" fillId="0" borderId="0"/>
    <xf numFmtId="0" fontId="6" fillId="0" borderId="0"/>
    <xf numFmtId="0" fontId="4" fillId="2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27" borderId="0" applyNumberFormat="0" applyBorder="0" applyAlignment="0" applyProtection="0"/>
    <xf numFmtId="0" fontId="31" fillId="10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27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27" borderId="0" applyNumberFormat="0" applyBorder="0" applyAlignment="0" applyProtection="0"/>
    <xf numFmtId="0" fontId="6" fillId="0" borderId="0"/>
    <xf numFmtId="0" fontId="19" fillId="0" borderId="0"/>
    <xf numFmtId="0" fontId="88" fillId="27" borderId="0" applyNumberFormat="0" applyBorder="0" applyAlignment="0" applyProtection="0"/>
    <xf numFmtId="0" fontId="88" fillId="27" borderId="0" applyNumberFormat="0" applyBorder="0" applyAlignment="0" applyProtection="0"/>
    <xf numFmtId="0" fontId="4" fillId="27" borderId="0" applyNumberFormat="0" applyBorder="0" applyAlignment="0" applyProtection="0"/>
    <xf numFmtId="0" fontId="19" fillId="0" borderId="0"/>
    <xf numFmtId="0" fontId="88" fillId="27" borderId="0" applyNumberFormat="0" applyBorder="0" applyAlignment="0" applyProtection="0"/>
    <xf numFmtId="0" fontId="19" fillId="0" borderId="0"/>
    <xf numFmtId="0" fontId="6" fillId="0" borderId="0"/>
    <xf numFmtId="0" fontId="88" fillId="27" borderId="0" applyNumberFormat="0" applyBorder="0" applyAlignment="0" applyProtection="0"/>
    <xf numFmtId="0" fontId="19" fillId="0" borderId="0"/>
    <xf numFmtId="0" fontId="88" fillId="28" borderId="0" applyNumberFormat="0" applyBorder="0" applyAlignment="0" applyProtection="0"/>
    <xf numFmtId="0" fontId="6" fillId="0" borderId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4" fillId="28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19" fillId="3" borderId="0" applyNumberFormat="0" applyBorder="0" applyAlignment="0" applyProtection="0"/>
    <xf numFmtId="0" fontId="19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19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28" borderId="0" applyNumberFormat="0" applyBorder="0" applyAlignment="0" applyProtection="0"/>
    <xf numFmtId="0" fontId="19" fillId="0" borderId="0"/>
    <xf numFmtId="0" fontId="6" fillId="0" borderId="0"/>
    <xf numFmtId="0" fontId="4" fillId="2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28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28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28" borderId="0" applyNumberFormat="0" applyBorder="0" applyAlignment="0" applyProtection="0"/>
    <xf numFmtId="0" fontId="6" fillId="0" borderId="0"/>
    <xf numFmtId="0" fontId="19" fillId="0" borderId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4" fillId="28" borderId="0" applyNumberFormat="0" applyBorder="0" applyAlignment="0" applyProtection="0"/>
    <xf numFmtId="0" fontId="19" fillId="0" borderId="0"/>
    <xf numFmtId="0" fontId="88" fillId="28" borderId="0" applyNumberFormat="0" applyBorder="0" applyAlignment="0" applyProtection="0"/>
    <xf numFmtId="0" fontId="19" fillId="0" borderId="0"/>
    <xf numFmtId="0" fontId="6" fillId="0" borderId="0"/>
    <xf numFmtId="0" fontId="88" fillId="28" borderId="0" applyNumberFormat="0" applyBorder="0" applyAlignment="0" applyProtection="0"/>
    <xf numFmtId="0" fontId="19" fillId="0" borderId="0"/>
    <xf numFmtId="0" fontId="88" fillId="29" borderId="0" applyNumberFormat="0" applyBorder="0" applyAlignment="0" applyProtection="0"/>
    <xf numFmtId="0" fontId="6" fillId="0" borderId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4" fillId="29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0" borderId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19" fillId="4" borderId="0" applyNumberFormat="0" applyBorder="0" applyAlignment="0" applyProtection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19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29" borderId="0" applyNumberFormat="0" applyBorder="0" applyAlignment="0" applyProtection="0"/>
    <xf numFmtId="0" fontId="19" fillId="0" borderId="0"/>
    <xf numFmtId="0" fontId="6" fillId="0" borderId="0"/>
    <xf numFmtId="0" fontId="4" fillId="2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29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29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29" borderId="0" applyNumberFormat="0" applyBorder="0" applyAlignment="0" applyProtection="0"/>
    <xf numFmtId="0" fontId="6" fillId="0" borderId="0"/>
    <xf numFmtId="0" fontId="19" fillId="0" borderId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4" fillId="29" borderId="0" applyNumberFormat="0" applyBorder="0" applyAlignment="0" applyProtection="0"/>
    <xf numFmtId="0" fontId="19" fillId="0" borderId="0"/>
    <xf numFmtId="0" fontId="88" fillId="29" borderId="0" applyNumberFormat="0" applyBorder="0" applyAlignment="0" applyProtection="0"/>
    <xf numFmtId="0" fontId="19" fillId="0" borderId="0"/>
    <xf numFmtId="0" fontId="6" fillId="0" borderId="0"/>
    <xf numFmtId="0" fontId="88" fillId="29" borderId="0" applyNumberFormat="0" applyBorder="0" applyAlignment="0" applyProtection="0"/>
    <xf numFmtId="0" fontId="19" fillId="0" borderId="0"/>
    <xf numFmtId="0" fontId="88" fillId="30" borderId="0" applyNumberFormat="0" applyBorder="0" applyAlignment="0" applyProtection="0"/>
    <xf numFmtId="0" fontId="6" fillId="0" borderId="0"/>
    <xf numFmtId="0" fontId="88" fillId="30" borderId="0" applyNumberFormat="0" applyBorder="0" applyAlignment="0" applyProtection="0"/>
    <xf numFmtId="0" fontId="88" fillId="30" borderId="0" applyNumberFormat="0" applyBorder="0" applyAlignment="0" applyProtection="0"/>
    <xf numFmtId="0" fontId="4" fillId="30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19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19" fillId="5" borderId="0" applyNumberFormat="0" applyBorder="0" applyAlignment="0" applyProtection="0"/>
    <xf numFmtId="0" fontId="19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19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0" borderId="0" applyNumberFormat="0" applyBorder="0" applyAlignment="0" applyProtection="0"/>
    <xf numFmtId="0" fontId="19" fillId="0" borderId="0"/>
    <xf numFmtId="0" fontId="6" fillId="0" borderId="0"/>
    <xf numFmtId="0" fontId="4" fillId="30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0" borderId="0" applyNumberFormat="0" applyBorder="0" applyAlignment="0" applyProtection="0"/>
    <xf numFmtId="0" fontId="31" fillId="10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0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0" borderId="0" applyNumberFormat="0" applyBorder="0" applyAlignment="0" applyProtection="0"/>
    <xf numFmtId="0" fontId="6" fillId="0" borderId="0"/>
    <xf numFmtId="0" fontId="19" fillId="0" borderId="0"/>
    <xf numFmtId="0" fontId="88" fillId="30" borderId="0" applyNumberFormat="0" applyBorder="0" applyAlignment="0" applyProtection="0"/>
    <xf numFmtId="0" fontId="88" fillId="30" borderId="0" applyNumberFormat="0" applyBorder="0" applyAlignment="0" applyProtection="0"/>
    <xf numFmtId="0" fontId="4" fillId="30" borderId="0" applyNumberFormat="0" applyBorder="0" applyAlignment="0" applyProtection="0"/>
    <xf numFmtId="0" fontId="19" fillId="0" borderId="0"/>
    <xf numFmtId="0" fontId="88" fillId="30" borderId="0" applyNumberFormat="0" applyBorder="0" applyAlignment="0" applyProtection="0"/>
    <xf numFmtId="0" fontId="19" fillId="0" borderId="0"/>
    <xf numFmtId="0" fontId="6" fillId="0" borderId="0"/>
    <xf numFmtId="0" fontId="88" fillId="30" borderId="0" applyNumberFormat="0" applyBorder="0" applyAlignment="0" applyProtection="0"/>
    <xf numFmtId="0" fontId="19" fillId="0" borderId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19" fillId="6" borderId="0" applyNumberFormat="0" applyBorder="0" applyAlignment="0" applyProtection="0"/>
    <xf numFmtId="0" fontId="19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4" fillId="31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1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88" fillId="31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6" fillId="0" borderId="0"/>
    <xf numFmtId="0" fontId="19" fillId="0" borderId="0"/>
    <xf numFmtId="0" fontId="88" fillId="31" borderId="0" applyNumberFormat="0" applyBorder="0" applyAlignment="0" applyProtection="0"/>
    <xf numFmtId="0" fontId="19" fillId="0" borderId="0"/>
    <xf numFmtId="0" fontId="6" fillId="0" borderId="0"/>
    <xf numFmtId="0" fontId="88" fillId="31" borderId="0" applyNumberFormat="0" applyBorder="0" applyAlignment="0" applyProtection="0"/>
    <xf numFmtId="0" fontId="19" fillId="0" borderId="0"/>
    <xf numFmtId="0" fontId="88" fillId="32" borderId="0" applyNumberFormat="0" applyBorder="0" applyAlignment="0" applyProtection="0"/>
    <xf numFmtId="0" fontId="6" fillId="0" borderId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19" fillId="7" borderId="0" applyNumberFormat="0" applyBorder="0" applyAlignment="0" applyProtection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19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2" borderId="0" applyNumberFormat="0" applyBorder="0" applyAlignment="0" applyProtection="0"/>
    <xf numFmtId="0" fontId="19" fillId="0" borderId="0"/>
    <xf numFmtId="0" fontId="6" fillId="0" borderId="0"/>
    <xf numFmtId="0" fontId="4" fillId="3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2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2" borderId="0" applyNumberFormat="0" applyBorder="0" applyAlignment="0" applyProtection="0"/>
    <xf numFmtId="0" fontId="6" fillId="0" borderId="0"/>
    <xf numFmtId="0" fontId="19" fillId="0" borderId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0" borderId="0"/>
    <xf numFmtId="0" fontId="88" fillId="32" borderId="0" applyNumberFormat="0" applyBorder="0" applyAlignment="0" applyProtection="0"/>
    <xf numFmtId="0" fontId="19" fillId="0" borderId="0"/>
    <xf numFmtId="0" fontId="6" fillId="0" borderId="0"/>
    <xf numFmtId="0" fontId="88" fillId="32" borderId="0" applyNumberFormat="0" applyBorder="0" applyAlignment="0" applyProtection="0"/>
    <xf numFmtId="0" fontId="19" fillId="0" borderId="0"/>
    <xf numFmtId="0" fontId="88" fillId="33" borderId="0" applyNumberFormat="0" applyBorder="0" applyAlignment="0" applyProtection="0"/>
    <xf numFmtId="0" fontId="6" fillId="0" borderId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4" fillId="33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19" fillId="8" borderId="0" applyNumberFormat="0" applyBorder="0" applyAlignment="0" applyProtection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19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3" borderId="0" applyNumberFormat="0" applyBorder="0" applyAlignment="0" applyProtection="0"/>
    <xf numFmtId="0" fontId="19" fillId="0" borderId="0"/>
    <xf numFmtId="0" fontId="6" fillId="0" borderId="0"/>
    <xf numFmtId="0" fontId="4" fillId="3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3" borderId="0" applyNumberFormat="0" applyBorder="0" applyAlignment="0" applyProtection="0"/>
    <xf numFmtId="0" fontId="31" fillId="10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3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3" borderId="0" applyNumberFormat="0" applyBorder="0" applyAlignment="0" applyProtection="0"/>
    <xf numFmtId="0" fontId="6" fillId="0" borderId="0"/>
    <xf numFmtId="0" fontId="19" fillId="0" borderId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4" fillId="33" borderId="0" applyNumberFormat="0" applyBorder="0" applyAlignment="0" applyProtection="0"/>
    <xf numFmtId="0" fontId="19" fillId="0" borderId="0"/>
    <xf numFmtId="0" fontId="88" fillId="33" borderId="0" applyNumberFormat="0" applyBorder="0" applyAlignment="0" applyProtection="0"/>
    <xf numFmtId="0" fontId="19" fillId="0" borderId="0"/>
    <xf numFmtId="0" fontId="6" fillId="0" borderId="0"/>
    <xf numFmtId="0" fontId="88" fillId="33" borderId="0" applyNumberFormat="0" applyBorder="0" applyAlignment="0" applyProtection="0"/>
    <xf numFmtId="0" fontId="19" fillId="0" borderId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19" fillId="9" borderId="0" applyNumberFormat="0" applyBorder="0" applyAlignment="0" applyProtection="0"/>
    <xf numFmtId="0" fontId="19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4" fillId="34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4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88" fillId="34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6" fillId="0" borderId="0"/>
    <xf numFmtId="0" fontId="19" fillId="0" borderId="0"/>
    <xf numFmtId="0" fontId="88" fillId="34" borderId="0" applyNumberFormat="0" applyBorder="0" applyAlignment="0" applyProtection="0"/>
    <xf numFmtId="0" fontId="19" fillId="0" borderId="0"/>
    <xf numFmtId="0" fontId="6" fillId="0" borderId="0"/>
    <xf numFmtId="0" fontId="88" fillId="34" borderId="0" applyNumberFormat="0" applyBorder="0" applyAlignment="0" applyProtection="0"/>
    <xf numFmtId="0" fontId="19" fillId="0" borderId="0"/>
    <xf numFmtId="0" fontId="88" fillId="35" borderId="0" applyNumberFormat="0" applyBorder="0" applyAlignment="0" applyProtection="0"/>
    <xf numFmtId="0" fontId="6" fillId="0" borderId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4" fillId="35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0" borderId="0"/>
    <xf numFmtId="0" fontId="19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19" fillId="10" borderId="0" applyNumberFormat="0" applyBorder="0" applyAlignment="0" applyProtection="0"/>
    <xf numFmtId="0" fontId="19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9" fillId="10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19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5" borderId="0" applyNumberFormat="0" applyBorder="0" applyAlignment="0" applyProtection="0"/>
    <xf numFmtId="0" fontId="19" fillId="0" borderId="0"/>
    <xf numFmtId="0" fontId="6" fillId="0" borderId="0"/>
    <xf numFmtId="0" fontId="4" fillId="35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5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5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5" borderId="0" applyNumberFormat="0" applyBorder="0" applyAlignment="0" applyProtection="0"/>
    <xf numFmtId="0" fontId="6" fillId="0" borderId="0"/>
    <xf numFmtId="0" fontId="19" fillId="0" borderId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4" fillId="35" borderId="0" applyNumberFormat="0" applyBorder="0" applyAlignment="0" applyProtection="0"/>
    <xf numFmtId="0" fontId="19" fillId="0" borderId="0"/>
    <xf numFmtId="0" fontId="88" fillId="35" borderId="0" applyNumberFormat="0" applyBorder="0" applyAlignment="0" applyProtection="0"/>
    <xf numFmtId="0" fontId="19" fillId="0" borderId="0"/>
    <xf numFmtId="0" fontId="6" fillId="0" borderId="0"/>
    <xf numFmtId="0" fontId="88" fillId="35" borderId="0" applyNumberFormat="0" applyBorder="0" applyAlignment="0" applyProtection="0"/>
    <xf numFmtId="0" fontId="19" fillId="0" borderId="0"/>
    <xf numFmtId="0" fontId="88" fillId="36" borderId="0" applyNumberFormat="0" applyBorder="0" applyAlignment="0" applyProtection="0"/>
    <xf numFmtId="0" fontId="6" fillId="0" borderId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19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19" fillId="5" borderId="0" applyNumberFormat="0" applyBorder="0" applyAlignment="0" applyProtection="0"/>
    <xf numFmtId="0" fontId="19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19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6" borderId="0" applyNumberFormat="0" applyBorder="0" applyAlignment="0" applyProtection="0"/>
    <xf numFmtId="0" fontId="19" fillId="0" borderId="0"/>
    <xf numFmtId="0" fontId="6" fillId="0" borderId="0"/>
    <xf numFmtId="0" fontId="4" fillId="3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6" borderId="0" applyNumberFormat="0" applyBorder="0" applyAlignment="0" applyProtection="0"/>
    <xf numFmtId="0" fontId="31" fillId="10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6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6" borderId="0" applyNumberFormat="0" applyBorder="0" applyAlignment="0" applyProtection="0"/>
    <xf numFmtId="0" fontId="6" fillId="0" borderId="0"/>
    <xf numFmtId="0" fontId="19" fillId="0" borderId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0" borderId="0"/>
    <xf numFmtId="0" fontId="88" fillId="36" borderId="0" applyNumberFormat="0" applyBorder="0" applyAlignment="0" applyProtection="0"/>
    <xf numFmtId="0" fontId="19" fillId="0" borderId="0"/>
    <xf numFmtId="0" fontId="6" fillId="0" borderId="0"/>
    <xf numFmtId="0" fontId="88" fillId="36" borderId="0" applyNumberFormat="0" applyBorder="0" applyAlignment="0" applyProtection="0"/>
    <xf numFmtId="0" fontId="19" fillId="0" borderId="0"/>
    <xf numFmtId="0" fontId="88" fillId="37" borderId="0" applyNumberFormat="0" applyBorder="0" applyAlignment="0" applyProtection="0"/>
    <xf numFmtId="0" fontId="6" fillId="0" borderId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19" fillId="8" borderId="0" applyNumberFormat="0" applyBorder="0" applyAlignment="0" applyProtection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19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7" borderId="0" applyNumberFormat="0" applyBorder="0" applyAlignment="0" applyProtection="0"/>
    <xf numFmtId="0" fontId="19" fillId="0" borderId="0"/>
    <xf numFmtId="0" fontId="6" fillId="0" borderId="0"/>
    <xf numFmtId="0" fontId="4" fillId="3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7" borderId="0" applyNumberFormat="0" applyBorder="0" applyAlignment="0" applyProtection="0"/>
    <xf numFmtId="0" fontId="31" fillId="10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7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7" borderId="0" applyNumberFormat="0" applyBorder="0" applyAlignment="0" applyProtection="0"/>
    <xf numFmtId="0" fontId="6" fillId="0" borderId="0"/>
    <xf numFmtId="0" fontId="19" fillId="0" borderId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0" borderId="0"/>
    <xf numFmtId="0" fontId="88" fillId="37" borderId="0" applyNumberFormat="0" applyBorder="0" applyAlignment="0" applyProtection="0"/>
    <xf numFmtId="0" fontId="19" fillId="0" borderId="0"/>
    <xf numFmtId="0" fontId="6" fillId="0" borderId="0"/>
    <xf numFmtId="0" fontId="88" fillId="37" borderId="0" applyNumberFormat="0" applyBorder="0" applyAlignment="0" applyProtection="0"/>
    <xf numFmtId="0" fontId="19" fillId="0" borderId="0"/>
    <xf numFmtId="0" fontId="88" fillId="38" borderId="0" applyNumberFormat="0" applyBorder="0" applyAlignment="0" applyProtection="0"/>
    <xf numFmtId="0" fontId="6" fillId="0" borderId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4" fillId="38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19" fillId="11" borderId="0" applyNumberFormat="0" applyBorder="0" applyAlignment="0" applyProtection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19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8" borderId="0" applyNumberFormat="0" applyBorder="0" applyAlignment="0" applyProtection="0"/>
    <xf numFmtId="0" fontId="19" fillId="0" borderId="0"/>
    <xf numFmtId="0" fontId="6" fillId="0" borderId="0"/>
    <xf numFmtId="0" fontId="4" fillId="3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8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8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8" borderId="0" applyNumberFormat="0" applyBorder="0" applyAlignment="0" applyProtection="0"/>
    <xf numFmtId="0" fontId="6" fillId="0" borderId="0"/>
    <xf numFmtId="0" fontId="19" fillId="0" borderId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4" fillId="38" borderId="0" applyNumberFormat="0" applyBorder="0" applyAlignment="0" applyProtection="0"/>
    <xf numFmtId="0" fontId="19" fillId="0" borderId="0"/>
    <xf numFmtId="0" fontId="88" fillId="38" borderId="0" applyNumberFormat="0" applyBorder="0" applyAlignment="0" applyProtection="0"/>
    <xf numFmtId="0" fontId="19" fillId="0" borderId="0"/>
    <xf numFmtId="0" fontId="6" fillId="0" borderId="0"/>
    <xf numFmtId="0" fontId="88" fillId="38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2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19" fillId="0" borderId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0" fillId="12" borderId="0" applyNumberFormat="0" applyBorder="0" applyAlignment="0" applyProtection="0"/>
    <xf numFmtId="0" fontId="19" fillId="10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3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3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3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9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20" fillId="9" borderId="0" applyNumberFormat="0" applyBorder="0" applyAlignment="0" applyProtection="0"/>
    <xf numFmtId="0" fontId="19" fillId="103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0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0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0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0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0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20" fillId="10" borderId="0" applyNumberFormat="0" applyBorder="0" applyAlignment="0" applyProtection="0"/>
    <xf numFmtId="0" fontId="19" fillId="104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1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3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0" borderId="0"/>
    <xf numFmtId="0" fontId="45" fillId="3" borderId="0" applyNumberFormat="0" applyBorder="0" applyAlignment="0" applyProtection="0"/>
    <xf numFmtId="0" fontId="19" fillId="0" borderId="0"/>
    <xf numFmtId="0" fontId="45" fillId="3" borderId="0" applyNumberFormat="0" applyBorder="0" applyAlignment="0" applyProtection="0"/>
    <xf numFmtId="0" fontId="19" fillId="0" borderId="0"/>
    <xf numFmtId="0" fontId="19" fillId="0" borderId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20" fillId="13" borderId="0" applyNumberFormat="0" applyBorder="0" applyAlignment="0" applyProtection="0"/>
    <xf numFmtId="0" fontId="19" fillId="16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19" fillId="0" borderId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0" fillId="14" borderId="0" applyNumberFormat="0" applyBorder="0" applyAlignment="0" applyProtection="0"/>
    <xf numFmtId="0" fontId="19" fillId="10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5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5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0" borderId="0"/>
    <xf numFmtId="0" fontId="45" fillId="9" borderId="0" applyNumberFormat="0" applyBorder="0" applyAlignment="0" applyProtection="0"/>
    <xf numFmtId="0" fontId="19" fillId="0" borderId="0"/>
    <xf numFmtId="0" fontId="45" fillId="9" borderId="0" applyNumberFormat="0" applyBorder="0" applyAlignment="0" applyProtection="0"/>
    <xf numFmtId="0" fontId="19" fillId="0" borderId="0"/>
    <xf numFmtId="0" fontId="19" fillId="0" borderId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20" fillId="15" borderId="0" applyNumberFormat="0" applyBorder="0" applyAlignment="0" applyProtection="0"/>
    <xf numFmtId="0" fontId="19" fillId="1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4" borderId="0" applyNumberFormat="0" applyBorder="0" applyAlignment="0" applyProtection="0"/>
    <xf numFmtId="0" fontId="19" fillId="0" borderId="0"/>
    <xf numFmtId="0" fontId="6" fillId="0" borderId="0"/>
    <xf numFmtId="0" fontId="20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6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4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6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9" fillId="0" borderId="0"/>
    <xf numFmtId="0" fontId="45" fillId="49" borderId="0" applyNumberFormat="0" applyBorder="0" applyAlignment="0" applyProtection="0"/>
    <xf numFmtId="0" fontId="19" fillId="0" borderId="0"/>
    <xf numFmtId="0" fontId="45" fillId="49" borderId="0" applyNumberFormat="0" applyBorder="0" applyAlignment="0" applyProtection="0"/>
    <xf numFmtId="0" fontId="19" fillId="0" borderId="0"/>
    <xf numFmtId="0" fontId="19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0" fillId="16" borderId="0" applyNumberFormat="0" applyBorder="0" applyAlignment="0" applyProtection="0"/>
    <xf numFmtId="0" fontId="45" fillId="4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9" fillId="0" borderId="0"/>
    <xf numFmtId="0" fontId="45" fillId="48" borderId="0" applyNumberFormat="0" applyBorder="0" applyAlignment="0" applyProtection="0"/>
    <xf numFmtId="0" fontId="19" fillId="0" borderId="0"/>
    <xf numFmtId="0" fontId="6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8" borderId="0" applyNumberFormat="0" applyBorder="0" applyAlignment="0" applyProtection="0"/>
    <xf numFmtId="0" fontId="20" fillId="16" borderId="0" applyNumberFormat="0" applyBorder="0" applyAlignment="0" applyProtection="0"/>
    <xf numFmtId="0" fontId="6" fillId="0" borderId="0"/>
    <xf numFmtId="0" fontId="20" fillId="16" borderId="0" applyNumberFormat="0" applyBorder="0" applyAlignment="0" applyProtection="0"/>
    <xf numFmtId="0" fontId="6" fillId="0" borderId="0"/>
    <xf numFmtId="0" fontId="20" fillId="16" borderId="0" applyNumberFormat="0" applyBorder="0" applyAlignment="0" applyProtection="0"/>
    <xf numFmtId="0" fontId="6" fillId="0" borderId="0"/>
    <xf numFmtId="0" fontId="20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7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7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20" fillId="17" borderId="0" applyNumberFormat="0" applyBorder="0" applyAlignment="0" applyProtection="0"/>
    <xf numFmtId="0" fontId="45" fillId="1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9" fillId="0" borderId="0"/>
    <xf numFmtId="0" fontId="45" fillId="53" borderId="0" applyNumberFormat="0" applyBorder="0" applyAlignment="0" applyProtection="0"/>
    <xf numFmtId="0" fontId="19" fillId="0" borderId="0"/>
    <xf numFmtId="0" fontId="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53" borderId="0" applyNumberFormat="0" applyBorder="0" applyAlignment="0" applyProtection="0"/>
    <xf numFmtId="0" fontId="20" fillId="17" borderId="0" applyNumberFormat="0" applyBorder="0" applyAlignment="0" applyProtection="0"/>
    <xf numFmtId="0" fontId="6" fillId="0" borderId="0"/>
    <xf numFmtId="0" fontId="20" fillId="17" borderId="0" applyNumberFormat="0" applyBorder="0" applyAlignment="0" applyProtection="0"/>
    <xf numFmtId="0" fontId="6" fillId="0" borderId="0"/>
    <xf numFmtId="0" fontId="20" fillId="17" borderId="0" applyNumberFormat="0" applyBorder="0" applyAlignment="0" applyProtection="0"/>
    <xf numFmtId="0" fontId="6" fillId="0" borderId="0"/>
    <xf numFmtId="0" fontId="20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8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8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20" fillId="18" borderId="0" applyNumberFormat="0" applyBorder="0" applyAlignment="0" applyProtection="0"/>
    <xf numFmtId="0" fontId="45" fillId="11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9" fillId="0" borderId="0"/>
    <xf numFmtId="0" fontId="45" fillId="57" borderId="0" applyNumberFormat="0" applyBorder="0" applyAlignment="0" applyProtection="0"/>
    <xf numFmtId="0" fontId="19" fillId="0" borderId="0"/>
    <xf numFmtId="0" fontId="6" fillId="0" borderId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57" borderId="0" applyNumberFormat="0" applyBorder="0" applyAlignment="0" applyProtection="0"/>
    <xf numFmtId="0" fontId="20" fillId="18" borderId="0" applyNumberFormat="0" applyBorder="0" applyAlignment="0" applyProtection="0"/>
    <xf numFmtId="0" fontId="6" fillId="0" borderId="0"/>
    <xf numFmtId="0" fontId="20" fillId="18" borderId="0" applyNumberFormat="0" applyBorder="0" applyAlignment="0" applyProtection="0"/>
    <xf numFmtId="0" fontId="6" fillId="0" borderId="0"/>
    <xf numFmtId="0" fontId="20" fillId="18" borderId="0" applyNumberFormat="0" applyBorder="0" applyAlignment="0" applyProtection="0"/>
    <xf numFmtId="0" fontId="6" fillId="0" borderId="0"/>
    <xf numFmtId="0" fontId="20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3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59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19" fillId="0" borderId="0"/>
    <xf numFmtId="0" fontId="45" fillId="59" borderId="0" applyNumberFormat="0" applyBorder="0" applyAlignment="0" applyProtection="0"/>
    <xf numFmtId="0" fontId="19" fillId="0" borderId="0"/>
    <xf numFmtId="0" fontId="45" fillId="59" borderId="0" applyNumberFormat="0" applyBorder="0" applyAlignment="0" applyProtection="0"/>
    <xf numFmtId="0" fontId="19" fillId="0" borderId="0"/>
    <xf numFmtId="0" fontId="19" fillId="0" borderId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0" fillId="13" borderId="0" applyNumberFormat="0" applyBorder="0" applyAlignment="0" applyProtection="0"/>
    <xf numFmtId="0" fontId="45" fillId="5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9" fillId="0" borderId="0"/>
    <xf numFmtId="0" fontId="45" fillId="58" borderId="0" applyNumberFormat="0" applyBorder="0" applyAlignment="0" applyProtection="0"/>
    <xf numFmtId="0" fontId="19" fillId="0" borderId="0"/>
    <xf numFmtId="0" fontId="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58" borderId="0" applyNumberFormat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20" fillId="13" borderId="0" applyNumberFormat="0" applyBorder="0" applyAlignment="0" applyProtection="0"/>
    <xf numFmtId="0" fontId="6" fillId="0" borderId="0"/>
    <xf numFmtId="0" fontId="20" fillId="13" borderId="0" applyNumberFormat="0" applyBorder="0" applyAlignment="0" applyProtection="0"/>
    <xf numFmtId="0" fontId="6" fillId="0" borderId="0"/>
    <xf numFmtId="0" fontId="20" fillId="46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60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0" fillId="1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5" fillId="60" borderId="0" applyNumberFormat="0" applyBorder="0" applyAlignment="0" applyProtection="0"/>
    <xf numFmtId="0" fontId="19" fillId="0" borderId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0" borderId="0"/>
    <xf numFmtId="0" fontId="19" fillId="0" borderId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19" fillId="0" borderId="0"/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60" borderId="0" applyNumberFormat="0" applyBorder="0" applyAlignment="0" applyProtection="0"/>
    <xf numFmtId="0" fontId="19" fillId="0" borderId="0"/>
    <xf numFmtId="0" fontId="45" fillId="60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60" borderId="0" applyNumberFormat="0" applyBorder="0" applyAlignment="0" applyProtection="0"/>
    <xf numFmtId="0" fontId="45" fillId="60" borderId="0" applyNumberFormat="0" applyBorder="0" applyAlignment="0" applyProtection="0"/>
    <xf numFmtId="0" fontId="6" fillId="0" borderId="0"/>
    <xf numFmtId="0" fontId="45" fillId="60" borderId="0" applyNumberFormat="0" applyBorder="0" applyAlignment="0" applyProtection="0"/>
    <xf numFmtId="0" fontId="6" fillId="0" borderId="0"/>
    <xf numFmtId="0" fontId="45" fillId="60" borderId="0" applyNumberFormat="0" applyBorder="0" applyAlignment="0" applyProtection="0"/>
    <xf numFmtId="0" fontId="20" fillId="6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9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0" borderId="0"/>
    <xf numFmtId="0" fontId="45" fillId="17" borderId="0" applyNumberFormat="0" applyBorder="0" applyAlignment="0" applyProtection="0"/>
    <xf numFmtId="0" fontId="19" fillId="0" borderId="0"/>
    <xf numFmtId="0" fontId="45" fillId="17" borderId="0" applyNumberFormat="0" applyBorder="0" applyAlignment="0" applyProtection="0"/>
    <xf numFmtId="0" fontId="19" fillId="0" borderId="0"/>
    <xf numFmtId="0" fontId="19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0" fillId="19" borderId="0" applyNumberFormat="0" applyBorder="0" applyAlignment="0" applyProtection="0"/>
    <xf numFmtId="0" fontId="45" fillId="17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9" fillId="0" borderId="0"/>
    <xf numFmtId="0" fontId="45" fillId="63" borderId="0" applyNumberFormat="0" applyBorder="0" applyAlignment="0" applyProtection="0"/>
    <xf numFmtId="0" fontId="19" fillId="0" borderId="0"/>
    <xf numFmtId="0" fontId="6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63" borderId="0" applyNumberFormat="0" applyBorder="0" applyAlignment="0" applyProtection="0"/>
    <xf numFmtId="0" fontId="20" fillId="19" borderId="0" applyNumberFormat="0" applyBorder="0" applyAlignment="0" applyProtection="0"/>
    <xf numFmtId="0" fontId="6" fillId="0" borderId="0"/>
    <xf numFmtId="0" fontId="20" fillId="19" borderId="0" applyNumberFormat="0" applyBorder="0" applyAlignment="0" applyProtection="0"/>
    <xf numFmtId="0" fontId="6" fillId="0" borderId="0"/>
    <xf numFmtId="0" fontId="20" fillId="19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1" fillId="3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6" fillId="5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1" fillId="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0" borderId="0"/>
    <xf numFmtId="0" fontId="46" fillId="5" borderId="0" applyNumberFormat="0" applyBorder="0" applyAlignment="0" applyProtection="0"/>
    <xf numFmtId="0" fontId="19" fillId="0" borderId="0"/>
    <xf numFmtId="0" fontId="46" fillId="5" borderId="0" applyNumberFormat="0" applyBorder="0" applyAlignment="0" applyProtection="0"/>
    <xf numFmtId="0" fontId="19" fillId="0" borderId="0"/>
    <xf numFmtId="0" fontId="19" fillId="0" borderId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21" fillId="3" borderId="0" applyNumberFormat="0" applyBorder="0" applyAlignment="0" applyProtection="0"/>
    <xf numFmtId="0" fontId="120" fillId="59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6" fillId="6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6" fillId="6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21" fillId="64" borderId="0" applyNumberFormat="0" applyBorder="0" applyAlignment="0" applyProtection="0"/>
    <xf numFmtId="0" fontId="19" fillId="0" borderId="0"/>
    <xf numFmtId="0" fontId="6" fillId="0" borderId="0"/>
    <xf numFmtId="1" fontId="122" fillId="105" borderId="17" applyNumberFormat="0" applyBorder="0" applyAlignment="0">
      <alignment horizontal="center" vertical="top" wrapText="1"/>
      <protection hidden="1"/>
    </xf>
    <xf numFmtId="0" fontId="42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23" fillId="0" borderId="61">
      <alignment horizontal="left" vertical="center"/>
    </xf>
    <xf numFmtId="202" fontId="124" fillId="0" borderId="0">
      <alignment horizontal="right" vertical="center"/>
    </xf>
    <xf numFmtId="203" fontId="8" fillId="0" borderId="0">
      <alignment horizontal="right" vertical="center"/>
    </xf>
    <xf numFmtId="203" fontId="123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16" fillId="0" borderId="0">
      <alignment vertical="center"/>
    </xf>
    <xf numFmtId="176" fontId="47" fillId="0" borderId="0" applyFill="0" applyBorder="0" applyAlignment="0"/>
    <xf numFmtId="0" fontId="19" fillId="0" borderId="0"/>
    <xf numFmtId="0" fontId="19" fillId="0" borderId="0"/>
    <xf numFmtId="0" fontId="6" fillId="0" borderId="0"/>
    <xf numFmtId="0" fontId="47" fillId="0" borderId="0" applyFill="0" applyBorder="0" applyAlignment="0"/>
    <xf numFmtId="0" fontId="19" fillId="0" borderId="0"/>
    <xf numFmtId="0" fontId="6" fillId="0" borderId="0"/>
    <xf numFmtId="176" fontId="47" fillId="0" borderId="0" applyFill="0" applyBorder="0" applyAlignment="0"/>
    <xf numFmtId="0" fontId="19" fillId="0" borderId="0"/>
    <xf numFmtId="176" fontId="47" fillId="0" borderId="0" applyFill="0" applyBorder="0" applyAlignment="0"/>
    <xf numFmtId="0" fontId="19" fillId="0" borderId="0"/>
    <xf numFmtId="0" fontId="19" fillId="0" borderId="0"/>
    <xf numFmtId="0" fontId="19" fillId="0" borderId="0"/>
    <xf numFmtId="176" fontId="47" fillId="0" borderId="0" applyFill="0" applyBorder="0" applyAlignment="0"/>
    <xf numFmtId="0" fontId="19" fillId="0" borderId="0"/>
    <xf numFmtId="41" fontId="6" fillId="23" borderId="0"/>
    <xf numFmtId="0" fontId="19" fillId="0" borderId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6" fillId="0" borderId="0"/>
    <xf numFmtId="41" fontId="6" fillId="23" borderId="0"/>
    <xf numFmtId="0" fontId="19" fillId="0" borderId="0"/>
    <xf numFmtId="0" fontId="22" fillId="20" borderId="1" applyNumberFormat="0" applyAlignment="0" applyProtection="0"/>
    <xf numFmtId="0" fontId="49" fillId="66" borderId="39" applyNumberFormat="0" applyAlignment="0" applyProtection="0"/>
    <xf numFmtId="0" fontId="19" fillId="0" borderId="0"/>
    <xf numFmtId="0" fontId="117" fillId="0" borderId="0"/>
    <xf numFmtId="0" fontId="6" fillId="0" borderId="0"/>
    <xf numFmtId="0" fontId="49" fillId="66" borderId="39" applyNumberFormat="0" applyAlignment="0" applyProtection="0"/>
    <xf numFmtId="0" fontId="49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19" fillId="0" borderId="0"/>
    <xf numFmtId="0" fontId="19" fillId="0" borderId="0"/>
    <xf numFmtId="0" fontId="48" fillId="65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48" fillId="65" borderId="39" applyNumberFormat="0" applyAlignment="0" applyProtection="0"/>
    <xf numFmtId="41" fontId="6" fillId="23" borderId="0"/>
    <xf numFmtId="0" fontId="19" fillId="0" borderId="0"/>
    <xf numFmtId="0" fontId="49" fillId="66" borderId="39" applyNumberFormat="0" applyAlignment="0" applyProtection="0"/>
    <xf numFmtId="0" fontId="22" fillId="20" borderId="1" applyNumberFormat="0" applyAlignment="0" applyProtection="0"/>
    <xf numFmtId="0" fontId="6" fillId="0" borderId="0"/>
    <xf numFmtId="0" fontId="49" fillId="66" borderId="39" applyNumberFormat="0" applyAlignment="0" applyProtection="0"/>
    <xf numFmtId="0" fontId="49" fillId="66" borderId="39" applyNumberFormat="0" applyAlignment="0" applyProtection="0"/>
    <xf numFmtId="0" fontId="19" fillId="0" borderId="0"/>
    <xf numFmtId="0" fontId="19" fillId="0" borderId="0"/>
    <xf numFmtId="0" fontId="125" fillId="66" borderId="1" applyNumberFormat="0" applyAlignment="0" applyProtection="0"/>
    <xf numFmtId="0" fontId="49" fillId="66" borderId="39" applyNumberFormat="0" applyAlignment="0" applyProtection="0"/>
    <xf numFmtId="0" fontId="19" fillId="0" borderId="0"/>
    <xf numFmtId="0" fontId="117" fillId="0" borderId="0"/>
    <xf numFmtId="0" fontId="48" fillId="65" borderId="39" applyNumberFormat="0" applyAlignment="0" applyProtection="0"/>
    <xf numFmtId="0" fontId="19" fillId="0" borderId="0"/>
    <xf numFmtId="0" fontId="48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19" fillId="0" borderId="0"/>
    <xf numFmtId="41" fontId="6" fillId="23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1" fontId="6" fillId="23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8" fillId="65" borderId="39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1" fontId="6" fillId="23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23" fillId="21" borderId="2" applyNumberFormat="0" applyAlignment="0" applyProtection="0"/>
    <xf numFmtId="0" fontId="23" fillId="21" borderId="2" applyNumberFormat="0" applyAlignment="0" applyProtection="0"/>
    <xf numFmtId="0" fontId="19" fillId="0" borderId="0"/>
    <xf numFmtId="0" fontId="6" fillId="0" borderId="0"/>
    <xf numFmtId="0" fontId="19" fillId="0" borderId="0"/>
    <xf numFmtId="0" fontId="23" fillId="21" borderId="2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50" fillId="67" borderId="40" applyNumberFormat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3" fillId="21" borderId="2" applyNumberFormat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50" fillId="67" borderId="40" applyNumberFormat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1" borderId="2" applyNumberFormat="0" applyAlignment="0" applyProtection="0"/>
    <xf numFmtId="0" fontId="23" fillId="21" borderId="2" applyNumberFormat="0" applyAlignment="0" applyProtection="0"/>
    <xf numFmtId="0" fontId="34" fillId="16" borderId="62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26" fillId="67" borderId="40" applyNumberFormat="0" applyAlignment="0" applyProtection="0"/>
    <xf numFmtId="0" fontId="19" fillId="0" borderId="0"/>
    <xf numFmtId="41" fontId="6" fillId="22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1" fontId="6" fillId="22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1" fontId="6" fillId="22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" fontId="127" fillId="0" borderId="63">
      <alignment vertical="top"/>
    </xf>
    <xf numFmtId="205" fontId="16" fillId="0" borderId="0" applyBorder="0">
      <alignment horizontal="right"/>
    </xf>
    <xf numFmtId="205" fontId="16" fillId="0" borderId="34" applyAlignment="0">
      <alignment horizontal="right"/>
    </xf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41" fontId="5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43" fontId="129" fillId="0" borderId="0" applyFont="0" applyFill="0" applyBorder="0" applyAlignment="0" applyProtection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43" fontId="19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130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13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0" fontId="6" fillId="0" borderId="0"/>
    <xf numFmtId="43" fontId="13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78" fontId="6" fillId="0" borderId="0" applyFont="0" applyFill="0" applyBorder="0" applyAlignment="0" applyProtection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4" fontId="5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179" fontId="6" fillId="0" borderId="0" applyFont="0" applyFill="0" applyBorder="0" applyAlignment="0" applyProtection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179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43" fontId="13" fillId="0" borderId="0" applyFont="0" applyFill="0" applyBorder="0" applyAlignment="0" applyProtection="0"/>
    <xf numFmtId="0" fontId="19" fillId="0" borderId="0"/>
    <xf numFmtId="43" fontId="13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13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13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88" fillId="0" borderId="0" applyFont="0" applyFill="0" applyBorder="0" applyAlignment="0" applyProtection="0"/>
    <xf numFmtId="0" fontId="19" fillId="0" borderId="0"/>
    <xf numFmtId="43" fontId="88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9" fillId="0" borderId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58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" fontId="59" fillId="0" borderId="0" applyFont="0" applyFill="0" applyBorder="0" applyAlignment="0" applyProtection="0"/>
    <xf numFmtId="0" fontId="6" fillId="0" borderId="0"/>
    <xf numFmtId="0" fontId="6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132" fillId="0" borderId="0"/>
    <xf numFmtId="0" fontId="62" fillId="0" borderId="0" applyNumberFormat="0" applyAlignment="0">
      <alignment horizontal="left"/>
    </xf>
    <xf numFmtId="0" fontId="6" fillId="0" borderId="0"/>
    <xf numFmtId="0" fontId="62" fillId="0" borderId="0" applyNumberFormat="0" applyAlignment="0">
      <alignment horizontal="left"/>
    </xf>
    <xf numFmtId="0" fontId="6" fillId="0" borderId="0"/>
    <xf numFmtId="0" fontId="62" fillId="0" borderId="0" applyNumberFormat="0" applyAlignment="0">
      <alignment horizontal="left"/>
    </xf>
    <xf numFmtId="0" fontId="19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6" fillId="0" borderId="0"/>
    <xf numFmtId="0" fontId="63" fillId="0" borderId="0" applyNumberFormat="0" applyAlignment="0"/>
    <xf numFmtId="0" fontId="6" fillId="0" borderId="0"/>
    <xf numFmtId="0" fontId="63" fillId="0" borderId="0" applyNumberFormat="0" applyAlignment="0"/>
    <xf numFmtId="0" fontId="19" fillId="0" borderId="0"/>
    <xf numFmtId="0" fontId="63" fillId="0" borderId="0" applyNumberFormat="0" applyAlignment="0"/>
    <xf numFmtId="172" fontId="133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58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134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13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44" fontId="134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4" fontId="19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1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5" fillId="0" borderId="0" applyFont="0" applyFill="0" applyBorder="0" applyAlignment="0" applyProtection="0"/>
    <xf numFmtId="0" fontId="19" fillId="0" borderId="0"/>
    <xf numFmtId="44" fontId="65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4" fontId="19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44" fontId="13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13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4" fontId="131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82" fontId="6" fillId="0" borderId="0" applyFont="0" applyFill="0" applyBorder="0" applyAlignment="0" applyProtection="0"/>
    <xf numFmtId="0" fontId="19" fillId="0" borderId="0"/>
    <xf numFmtId="182" fontId="6" fillId="0" borderId="0" applyFont="0" applyFill="0" applyBorder="0" applyAlignment="0" applyProtection="0"/>
    <xf numFmtId="0" fontId="19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59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166" fontId="6" fillId="0" borderId="0"/>
    <xf numFmtId="166" fontId="6" fillId="0" borderId="0"/>
    <xf numFmtId="0" fontId="19" fillId="0" borderId="0"/>
    <xf numFmtId="166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19" fillId="0" borderId="0"/>
    <xf numFmtId="0" fontId="6" fillId="0" borderId="0"/>
    <xf numFmtId="166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166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67" fillId="0" borderId="0" applyNumberForma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7" fillId="0" borderId="0" applyNumberFormat="0" applyFill="0" applyBorder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5" fillId="0" borderId="0" applyNumberForma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36" fillId="0" borderId="0" applyNumberFormat="0" applyFill="0" applyBorder="0" applyAlignment="0" applyProtection="0"/>
    <xf numFmtId="0" fontId="19" fillId="0" borderId="0"/>
    <xf numFmtId="1" fontId="137" fillId="93" borderId="15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0" fontId="6" fillId="0" borderId="0"/>
    <xf numFmtId="2" fontId="59" fillId="0" borderId="0" applyFont="0" applyFill="0" applyBorder="0" applyAlignment="0" applyProtection="0"/>
    <xf numFmtId="0" fontId="6" fillId="0" borderId="0"/>
    <xf numFmtId="2" fontId="59" fillId="0" borderId="0" applyFont="0" applyFill="0" applyBorder="0" applyAlignment="0" applyProtection="0"/>
    <xf numFmtId="2" fontId="54" fillId="0" borderId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38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39" fillId="0" borderId="0">
      <alignment horizontal="right"/>
    </xf>
    <xf numFmtId="0" fontId="140" fillId="0" borderId="0">
      <alignment vertical="center"/>
    </xf>
    <xf numFmtId="0" fontId="141" fillId="0" borderId="0">
      <alignment horizontal="right"/>
    </xf>
    <xf numFmtId="203" fontId="142" fillId="0" borderId="0">
      <alignment horizontal="right" vertical="center"/>
    </xf>
    <xf numFmtId="203" fontId="139" fillId="0" borderId="0" applyFill="0" applyBorder="0">
      <alignment horizontal="right" vertical="center"/>
    </xf>
    <xf numFmtId="0" fontId="25" fillId="4" borderId="0" applyNumberFormat="0" applyBorder="0" applyAlignment="0" applyProtection="0"/>
    <xf numFmtId="0" fontId="19" fillId="0" borderId="0"/>
    <xf numFmtId="0" fontId="19" fillId="0" borderId="0"/>
    <xf numFmtId="0" fontId="25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68" fillId="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5" fillId="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" fillId="0" borderId="0"/>
    <xf numFmtId="0" fontId="68" fillId="6" borderId="0" applyNumberFormat="0" applyBorder="0" applyAlignment="0" applyProtection="0"/>
    <xf numFmtId="0" fontId="19" fillId="0" borderId="0"/>
    <xf numFmtId="0" fontId="68" fillId="6" borderId="0" applyNumberFormat="0" applyBorder="0" applyAlignment="0" applyProtection="0"/>
    <xf numFmtId="0" fontId="19" fillId="0" borderId="0"/>
    <xf numFmtId="0" fontId="19" fillId="0" borderId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5" fillId="4" borderId="0" applyNumberFormat="0" applyBorder="0" applyAlignment="0" applyProtection="0"/>
    <xf numFmtId="0" fontId="143" fillId="98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8" fillId="71" borderId="0" applyNumberFormat="0" applyBorder="0" applyAlignment="0" applyProtection="0"/>
    <xf numFmtId="0" fontId="19" fillId="0" borderId="0"/>
    <xf numFmtId="0" fontId="25" fillId="4" borderId="0" applyNumberFormat="0" applyBorder="0" applyAlignment="0" applyProtection="0"/>
    <xf numFmtId="0" fontId="19" fillId="0" borderId="0"/>
    <xf numFmtId="0" fontId="68" fillId="71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44" fillId="71" borderId="0" applyNumberFormat="0" applyBorder="0" applyAlignment="0" applyProtection="0"/>
    <xf numFmtId="0" fontId="19" fillId="0" borderId="0"/>
    <xf numFmtId="0" fontId="68" fillId="71" borderId="0" applyNumberFormat="0" applyBorder="0" applyAlignment="0" applyProtection="0"/>
    <xf numFmtId="0" fontId="6" fillId="0" borderId="0"/>
    <xf numFmtId="0" fontId="1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8" fillId="2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38" fontId="8" fillId="22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8" fillId="0" borderId="29" applyNumberFormat="0" applyAlignment="0" applyProtection="0">
      <alignment horizontal="left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8" fillId="0" borderId="29" applyNumberFormat="0" applyAlignment="0" applyProtection="0">
      <alignment horizontal="left"/>
    </xf>
    <xf numFmtId="0" fontId="6" fillId="0" borderId="0"/>
    <xf numFmtId="0" fontId="18" fillId="0" borderId="29" applyNumberFormat="0" applyAlignment="0" applyProtection="0">
      <alignment horizontal="left"/>
    </xf>
    <xf numFmtId="0" fontId="6" fillId="0" borderId="0"/>
    <xf numFmtId="0" fontId="19" fillId="0" borderId="0"/>
    <xf numFmtId="0" fontId="18" fillId="0" borderId="29" applyNumberFormat="0" applyAlignment="0" applyProtection="0">
      <alignment horizontal="left"/>
    </xf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22">
      <alignment horizontal="left"/>
    </xf>
    <xf numFmtId="0" fontId="18" fillId="0" borderId="22">
      <alignment horizontal="left"/>
    </xf>
    <xf numFmtId="0" fontId="18" fillId="0" borderId="22">
      <alignment horizontal="left"/>
    </xf>
    <xf numFmtId="0" fontId="18" fillId="0" borderId="22">
      <alignment horizontal="left"/>
    </xf>
    <xf numFmtId="0" fontId="18" fillId="0" borderId="22">
      <alignment horizontal="left"/>
    </xf>
    <xf numFmtId="0" fontId="6" fillId="0" borderId="0"/>
    <xf numFmtId="0" fontId="18" fillId="0" borderId="22">
      <alignment horizontal="left"/>
    </xf>
    <xf numFmtId="0" fontId="18" fillId="0" borderId="22">
      <alignment horizontal="left"/>
    </xf>
    <xf numFmtId="0" fontId="19" fillId="0" borderId="0"/>
    <xf numFmtId="0" fontId="26" fillId="0" borderId="3" applyNumberFormat="0" applyFill="0" applyAlignment="0" applyProtection="0"/>
    <xf numFmtId="0" fontId="19" fillId="0" borderId="0"/>
    <xf numFmtId="0" fontId="19" fillId="0" borderId="0"/>
    <xf numFmtId="0" fontId="26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72" fillId="0" borderId="42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2" fillId="0" borderId="42" applyNumberFormat="0" applyFill="0" applyAlignment="0" applyProtection="0"/>
    <xf numFmtId="0" fontId="6" fillId="0" borderId="0"/>
    <xf numFmtId="0" fontId="145" fillId="0" borderId="42" applyNumberFormat="0" applyFill="0" applyAlignment="0" applyProtection="0"/>
    <xf numFmtId="0" fontId="72" fillId="0" borderId="42" applyNumberFormat="0" applyFill="0" applyAlignment="0" applyProtection="0"/>
    <xf numFmtId="0" fontId="59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72" fillId="0" borderId="42" applyNumberFormat="0" applyFill="0" applyAlignment="0" applyProtection="0"/>
    <xf numFmtId="0" fontId="145" fillId="0" borderId="42" applyNumberFormat="0" applyFill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71" fillId="0" borderId="41" applyNumberFormat="0" applyFill="0" applyAlignment="0" applyProtection="0"/>
    <xf numFmtId="0" fontId="19" fillId="0" borderId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2" fillId="0" borderId="42" applyNumberFormat="0" applyFill="0" applyAlignment="0" applyProtection="0"/>
    <xf numFmtId="0" fontId="19" fillId="0" borderId="0"/>
    <xf numFmtId="0" fontId="117" fillId="0" borderId="0"/>
    <xf numFmtId="0" fontId="145" fillId="0" borderId="42" applyNumberFormat="0" applyFill="0" applyAlignment="0" applyProtection="0"/>
    <xf numFmtId="0" fontId="71" fillId="0" borderId="41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1" fillId="0" borderId="41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71" fillId="0" borderId="41" applyNumberFormat="0" applyFill="0" applyAlignment="0" applyProtection="0"/>
    <xf numFmtId="0" fontId="27" fillId="0" borderId="4" applyNumberFormat="0" applyFill="0" applyAlignment="0" applyProtection="0"/>
    <xf numFmtId="0" fontId="19" fillId="0" borderId="0"/>
    <xf numFmtId="0" fontId="19" fillId="0" borderId="0"/>
    <xf numFmtId="0" fontId="27" fillId="0" borderId="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76" fillId="0" borderId="44" applyNumberFormat="0" applyFill="0" applyAlignment="0" applyProtection="0"/>
    <xf numFmtId="0" fontId="19" fillId="0" borderId="0"/>
    <xf numFmtId="0" fontId="117" fillId="0" borderId="0"/>
    <xf numFmtId="0" fontId="6" fillId="0" borderId="0"/>
    <xf numFmtId="0" fontId="76" fillId="0" borderId="44" applyNumberFormat="0" applyFill="0" applyAlignment="0" applyProtection="0"/>
    <xf numFmtId="0" fontId="6" fillId="0" borderId="0"/>
    <xf numFmtId="0" fontId="146" fillId="0" borderId="44" applyNumberFormat="0" applyFill="0" applyAlignment="0" applyProtection="0"/>
    <xf numFmtId="0" fontId="76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76" fillId="0" borderId="44" applyNumberFormat="0" applyFill="0" applyAlignment="0" applyProtection="0"/>
    <xf numFmtId="0" fontId="146" fillId="0" borderId="44" applyNumberFormat="0" applyFill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75" fillId="0" borderId="43" applyNumberFormat="0" applyFill="0" applyAlignment="0" applyProtection="0"/>
    <xf numFmtId="0" fontId="19" fillId="0" borderId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6" fillId="0" borderId="44" applyNumberFormat="0" applyFill="0" applyAlignment="0" applyProtection="0"/>
    <xf numFmtId="0" fontId="19" fillId="0" borderId="0"/>
    <xf numFmtId="0" fontId="117" fillId="0" borderId="0"/>
    <xf numFmtId="0" fontId="146" fillId="0" borderId="44" applyNumberFormat="0" applyFill="0" applyAlignment="0" applyProtection="0"/>
    <xf numFmtId="0" fontId="75" fillId="0" borderId="4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5" fillId="0" borderId="43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75" fillId="0" borderId="43" applyNumberFormat="0" applyFill="0" applyAlignment="0" applyProtection="0"/>
    <xf numFmtId="0" fontId="28" fillId="0" borderId="5" applyNumberFormat="0" applyFill="0" applyAlignment="0" applyProtection="0"/>
    <xf numFmtId="0" fontId="19" fillId="0" borderId="0"/>
    <xf numFmtId="0" fontId="19" fillId="0" borderId="0"/>
    <xf numFmtId="0" fontId="28" fillId="0" borderId="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8" fillId="0" borderId="5" applyNumberFormat="0" applyFill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78" fillId="0" borderId="46" applyNumberFormat="0" applyFill="0" applyAlignment="0" applyProtection="0"/>
    <xf numFmtId="0" fontId="19" fillId="0" borderId="0"/>
    <xf numFmtId="0" fontId="6" fillId="0" borderId="0"/>
    <xf numFmtId="0" fontId="78" fillId="0" borderId="64" applyNumberFormat="0" applyFill="0" applyAlignment="0" applyProtection="0"/>
    <xf numFmtId="0" fontId="19" fillId="0" borderId="0"/>
    <xf numFmtId="0" fontId="6" fillId="0" borderId="0"/>
    <xf numFmtId="0" fontId="6" fillId="0" borderId="0"/>
    <xf numFmtId="0" fontId="28" fillId="0" borderId="5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8" fillId="0" borderId="46" applyNumberFormat="0" applyFill="0" applyAlignment="0" applyProtection="0"/>
    <xf numFmtId="0" fontId="147" fillId="0" borderId="46" applyNumberFormat="0" applyFill="0" applyAlignment="0" applyProtection="0"/>
    <xf numFmtId="0" fontId="19" fillId="0" borderId="0"/>
    <xf numFmtId="0" fontId="6" fillId="0" borderId="0"/>
    <xf numFmtId="0" fontId="147" fillId="0" borderId="46" applyNumberFormat="0" applyFill="0" applyAlignment="0" applyProtection="0"/>
    <xf numFmtId="0" fontId="19" fillId="0" borderId="0"/>
    <xf numFmtId="0" fontId="78" fillId="0" borderId="46" applyNumberFormat="0" applyFill="0" applyAlignment="0" applyProtection="0"/>
    <xf numFmtId="0" fontId="19" fillId="0" borderId="0"/>
    <xf numFmtId="0" fontId="19" fillId="0" borderId="0"/>
    <xf numFmtId="0" fontId="78" fillId="0" borderId="46" applyNumberFormat="0" applyFill="0" applyAlignment="0" applyProtection="0"/>
    <xf numFmtId="0" fontId="147" fillId="0" borderId="46" applyNumberFormat="0" applyFill="0" applyAlignment="0" applyProtection="0"/>
    <xf numFmtId="0" fontId="28" fillId="0" borderId="5" applyNumberFormat="0" applyFill="0" applyAlignment="0" applyProtection="0"/>
    <xf numFmtId="0" fontId="148" fillId="0" borderId="65" applyNumberFormat="0" applyFill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77" fillId="0" borderId="45" applyNumberFormat="0" applyFill="0" applyAlignment="0" applyProtection="0"/>
    <xf numFmtId="0" fontId="19" fillId="0" borderId="0"/>
    <xf numFmtId="0" fontId="28" fillId="0" borderId="5" applyNumberFormat="0" applyFill="0" applyAlignment="0" applyProtection="0"/>
    <xf numFmtId="0" fontId="19" fillId="0" borderId="0"/>
    <xf numFmtId="0" fontId="77" fillId="0" borderId="45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49" fillId="0" borderId="45" applyNumberFormat="0" applyFill="0" applyAlignment="0" applyProtection="0"/>
    <xf numFmtId="0" fontId="19" fillId="0" borderId="0"/>
    <xf numFmtId="0" fontId="77" fillId="0" borderId="45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 applyNumberForma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78" fillId="0" borderId="0" applyNumberForma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7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/>
    <xf numFmtId="0" fontId="6" fillId="0" borderId="0"/>
    <xf numFmtId="0" fontId="147" fillId="0" borderId="0" applyNumberFormat="0" applyFill="0" applyBorder="0" applyAlignment="0" applyProtection="0"/>
    <xf numFmtId="0" fontId="19" fillId="0" borderId="0"/>
    <xf numFmtId="0" fontId="78" fillId="0" borderId="0" applyNumberFormat="0" applyFill="0" applyBorder="0" applyAlignment="0" applyProtection="0"/>
    <xf numFmtId="0" fontId="19" fillId="0" borderId="0"/>
    <xf numFmtId="0" fontId="19" fillId="0" borderId="0"/>
    <xf numFmtId="0" fontId="7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49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50" fillId="105" borderId="0" applyNumberFormat="0" applyBorder="0" applyAlignment="0">
      <protection hidden="1"/>
    </xf>
    <xf numFmtId="0" fontId="19" fillId="0" borderId="0"/>
    <xf numFmtId="0" fontId="19" fillId="0" borderId="0"/>
    <xf numFmtId="0" fontId="19" fillId="0" borderId="0"/>
    <xf numFmtId="38" fontId="16" fillId="0" borderId="0"/>
    <xf numFmtId="0" fontId="6" fillId="0" borderId="0"/>
    <xf numFmtId="38" fontId="1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6" fillId="0" borderId="0"/>
    <xf numFmtId="0" fontId="6" fillId="0" borderId="0"/>
    <xf numFmtId="40" fontId="1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/>
    <xf numFmtId="10" fontId="6" fillId="23" borderId="6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10" fontId="6" fillId="23" borderId="6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19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0" fillId="73" borderId="39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2" fillId="73" borderId="39" applyNumberFormat="0" applyAlignment="0" applyProtection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80" fillId="24" borderId="39" applyNumberFormat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9" fillId="0" borderId="0"/>
    <xf numFmtId="0" fontId="6" fillId="0" borderId="0"/>
    <xf numFmtId="0" fontId="29" fillId="24" borderId="1" applyNumberFormat="0" applyAlignment="0" applyProtection="0"/>
    <xf numFmtId="0" fontId="19" fillId="0" borderId="0"/>
    <xf numFmtId="0" fontId="19" fillId="0" borderId="0"/>
    <xf numFmtId="0" fontId="29" fillId="24" borderId="1" applyNumberFormat="0" applyAlignment="0" applyProtection="0"/>
    <xf numFmtId="0" fontId="29" fillId="24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2" fillId="73" borderId="39" applyNumberFormat="0" applyAlignment="0" applyProtection="0"/>
    <xf numFmtId="0" fontId="80" fillId="73" borderId="39" applyNumberFormat="0" applyAlignment="0" applyProtection="0"/>
    <xf numFmtId="0" fontId="19" fillId="0" borderId="0"/>
    <xf numFmtId="0" fontId="29" fillId="7" borderId="1" applyNumberFormat="0" applyAlignment="0" applyProtection="0"/>
    <xf numFmtId="0" fontId="19" fillId="0" borderId="0"/>
    <xf numFmtId="0" fontId="152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19" fillId="0" borderId="0"/>
    <xf numFmtId="0" fontId="152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19" fillId="0" borderId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80" fillId="73" borderId="39" applyNumberFormat="0" applyAlignment="0" applyProtection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29" fillId="24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80" fillId="24" borderId="39" applyNumberFormat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80" fillId="24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29" fillId="24" borderId="1" applyNumberFormat="0" applyAlignment="0" applyProtection="0"/>
    <xf numFmtId="0" fontId="80" fillId="24" borderId="39" applyNumberFormat="0" applyAlignment="0" applyProtection="0"/>
    <xf numFmtId="0" fontId="19" fillId="0" borderId="0"/>
    <xf numFmtId="0" fontId="29" fillId="24" borderId="1" applyNumberFormat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0" fillId="24" borderId="39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80" fillId="24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2" fillId="73" borderId="39" applyNumberFormat="0" applyAlignment="0" applyProtection="0"/>
    <xf numFmtId="0" fontId="152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41" fontId="81" fillId="26" borderId="47">
      <alignment horizontal="left"/>
      <protection locked="0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0" fontId="81" fillId="26" borderId="47">
      <alignment horizontal="right"/>
      <protection locked="0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" fillId="22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" fillId="22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" fontId="82" fillId="0" borderId="0" applyFill="0" applyBorder="0" applyAlignment="0" applyProtection="0"/>
    <xf numFmtId="0" fontId="6" fillId="0" borderId="0"/>
    <xf numFmtId="3" fontId="82" fillId="0" borderId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0" fillId="0" borderId="7" applyNumberFormat="0" applyFill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35" fillId="0" borderId="50" applyNumberFormat="0" applyFill="0" applyAlignment="0" applyProtection="0"/>
    <xf numFmtId="0" fontId="19" fillId="0" borderId="0"/>
    <xf numFmtId="0" fontId="6" fillId="0" borderId="0"/>
    <xf numFmtId="0" fontId="83" fillId="0" borderId="49" applyNumberFormat="0" applyFill="0" applyAlignment="0" applyProtection="0"/>
    <xf numFmtId="0" fontId="19" fillId="0" borderId="0"/>
    <xf numFmtId="0" fontId="6" fillId="0" borderId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35" fillId="0" borderId="50" applyNumberFormat="0" applyFill="0" applyAlignment="0" applyProtection="0"/>
    <xf numFmtId="0" fontId="153" fillId="0" borderId="50" applyNumberFormat="0" applyFill="0" applyAlignment="0" applyProtection="0"/>
    <xf numFmtId="0" fontId="19" fillId="0" borderId="0"/>
    <xf numFmtId="0" fontId="6" fillId="0" borderId="0"/>
    <xf numFmtId="0" fontId="153" fillId="0" borderId="50" applyNumberFormat="0" applyFill="0" applyAlignment="0" applyProtection="0"/>
    <xf numFmtId="0" fontId="19" fillId="0" borderId="0"/>
    <xf numFmtId="0" fontId="35" fillId="0" borderId="50" applyNumberFormat="0" applyFill="0" applyAlignment="0" applyProtection="0"/>
    <xf numFmtId="0" fontId="19" fillId="0" borderId="0"/>
    <xf numFmtId="0" fontId="19" fillId="0" borderId="0"/>
    <xf numFmtId="0" fontId="35" fillId="0" borderId="50" applyNumberFormat="0" applyFill="0" applyAlignment="0" applyProtection="0"/>
    <xf numFmtId="0" fontId="153" fillId="0" borderId="50" applyNumberFormat="0" applyFill="0" applyAlignment="0" applyProtection="0"/>
    <xf numFmtId="0" fontId="30" fillId="0" borderId="7" applyNumberFormat="0" applyFill="0" applyAlignment="0" applyProtection="0"/>
    <xf numFmtId="0" fontId="154" fillId="0" borderId="66" applyNumberFormat="0" applyFill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3" fillId="0" borderId="49" applyNumberFormat="0" applyFill="0" applyAlignment="0" applyProtection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83" fillId="0" borderId="49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55" fillId="0" borderId="49" applyNumberFormat="0" applyFill="0" applyAlignment="0" applyProtection="0"/>
    <xf numFmtId="0" fontId="19" fillId="0" borderId="0"/>
    <xf numFmtId="0" fontId="83" fillId="0" borderId="49" applyNumberFormat="0" applyFill="0" applyAlignment="0" applyProtection="0"/>
    <xf numFmtId="0" fontId="6" fillId="0" borderId="0"/>
    <xf numFmtId="0" fontId="19" fillId="0" borderId="0"/>
    <xf numFmtId="0" fontId="19" fillId="0" borderId="0"/>
    <xf numFmtId="44" fontId="10" fillId="0" borderId="8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8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8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44" fontId="10" fillId="0" borderId="8" applyNumberFormat="0" applyFont="0" applyAlignment="0">
      <alignment horizontal="center"/>
    </xf>
    <xf numFmtId="0" fontId="6" fillId="0" borderId="0"/>
    <xf numFmtId="44" fontId="10" fillId="0" borderId="8" applyNumberFormat="0" applyFont="0" applyAlignment="0">
      <alignment horizontal="center"/>
    </xf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9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9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9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44" fontId="10" fillId="0" borderId="9" applyNumberFormat="0" applyFont="0" applyAlignment="0">
      <alignment horizontal="center"/>
    </xf>
    <xf numFmtId="0" fontId="6" fillId="0" borderId="0"/>
    <xf numFmtId="44" fontId="10" fillId="0" borderId="9" applyNumberFormat="0" applyFont="0" applyAlignment="0">
      <alignment horizontal="center"/>
    </xf>
    <xf numFmtId="0" fontId="6" fillId="0" borderId="0"/>
    <xf numFmtId="0" fontId="19" fillId="0" borderId="0"/>
    <xf numFmtId="0" fontId="19" fillId="0" borderId="0"/>
    <xf numFmtId="0" fontId="19" fillId="0" borderId="0"/>
    <xf numFmtId="195" fontId="8" fillId="97" borderId="0">
      <alignment horizontal="center"/>
    </xf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85" fillId="7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9" fillId="0" borderId="0"/>
    <xf numFmtId="0" fontId="85" fillId="74" borderId="0" applyNumberFormat="0" applyBorder="0" applyAlignment="0" applyProtection="0"/>
    <xf numFmtId="0" fontId="19" fillId="0" borderId="0"/>
    <xf numFmtId="0" fontId="85" fillId="74" borderId="0" applyNumberFormat="0" applyBorder="0" applyAlignment="0" applyProtection="0"/>
    <xf numFmtId="0" fontId="19" fillId="0" borderId="0"/>
    <xf numFmtId="0" fontId="19" fillId="0" borderId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31" fillId="24" borderId="0" applyNumberFormat="0" applyBorder="0" applyAlignment="0" applyProtection="0"/>
    <xf numFmtId="0" fontId="35" fillId="1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4" fillId="74" borderId="0" applyNumberFormat="0" applyBorder="0" applyAlignment="0" applyProtection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84" fillId="7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56" fillId="74" borderId="0" applyNumberFormat="0" applyBorder="0" applyAlignment="0" applyProtection="0"/>
    <xf numFmtId="0" fontId="19" fillId="0" borderId="0"/>
    <xf numFmtId="0" fontId="84" fillId="74" borderId="0" applyNumberFormat="0" applyBorder="0" applyAlignment="0" applyProtection="0"/>
    <xf numFmtId="37" fontId="87" fillId="0" borderId="0"/>
    <xf numFmtId="0" fontId="6" fillId="0" borderId="0"/>
    <xf numFmtId="37" fontId="87" fillId="0" borderId="0"/>
    <xf numFmtId="0" fontId="6" fillId="0" borderId="0"/>
    <xf numFmtId="37" fontId="87" fillId="0" borderId="0"/>
    <xf numFmtId="0" fontId="19" fillId="0" borderId="0"/>
    <xf numFmtId="37" fontId="87" fillId="0" borderId="0"/>
    <xf numFmtId="189" fontId="40" fillId="0" borderId="0"/>
    <xf numFmtId="0" fontId="4" fillId="0" borderId="0"/>
    <xf numFmtId="210" fontId="6" fillId="0" borderId="0"/>
    <xf numFmtId="189" fontId="40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53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4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40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40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6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40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40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19" fillId="0" borderId="0"/>
    <xf numFmtId="0" fontId="4" fillId="0" borderId="0"/>
    <xf numFmtId="0" fontId="19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13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1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34" fillId="0" borderId="0"/>
    <xf numFmtId="0" fontId="6" fillId="0" borderId="0"/>
    <xf numFmtId="0" fontId="6" fillId="0" borderId="0"/>
    <xf numFmtId="0" fontId="4" fillId="0" borderId="0"/>
    <xf numFmtId="0" fontId="157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6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4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0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/>
    <xf numFmtId="0" fontId="6" fillId="0" borderId="0">
      <alignment wrapText="1"/>
    </xf>
    <xf numFmtId="0" fontId="13" fillId="0" borderId="0"/>
    <xf numFmtId="0" fontId="13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0" fontId="1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40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40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5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19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4" fillId="0" borderId="0"/>
    <xf numFmtId="0" fontId="6" fillId="0" borderId="0"/>
    <xf numFmtId="0" fontId="19" fillId="75" borderId="51" applyNumberFormat="0" applyFont="0" applyAlignment="0" applyProtection="0"/>
    <xf numFmtId="0" fontId="6" fillId="0" borderId="0"/>
    <xf numFmtId="0" fontId="40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0" fillId="25" borderId="10" applyNumberFormat="0" applyFont="0" applyAlignment="0" applyProtection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4" fillId="0" borderId="0"/>
    <xf numFmtId="0" fontId="6" fillId="0" borderId="0"/>
    <xf numFmtId="0" fontId="19" fillId="75" borderId="51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88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32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89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32" fillId="20" borderId="11" applyNumberFormat="0" applyAlignment="0" applyProtection="0"/>
    <xf numFmtId="0" fontId="4" fillId="0" borderId="0"/>
    <xf numFmtId="0" fontId="32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32" fillId="66" borderId="11" applyNumberFormat="0" applyAlignment="0" applyProtection="0"/>
    <xf numFmtId="0" fontId="32" fillId="66" borderId="11" applyNumberFormat="0" applyAlignment="0" applyProtection="0"/>
    <xf numFmtId="0" fontId="32" fillId="20" borderId="11" applyNumberFormat="0" applyAlignment="0" applyProtection="0"/>
    <xf numFmtId="0" fontId="89" fillId="66" borderId="52" applyNumberFormat="0" applyAlignment="0" applyProtection="0"/>
    <xf numFmtId="0" fontId="4" fillId="0" borderId="0"/>
    <xf numFmtId="0" fontId="4" fillId="0" borderId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89" fillId="66" borderId="52" applyNumberFormat="0" applyAlignment="0" applyProtection="0"/>
    <xf numFmtId="0" fontId="89" fillId="66" borderId="52" applyNumberFormat="0" applyAlignment="0" applyProtection="0"/>
    <xf numFmtId="0" fontId="3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59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89" fillId="65" borderId="52" applyNumberFormat="0" applyAlignment="0" applyProtection="0"/>
    <xf numFmtId="0" fontId="4" fillId="0" borderId="0"/>
    <xf numFmtId="0" fontId="6" fillId="0" borderId="0"/>
    <xf numFmtId="0" fontId="32" fillId="20" borderId="11" applyNumberFormat="0" applyAlignment="0" applyProtection="0"/>
    <xf numFmtId="0" fontId="6" fillId="0" borderId="0"/>
    <xf numFmtId="0" fontId="6" fillId="0" borderId="0"/>
    <xf numFmtId="0" fontId="32" fillId="20" borderId="11" applyNumberFormat="0" applyAlignment="0" applyProtection="0"/>
    <xf numFmtId="0" fontId="4" fillId="0" borderId="0"/>
    <xf numFmtId="0" fontId="160" fillId="65" borderId="52" applyNumberFormat="0" applyAlignment="0" applyProtection="0"/>
    <xf numFmtId="0" fontId="4" fillId="0" borderId="0"/>
    <xf numFmtId="0" fontId="89" fillId="65" borderId="52" applyNumberFormat="0" applyAlignment="0" applyProtection="0"/>
    <xf numFmtId="0" fontId="55" fillId="0" borderId="0"/>
    <xf numFmtId="0" fontId="4" fillId="0" borderId="0"/>
    <xf numFmtId="0" fontId="4" fillId="0" borderId="0"/>
    <xf numFmtId="0" fontId="6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6" fillId="0" borderId="0"/>
    <xf numFmtId="0" fontId="55" fillId="0" borderId="0"/>
    <xf numFmtId="0" fontId="4" fillId="0" borderId="0"/>
    <xf numFmtId="0" fontId="57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8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19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5" fillId="0" borderId="0" applyFont="0" applyFill="0" applyBorder="0" applyAlignment="0" applyProtection="0"/>
    <xf numFmtId="0" fontId="4" fillId="0" borderId="0"/>
    <xf numFmtId="0" fontId="6" fillId="0" borderId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65" fillId="0" borderId="0" applyFont="0" applyFill="0" applyBorder="0" applyAlignment="0" applyProtection="0"/>
    <xf numFmtId="0" fontId="4" fillId="0" borderId="0"/>
    <xf numFmtId="0" fontId="4" fillId="0" borderId="0"/>
    <xf numFmtId="9" fontId="65" fillId="0" borderId="0" applyFont="0" applyFill="0" applyBorder="0" applyAlignment="0" applyProtection="0"/>
    <xf numFmtId="0" fontId="4" fillId="0" borderId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6" fillId="0" borderId="47"/>
    <xf numFmtId="10" fontId="6" fillId="0" borderId="47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88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19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5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8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8" fillId="0" borderId="0" applyFont="0" applyFill="0" applyBorder="0" applyAlignment="0" applyProtection="0"/>
    <xf numFmtId="10" fontId="6" fillId="0" borderId="47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61" fillId="22" borderId="0" applyBorder="0" applyAlignment="0">
      <protection hidden="1"/>
    </xf>
    <xf numFmtId="1" fontId="161" fillId="22" borderId="0">
      <alignment horizontal="center"/>
    </xf>
    <xf numFmtId="0" fontId="13" fillId="0" borderId="0" applyNumberFormat="0" applyFont="0" applyFill="0" applyBorder="0" applyAlignment="0" applyProtection="0">
      <alignment horizontal="left"/>
    </xf>
    <xf numFmtId="0" fontId="4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0" fontId="4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6" fillId="0" borderId="0"/>
    <xf numFmtId="0" fontId="4" fillId="0" borderId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4" fillId="0" borderId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6" fillId="0" borderId="0"/>
    <xf numFmtId="0" fontId="4" fillId="0" borderId="0"/>
    <xf numFmtId="4" fontId="13" fillId="0" borderId="0" applyFont="0" applyFill="0" applyBorder="0" applyAlignment="0" applyProtection="0"/>
    <xf numFmtId="0" fontId="37" fillId="0" borderId="34">
      <alignment horizontal="center"/>
    </xf>
    <xf numFmtId="0" fontId="37" fillId="0" borderId="34">
      <alignment horizontal="center"/>
    </xf>
    <xf numFmtId="0" fontId="4" fillId="0" borderId="0"/>
    <xf numFmtId="0" fontId="37" fillId="0" borderId="34">
      <alignment horizontal="center"/>
    </xf>
    <xf numFmtId="0" fontId="37" fillId="0" borderId="34">
      <alignment horizontal="center"/>
    </xf>
    <xf numFmtId="0" fontId="37" fillId="0" borderId="34">
      <alignment horizontal="center"/>
    </xf>
    <xf numFmtId="0" fontId="6" fillId="0" borderId="0"/>
    <xf numFmtId="0" fontId="4" fillId="0" borderId="0"/>
    <xf numFmtId="0" fontId="37" fillId="0" borderId="34">
      <alignment horizontal="center"/>
    </xf>
    <xf numFmtId="3" fontId="13" fillId="0" borderId="0" applyFont="0" applyFill="0" applyBorder="0" applyAlignment="0" applyProtection="0"/>
    <xf numFmtId="0" fontId="4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6" fillId="0" borderId="0"/>
    <xf numFmtId="0" fontId="4" fillId="0" borderId="0"/>
    <xf numFmtId="3" fontId="13" fillId="0" borderId="0" applyFont="0" applyFill="0" applyBorder="0" applyAlignment="0" applyProtection="0"/>
    <xf numFmtId="0" fontId="13" fillId="77" borderId="0" applyNumberFormat="0" applyFont="0" applyBorder="0" applyAlignment="0" applyProtection="0"/>
    <xf numFmtId="0" fontId="4" fillId="0" borderId="0"/>
    <xf numFmtId="0" fontId="13" fillId="77" borderId="0" applyNumberFormat="0" applyFont="0" applyBorder="0" applyAlignment="0" applyProtection="0"/>
    <xf numFmtId="0" fontId="13" fillId="77" borderId="0" applyNumberFormat="0" applyFont="0" applyBorder="0" applyAlignment="0" applyProtection="0"/>
    <xf numFmtId="0" fontId="13" fillId="77" borderId="0" applyNumberFormat="0" applyFont="0" applyBorder="0" applyAlignment="0" applyProtection="0"/>
    <xf numFmtId="0" fontId="6" fillId="0" borderId="0"/>
    <xf numFmtId="0" fontId="4" fillId="0" borderId="0"/>
    <xf numFmtId="0" fontId="13" fillId="77" borderId="0" applyNumberFormat="0" applyFont="0" applyBorder="0" applyAlignment="0" applyProtection="0"/>
    <xf numFmtId="0" fontId="57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0"/>
    <xf numFmtId="0" fontId="4" fillId="0" borderId="0"/>
    <xf numFmtId="0" fontId="58" fillId="0" borderId="0"/>
    <xf numFmtId="0" fontId="91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2" fillId="0" borderId="0"/>
    <xf numFmtId="0" fontId="4" fillId="0" borderId="0"/>
    <xf numFmtId="0" fontId="92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90" fillId="0" borderId="0" applyFill="0" applyBorder="0" applyAlignment="0" applyProtection="0"/>
    <xf numFmtId="0" fontId="4" fillId="0" borderId="0"/>
    <xf numFmtId="0" fontId="6" fillId="0" borderId="0"/>
    <xf numFmtId="3" fontId="90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4" fillId="0" borderId="0"/>
    <xf numFmtId="3" fontId="90" fillId="0" borderId="0" applyFill="0" applyBorder="0" applyAlignment="0" applyProtection="0"/>
    <xf numFmtId="0" fontId="4" fillId="0" borderId="0"/>
    <xf numFmtId="0" fontId="4" fillId="0" borderId="0"/>
    <xf numFmtId="3" fontId="90" fillId="0" borderId="0" applyFill="0" applyBorder="0" applyAlignment="0" applyProtection="0"/>
    <xf numFmtId="0" fontId="4" fillId="0" borderId="0"/>
    <xf numFmtId="3" fontId="90" fillId="0" borderId="0" applyFill="0" applyBorder="0" applyAlignment="0" applyProtection="0"/>
    <xf numFmtId="0" fontId="4" fillId="0" borderId="0"/>
    <xf numFmtId="3" fontId="90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6" fillId="78" borderId="0"/>
    <xf numFmtId="0" fontId="93" fillId="78" borderId="48"/>
    <xf numFmtId="0" fontId="94" fillId="79" borderId="53"/>
    <xf numFmtId="0" fontId="94" fillId="79" borderId="53"/>
    <xf numFmtId="0" fontId="95" fillId="78" borderId="54"/>
    <xf numFmtId="0" fontId="95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16" fillId="0" borderId="0" applyBorder="0" applyAlignment="0"/>
    <xf numFmtId="164" fontId="16" fillId="0" borderId="0" applyBorder="0" applyAlignment="0"/>
    <xf numFmtId="0" fontId="4" fillId="0" borderId="0"/>
    <xf numFmtId="0" fontId="6" fillId="0" borderId="0"/>
    <xf numFmtId="164" fontId="16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15" fillId="23" borderId="13">
      <alignment horizontal="left"/>
    </xf>
    <xf numFmtId="198" fontId="15" fillId="23" borderId="13">
      <alignment horizontal="left"/>
    </xf>
    <xf numFmtId="198" fontId="15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15" fillId="23" borderId="13">
      <alignment horizontal="left"/>
    </xf>
    <xf numFmtId="0" fontId="4" fillId="0" borderId="0"/>
    <xf numFmtId="14" fontId="40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40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62" fillId="0" borderId="0"/>
    <xf numFmtId="4" fontId="96" fillId="26" borderId="11" applyNumberFormat="0" applyProtection="0">
      <alignment vertical="center"/>
    </xf>
    <xf numFmtId="4" fontId="96" fillId="26" borderId="11" applyNumberFormat="0" applyProtection="0">
      <alignment vertical="center"/>
    </xf>
    <xf numFmtId="4" fontId="96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96" fillId="82" borderId="11" applyNumberFormat="0" applyProtection="0">
      <alignment horizontal="right" vertical="center"/>
    </xf>
    <xf numFmtId="4" fontId="96" fillId="82" borderId="11" applyNumberFormat="0" applyProtection="0">
      <alignment horizontal="right" vertical="center"/>
    </xf>
    <xf numFmtId="4" fontId="96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3" borderId="11" applyNumberFormat="0" applyProtection="0">
      <alignment horizontal="right" vertical="center"/>
    </xf>
    <xf numFmtId="4" fontId="96" fillId="83" borderId="11" applyNumberFormat="0" applyProtection="0">
      <alignment horizontal="right" vertical="center"/>
    </xf>
    <xf numFmtId="4" fontId="96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4" borderId="11" applyNumberFormat="0" applyProtection="0">
      <alignment horizontal="right" vertical="center"/>
    </xf>
    <xf numFmtId="4" fontId="96" fillId="84" borderId="11" applyNumberFormat="0" applyProtection="0">
      <alignment horizontal="right" vertical="center"/>
    </xf>
    <xf numFmtId="4" fontId="96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5" borderId="11" applyNumberFormat="0" applyProtection="0">
      <alignment horizontal="right" vertical="center"/>
    </xf>
    <xf numFmtId="4" fontId="96" fillId="85" borderId="11" applyNumberFormat="0" applyProtection="0">
      <alignment horizontal="right" vertical="center"/>
    </xf>
    <xf numFmtId="4" fontId="96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6" borderId="11" applyNumberFormat="0" applyProtection="0">
      <alignment horizontal="right" vertical="center"/>
    </xf>
    <xf numFmtId="4" fontId="96" fillId="86" borderId="11" applyNumberFormat="0" applyProtection="0">
      <alignment horizontal="right" vertical="center"/>
    </xf>
    <xf numFmtId="4" fontId="96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7" borderId="11" applyNumberFormat="0" applyProtection="0">
      <alignment horizontal="right" vertical="center"/>
    </xf>
    <xf numFmtId="4" fontId="96" fillId="87" borderId="11" applyNumberFormat="0" applyProtection="0">
      <alignment horizontal="right" vertical="center"/>
    </xf>
    <xf numFmtId="4" fontId="96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8" borderId="11" applyNumberFormat="0" applyProtection="0">
      <alignment horizontal="right" vertical="center"/>
    </xf>
    <xf numFmtId="4" fontId="96" fillId="88" borderId="11" applyNumberFormat="0" applyProtection="0">
      <alignment horizontal="right" vertical="center"/>
    </xf>
    <xf numFmtId="4" fontId="96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9" borderId="11" applyNumberFormat="0" applyProtection="0">
      <alignment horizontal="right" vertical="center"/>
    </xf>
    <xf numFmtId="4" fontId="96" fillId="89" borderId="11" applyNumberFormat="0" applyProtection="0">
      <alignment horizontal="right" vertical="center"/>
    </xf>
    <xf numFmtId="4" fontId="96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90" borderId="11" applyNumberFormat="0" applyProtection="0">
      <alignment horizontal="right" vertical="center"/>
    </xf>
    <xf numFmtId="4" fontId="96" fillId="90" borderId="11" applyNumberFormat="0" applyProtection="0">
      <alignment horizontal="right" vertical="center"/>
    </xf>
    <xf numFmtId="4" fontId="96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8" fillId="92" borderId="0" applyNumberFormat="0" applyProtection="0">
      <alignment horizontal="left" vertical="center" indent="1"/>
    </xf>
    <xf numFmtId="4" fontId="98" fillId="91" borderId="11" applyNumberFormat="0" applyProtection="0">
      <alignment horizontal="left" vertical="center" indent="1"/>
    </xf>
    <xf numFmtId="4" fontId="98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96" fillId="93" borderId="0" applyNumberFormat="0" applyProtection="0">
      <alignment horizontal="left" vertical="center" indent="1"/>
    </xf>
    <xf numFmtId="4" fontId="96" fillId="93" borderId="55" applyNumberFormat="0" applyProtection="0">
      <alignment horizontal="left" vertical="center" indent="1"/>
    </xf>
    <xf numFmtId="4" fontId="96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99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0" fillId="0" borderId="0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0" fillId="0" borderId="0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96" fillId="97" borderId="11" applyNumberFormat="0" applyProtection="0">
      <alignment vertical="center"/>
    </xf>
    <xf numFmtId="4" fontId="96" fillId="97" borderId="11" applyNumberFormat="0" applyProtection="0">
      <alignment vertical="center"/>
    </xf>
    <xf numFmtId="4" fontId="96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96" fillId="93" borderId="11" applyNumberFormat="0" applyProtection="0">
      <alignment horizontal="right" vertical="center"/>
    </xf>
    <xf numFmtId="0" fontId="4" fillId="0" borderId="0"/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02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04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16" fillId="0" borderId="13"/>
    <xf numFmtId="38" fontId="16" fillId="0" borderId="13"/>
    <xf numFmtId="38" fontId="16" fillId="0" borderId="13"/>
    <xf numFmtId="38" fontId="16" fillId="0" borderId="13"/>
    <xf numFmtId="0" fontId="4" fillId="0" borderId="0"/>
    <xf numFmtId="0" fontId="6" fillId="0" borderId="0"/>
    <xf numFmtId="38" fontId="16" fillId="0" borderId="13"/>
    <xf numFmtId="38" fontId="16" fillId="0" borderId="13"/>
    <xf numFmtId="38" fontId="16" fillId="0" borderId="13"/>
    <xf numFmtId="0" fontId="4" fillId="0" borderId="0"/>
    <xf numFmtId="0" fontId="4" fillId="0" borderId="0"/>
    <xf numFmtId="39" fontId="40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40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63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69" applyNumberFormat="0" applyProtection="0">
      <alignment horizontal="center" wrapText="1"/>
    </xf>
    <xf numFmtId="0" fontId="16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70" applyNumberFormat="0" applyAlignment="0" applyProtection="0">
      <alignment wrapText="1"/>
    </xf>
    <xf numFmtId="0" fontId="165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1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66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66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67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16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96" fillId="0" borderId="0" applyNumberFormat="0" applyBorder="0" applyAlignment="0"/>
    <xf numFmtId="0" fontId="105" fillId="0" borderId="0" applyNumberFormat="0" applyBorder="0" applyAlignment="0"/>
    <xf numFmtId="0" fontId="98" fillId="0" borderId="0" applyNumberFormat="0" applyBorder="0" applyAlignment="0"/>
    <xf numFmtId="218" fontId="168" fillId="0" borderId="0"/>
    <xf numFmtId="172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69" fillId="112" borderId="0" applyFont="0" applyBorder="0" applyAlignment="0">
      <alignment vertical="top" wrapText="1"/>
    </xf>
    <xf numFmtId="218" fontId="170" fillId="112" borderId="72" applyBorder="0">
      <alignment horizontal="right" vertical="top" wrapText="1"/>
    </xf>
    <xf numFmtId="0" fontId="108" fillId="0" borderId="0"/>
    <xf numFmtId="0" fontId="108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4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104" fillId="0" borderId="0" applyNumberFormat="0" applyFill="0" applyBorder="0" applyAlignment="0" applyProtection="0"/>
    <xf numFmtId="0" fontId="4" fillId="0" borderId="0"/>
    <xf numFmtId="0" fontId="6" fillId="0" borderId="0"/>
    <xf numFmtId="0" fontId="171" fillId="0" borderId="0" applyNumberFormat="0" applyFill="0" applyBorder="0" applyAlignment="0" applyProtection="0"/>
    <xf numFmtId="0" fontId="4" fillId="0" borderId="0"/>
    <xf numFmtId="0" fontId="6" fillId="0" borderId="0"/>
    <xf numFmtId="0" fontId="104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10" fillId="0" borderId="0" applyNumberFormat="0" applyFill="0" applyBorder="0" applyAlignment="0" applyProtection="0"/>
    <xf numFmtId="0" fontId="4" fillId="0" borderId="0"/>
    <xf numFmtId="0" fontId="6" fillId="0" borderId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33" fillId="0" borderId="0" applyNumberFormat="0" applyFill="0" applyBorder="0" applyAlignment="0" applyProtection="0"/>
    <xf numFmtId="0" fontId="4" fillId="0" borderId="0"/>
    <xf numFmtId="0" fontId="4" fillId="0" borderId="0"/>
    <xf numFmtId="0" fontId="110" fillId="0" borderId="0" applyNumberFormat="0" applyFill="0" applyBorder="0" applyAlignment="0" applyProtection="0"/>
    <xf numFmtId="0" fontId="56" fillId="0" borderId="0"/>
    <xf numFmtId="0" fontId="93" fillId="78" borderId="0"/>
    <xf numFmtId="0" fontId="111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11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11" fillId="23" borderId="0">
      <alignment horizontal="left" vertical="center"/>
    </xf>
    <xf numFmtId="0" fontId="4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13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13" fillId="0" borderId="0">
      <alignment horizontal="left" vertical="center"/>
    </xf>
    <xf numFmtId="0" fontId="4" fillId="0" borderId="0"/>
    <xf numFmtId="205" fontId="12" fillId="0" borderId="0"/>
    <xf numFmtId="0" fontId="4" fillId="0" borderId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34" fillId="0" borderId="14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59" fillId="0" borderId="58" applyNumberFormat="0" applyFont="0" applyFill="0" applyAlignment="0" applyProtection="0"/>
    <xf numFmtId="0" fontId="6" fillId="0" borderId="0"/>
    <xf numFmtId="0" fontId="4" fillId="0" borderId="0"/>
    <xf numFmtId="0" fontId="34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14" fillId="0" borderId="57" applyNumberFormat="0" applyFill="0" applyAlignment="0" applyProtection="0"/>
    <xf numFmtId="0" fontId="4" fillId="0" borderId="0"/>
    <xf numFmtId="0" fontId="114" fillId="0" borderId="57" applyNumberFormat="0" applyFill="0" applyAlignment="0" applyProtection="0"/>
    <xf numFmtId="0" fontId="59" fillId="0" borderId="58" applyNumberFormat="0" applyFon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7" applyNumberFormat="0" applyFill="0" applyAlignment="0" applyProtection="0"/>
    <xf numFmtId="0" fontId="6" fillId="0" borderId="0"/>
    <xf numFmtId="0" fontId="59" fillId="0" borderId="58" applyNumberFormat="0" applyFont="0" applyFill="0" applyAlignment="0" applyProtection="0"/>
    <xf numFmtId="0" fontId="59" fillId="0" borderId="58" applyNumberFormat="0" applyFont="0" applyFill="0" applyAlignment="0" applyProtection="0"/>
    <xf numFmtId="0" fontId="4" fillId="0" borderId="0"/>
    <xf numFmtId="0" fontId="6" fillId="0" borderId="0"/>
    <xf numFmtId="0" fontId="59" fillId="0" borderId="58" applyNumberFormat="0" applyFont="0" applyFill="0" applyAlignment="0" applyProtection="0"/>
    <xf numFmtId="0" fontId="59" fillId="0" borderId="58" applyNumberFormat="0" applyFont="0" applyFill="0" applyAlignment="0" applyProtection="0"/>
    <xf numFmtId="0" fontId="6" fillId="0" borderId="0"/>
    <xf numFmtId="0" fontId="4" fillId="0" borderId="0"/>
    <xf numFmtId="0" fontId="59" fillId="0" borderId="58" applyNumberFormat="0" applyFont="0" applyFill="0" applyAlignment="0" applyProtection="0"/>
    <xf numFmtId="0" fontId="59" fillId="0" borderId="58" applyNumberFormat="0" applyFont="0" applyFill="0" applyAlignment="0" applyProtection="0"/>
    <xf numFmtId="0" fontId="4" fillId="0" borderId="0"/>
    <xf numFmtId="0" fontId="114" fillId="0" borderId="57" applyNumberFormat="0" applyFill="0" applyAlignment="0" applyProtection="0"/>
    <xf numFmtId="0" fontId="57" fillId="0" borderId="60"/>
    <xf numFmtId="0" fontId="58" fillId="0" borderId="60"/>
    <xf numFmtId="0" fontId="58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60"/>
    <xf numFmtId="0" fontId="4" fillId="0" borderId="0"/>
    <xf numFmtId="0" fontId="58" fillId="0" borderId="60"/>
    <xf numFmtId="205" fontId="16" fillId="0" borderId="73"/>
    <xf numFmtId="212" fontId="127" fillId="0" borderId="73" applyAlignment="0"/>
    <xf numFmtId="213" fontId="127" fillId="0" borderId="73" applyAlignment="0"/>
    <xf numFmtId="218" fontId="127" fillId="0" borderId="73" applyAlignment="0">
      <alignment horizontal="right"/>
    </xf>
    <xf numFmtId="222" fontId="161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3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3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5" fillId="0" borderId="0" applyNumberFormat="0" applyFill="0" applyBorder="0" applyAlignment="0" applyProtection="0"/>
    <xf numFmtId="0" fontId="6" fillId="0" borderId="0"/>
    <xf numFmtId="0" fontId="4" fillId="0" borderId="0"/>
    <xf numFmtId="0" fontId="3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3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" fillId="0" borderId="0"/>
    <xf numFmtId="0" fontId="174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9" fontId="117" fillId="0" borderId="0" applyFont="0" applyFill="0" applyBorder="0" applyAlignment="0" applyProtection="0"/>
    <xf numFmtId="166" fontId="6" fillId="0" borderId="0">
      <alignment horizontal="left" wrapText="1"/>
    </xf>
  </cellStyleXfs>
  <cellXfs count="403">
    <xf numFmtId="0" fontId="0" fillId="0" borderId="0" xfId="0"/>
    <xf numFmtId="0" fontId="8" fillId="0" borderId="0" xfId="0" applyFont="1" applyBorder="1"/>
    <xf numFmtId="164" fontId="8" fillId="0" borderId="0" xfId="29" applyNumberFormat="1" applyFont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5" xfId="0" applyFont="1" applyFill="1" applyBorder="1"/>
    <xf numFmtId="0" fontId="8" fillId="0" borderId="37" xfId="0" applyFont="1" applyFill="1" applyBorder="1"/>
    <xf numFmtId="0" fontId="8" fillId="0" borderId="36" xfId="0" applyFont="1" applyFill="1" applyBorder="1"/>
    <xf numFmtId="0" fontId="8" fillId="0" borderId="30" xfId="0" applyFont="1" applyFill="1" applyBorder="1"/>
    <xf numFmtId="164" fontId="8" fillId="0" borderId="0" xfId="0" applyNumberFormat="1" applyFont="1" applyFill="1" applyBorder="1"/>
    <xf numFmtId="164" fontId="8" fillId="0" borderId="31" xfId="0" applyNumberFormat="1" applyFont="1" applyFill="1" applyBorder="1"/>
    <xf numFmtId="0" fontId="8" fillId="0" borderId="30" xfId="0" quotePrefix="1" applyFont="1" applyFill="1" applyBorder="1" applyAlignment="1">
      <alignment horizontal="left" indent="2"/>
    </xf>
    <xf numFmtId="168" fontId="8" fillId="0" borderId="0" xfId="30" applyNumberFormat="1" applyFont="1" applyFill="1" applyBorder="1"/>
    <xf numFmtId="168" fontId="8" fillId="0" borderId="31" xfId="30" applyNumberFormat="1" applyFont="1" applyFill="1" applyBorder="1"/>
    <xf numFmtId="0" fontId="8" fillId="0" borderId="30" xfId="0" applyFont="1" applyFill="1" applyBorder="1" applyAlignment="1">
      <alignment horizontal="left" indent="2"/>
    </xf>
    <xf numFmtId="0" fontId="8" fillId="0" borderId="32" xfId="0" applyFont="1" applyFill="1" applyBorder="1"/>
    <xf numFmtId="168" fontId="8" fillId="0" borderId="34" xfId="30" applyNumberFormat="1" applyFont="1" applyFill="1" applyBorder="1"/>
    <xf numFmtId="168" fontId="8" fillId="0" borderId="33" xfId="30" applyNumberFormat="1" applyFont="1" applyFill="1" applyBorder="1"/>
    <xf numFmtId="0" fontId="8" fillId="0" borderId="35" xfId="0" applyFont="1" applyFill="1" applyBorder="1" applyAlignment="1">
      <alignment horizontal="center" wrapText="1"/>
    </xf>
    <xf numFmtId="0" fontId="8" fillId="0" borderId="37" xfId="0" quotePrefix="1" applyFont="1" applyFill="1" applyBorder="1" applyAlignment="1">
      <alignment horizontal="center" wrapText="1"/>
    </xf>
    <xf numFmtId="17" fontId="8" fillId="0" borderId="37" xfId="0" applyNumberFormat="1" applyFont="1" applyFill="1" applyBorder="1" applyAlignment="1">
      <alignment horizontal="center" wrapText="1"/>
    </xf>
    <xf numFmtId="17" fontId="8" fillId="0" borderId="36" xfId="0" applyNumberFormat="1" applyFont="1" applyFill="1" applyBorder="1" applyAlignment="1">
      <alignment horizontal="center" wrapText="1"/>
    </xf>
    <xf numFmtId="0" fontId="8" fillId="0" borderId="30" xfId="0" quotePrefix="1" applyFont="1" applyFill="1" applyBorder="1" applyAlignment="1">
      <alignment horizontal="left"/>
    </xf>
    <xf numFmtId="164" fontId="8" fillId="0" borderId="0" xfId="29" applyNumberFormat="1" applyFont="1" applyFill="1" applyBorder="1"/>
    <xf numFmtId="0" fontId="8" fillId="0" borderId="0" xfId="0" applyFont="1" applyFill="1" applyBorder="1"/>
    <xf numFmtId="0" fontId="8" fillId="0" borderId="31" xfId="0" applyFont="1" applyFill="1" applyBorder="1"/>
    <xf numFmtId="0" fontId="8" fillId="0" borderId="34" xfId="0" applyFont="1" applyFill="1" applyBorder="1"/>
    <xf numFmtId="0" fontId="8" fillId="0" borderId="33" xfId="0" applyFont="1" applyFill="1" applyBorder="1"/>
    <xf numFmtId="0" fontId="8" fillId="0" borderId="0" xfId="0" quotePrefix="1" applyFont="1" applyBorder="1" applyAlignment="1">
      <alignment horizontal="left"/>
    </xf>
    <xf numFmtId="0" fontId="178" fillId="0" borderId="0" xfId="0" quotePrefix="1" applyFont="1" applyBorder="1" applyAlignment="1">
      <alignment horizontal="left"/>
    </xf>
    <xf numFmtId="169" fontId="8" fillId="0" borderId="0" xfId="30" applyNumberFormat="1" applyFont="1" applyFill="1" applyBorder="1"/>
    <xf numFmtId="0" fontId="178" fillId="0" borderId="0" xfId="0" quotePrefix="1" applyFont="1" applyFill="1" applyBorder="1" applyAlignment="1">
      <alignment horizontal="left" indent="2"/>
    </xf>
    <xf numFmtId="164" fontId="179" fillId="0" borderId="0" xfId="29" applyNumberFormat="1" applyFont="1" applyFill="1" applyBorder="1"/>
    <xf numFmtId="169" fontId="179" fillId="0" borderId="0" xfId="30" applyNumberFormat="1" applyFont="1" applyFill="1" applyBorder="1"/>
    <xf numFmtId="0" fontId="8" fillId="0" borderId="0" xfId="0" applyFont="1" applyFill="1" applyBorder="1" applyAlignment="1">
      <alignment horizontal="left" indent="2"/>
    </xf>
    <xf numFmtId="0" fontId="8" fillId="0" borderId="0" xfId="0" quotePrefix="1" applyFont="1" applyFill="1" applyBorder="1" applyAlignment="1">
      <alignment horizontal="left" indent="2"/>
    </xf>
    <xf numFmtId="169" fontId="8" fillId="0" borderId="0" xfId="0" applyNumberFormat="1" applyFont="1" applyBorder="1"/>
    <xf numFmtId="0" fontId="16" fillId="0" borderId="0" xfId="0" applyFont="1" applyBorder="1" applyAlignment="1">
      <alignment horizontal="centerContinuous"/>
    </xf>
    <xf numFmtId="164" fontId="16" fillId="0" borderId="0" xfId="29" applyNumberFormat="1" applyFont="1" applyBorder="1" applyAlignment="1">
      <alignment horizontal="centerContinuous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164" fontId="16" fillId="0" borderId="0" xfId="29" applyNumberFormat="1" applyFont="1" applyBorder="1"/>
    <xf numFmtId="0" fontId="16" fillId="0" borderId="0" xfId="0" applyFont="1" applyFill="1" applyBorder="1" applyAlignment="1">
      <alignment horizontal="center" wrapText="1"/>
    </xf>
    <xf numFmtId="17" fontId="16" fillId="0" borderId="0" xfId="0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8" fillId="0" borderId="76" xfId="0" applyFont="1" applyFill="1" applyBorder="1"/>
    <xf numFmtId="0" fontId="8" fillId="0" borderId="76" xfId="0" quotePrefix="1" applyFont="1" applyFill="1" applyBorder="1" applyAlignment="1">
      <alignment horizontal="center" wrapText="1"/>
    </xf>
    <xf numFmtId="164" fontId="16" fillId="115" borderId="0" xfId="29" applyNumberFormat="1" applyFont="1" applyFill="1" applyBorder="1" applyAlignment="1">
      <alignment horizontal="center"/>
    </xf>
    <xf numFmtId="0" fontId="16" fillId="0" borderId="74" xfId="0" quotePrefix="1" applyFont="1" applyFill="1" applyBorder="1" applyAlignment="1">
      <alignment horizontal="left"/>
    </xf>
    <xf numFmtId="0" fontId="16" fillId="0" borderId="29" xfId="0" quotePrefix="1" applyFont="1" applyFill="1" applyBorder="1" applyAlignment="1">
      <alignment horizontal="center"/>
    </xf>
    <xf numFmtId="0" fontId="16" fillId="0" borderId="29" xfId="0" quotePrefix="1" applyFont="1" applyFill="1" applyBorder="1" applyAlignment="1">
      <alignment horizontal="centerContinuous" wrapText="1"/>
    </xf>
    <xf numFmtId="0" fontId="16" fillId="0" borderId="29" xfId="0" quotePrefix="1" applyFont="1" applyFill="1" applyBorder="1" applyAlignment="1">
      <alignment horizontal="centerContinuous" vertical="center" wrapText="1"/>
    </xf>
    <xf numFmtId="0" fontId="16" fillId="0" borderId="75" xfId="0" quotePrefix="1" applyFont="1" applyFill="1" applyBorder="1" applyAlignment="1">
      <alignment horizontal="centerContinuous" vertical="center" wrapText="1"/>
    </xf>
    <xf numFmtId="169" fontId="8" fillId="115" borderId="76" xfId="0" applyNumberFormat="1" applyFont="1" applyFill="1" applyBorder="1"/>
    <xf numFmtId="169" fontId="8" fillId="115" borderId="77" xfId="0" applyNumberFormat="1" applyFont="1" applyFill="1" applyBorder="1"/>
    <xf numFmtId="169" fontId="8" fillId="115" borderId="0" xfId="0" applyNumberFormat="1" applyFont="1" applyFill="1" applyBorder="1"/>
    <xf numFmtId="169" fontId="8" fillId="115" borderId="31" xfId="0" applyNumberFormat="1" applyFont="1" applyFill="1" applyBorder="1"/>
    <xf numFmtId="169" fontId="180" fillId="114" borderId="76" xfId="0" applyNumberFormat="1" applyFont="1" applyFill="1" applyBorder="1"/>
    <xf numFmtId="169" fontId="180" fillId="114" borderId="0" xfId="0" applyNumberFormat="1" applyFont="1" applyFill="1" applyBorder="1"/>
    <xf numFmtId="0" fontId="181" fillId="0" borderId="18" xfId="48" applyFont="1" applyBorder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48" applyFont="1" applyBorder="1" applyAlignment="1">
      <alignment horizontal="right"/>
    </xf>
    <xf numFmtId="0" fontId="8" fillId="0" borderId="0" xfId="48" applyFont="1"/>
    <xf numFmtId="0" fontId="8" fillId="0" borderId="15" xfId="48" applyFont="1" applyBorder="1"/>
    <xf numFmtId="0" fontId="8" fillId="0" borderId="13" xfId="48" applyFont="1" applyBorder="1" applyAlignment="1">
      <alignment horizontal="center"/>
    </xf>
    <xf numFmtId="0" fontId="8" fillId="0" borderId="13" xfId="48" applyFont="1" applyBorder="1"/>
    <xf numFmtId="0" fontId="8" fillId="0" borderId="16" xfId="48" applyFont="1" applyBorder="1"/>
    <xf numFmtId="0" fontId="8" fillId="0" borderId="0" xfId="48" applyFont="1" applyBorder="1"/>
    <xf numFmtId="0" fontId="8" fillId="0" borderId="17" xfId="48" applyFont="1" applyBorder="1"/>
    <xf numFmtId="0" fontId="181" fillId="0" borderId="0" xfId="48" applyFont="1" applyBorder="1"/>
    <xf numFmtId="0" fontId="181" fillId="0" borderId="0" xfId="48" applyFont="1" applyBorder="1" applyAlignment="1">
      <alignment horizontal="right" wrapText="1"/>
    </xf>
    <xf numFmtId="3" fontId="8" fillId="0" borderId="0" xfId="48" applyNumberFormat="1" applyFont="1" applyBorder="1"/>
    <xf numFmtId="1" fontId="8" fillId="0" borderId="0" xfId="48" applyNumberFormat="1" applyFont="1" applyBorder="1"/>
    <xf numFmtId="1" fontId="16" fillId="0" borderId="0" xfId="49" applyNumberFormat="1" applyFont="1" applyFill="1" applyBorder="1"/>
    <xf numFmtId="167" fontId="8" fillId="0" borderId="18" xfId="52" applyNumberFormat="1" applyFont="1" applyFill="1" applyBorder="1"/>
    <xf numFmtId="1" fontId="8" fillId="0" borderId="0" xfId="49" applyNumberFormat="1" applyFont="1" applyFill="1" applyBorder="1"/>
    <xf numFmtId="1" fontId="8" fillId="0" borderId="0" xfId="48" applyNumberFormat="1" applyFont="1"/>
    <xf numFmtId="1" fontId="8" fillId="0" borderId="0" xfId="49" applyNumberFormat="1" applyFont="1" applyFill="1" applyBorder="1" applyAlignment="1">
      <alignment horizontal="right"/>
    </xf>
    <xf numFmtId="0" fontId="16" fillId="0" borderId="0" xfId="48" applyFont="1" applyBorder="1"/>
    <xf numFmtId="3" fontId="16" fillId="0" borderId="0" xfId="48" applyNumberFormat="1" applyFont="1" applyBorder="1"/>
    <xf numFmtId="3" fontId="182" fillId="0" borderId="0" xfId="48" applyNumberFormat="1" applyFont="1" applyBorder="1"/>
    <xf numFmtId="3" fontId="182" fillId="0" borderId="18" xfId="48" applyNumberFormat="1" applyFont="1" applyBorder="1"/>
    <xf numFmtId="167" fontId="8" fillId="0" borderId="20" xfId="52" applyNumberFormat="1" applyFont="1" applyBorder="1"/>
    <xf numFmtId="0" fontId="8" fillId="0" borderId="20" xfId="48" applyFont="1" applyBorder="1"/>
    <xf numFmtId="0" fontId="8" fillId="0" borderId="21" xfId="48" applyFont="1" applyBorder="1"/>
    <xf numFmtId="0" fontId="179" fillId="0" borderId="0" xfId="48" applyFont="1" applyBorder="1" applyAlignment="1">
      <alignment horizontal="left"/>
    </xf>
    <xf numFmtId="0" fontId="8" fillId="0" borderId="0" xfId="48" applyFont="1" applyBorder="1" applyAlignment="1">
      <alignment horizontal="left"/>
    </xf>
    <xf numFmtId="0" fontId="8" fillId="0" borderId="0" xfId="48" applyFont="1" applyBorder="1" applyAlignment="1">
      <alignment horizontal="left" wrapText="1"/>
    </xf>
    <xf numFmtId="0" fontId="8" fillId="0" borderId="0" xfId="48" applyFont="1" applyBorder="1" applyAlignment="1">
      <alignment wrapText="1"/>
    </xf>
    <xf numFmtId="0" fontId="179" fillId="0" borderId="0" xfId="48" quotePrefix="1" applyFont="1" applyBorder="1" applyAlignment="1"/>
    <xf numFmtId="167" fontId="8" fillId="0" borderId="0" xfId="52" applyNumberFormat="1" applyFont="1" applyBorder="1"/>
    <xf numFmtId="167" fontId="16" fillId="0" borderId="0" xfId="52" applyNumberFormat="1" applyFont="1" applyBorder="1"/>
    <xf numFmtId="3" fontId="8" fillId="0" borderId="0" xfId="48" applyNumberFormat="1" applyFont="1"/>
    <xf numFmtId="167" fontId="8" fillId="0" borderId="0" xfId="48" applyNumberFormat="1" applyFont="1"/>
    <xf numFmtId="0" fontId="162" fillId="0" borderId="0" xfId="49" applyFont="1"/>
    <xf numFmtId="0" fontId="8" fillId="0" borderId="0" xfId="49" applyFont="1"/>
    <xf numFmtId="0" fontId="8" fillId="0" borderId="0" xfId="42572" applyNumberFormat="1" applyFont="1" applyAlignment="1"/>
    <xf numFmtId="0" fontId="16" fillId="0" borderId="15" xfId="49" applyFont="1" applyBorder="1" applyAlignment="1">
      <alignment horizontal="center" vertical="justify" wrapText="1"/>
    </xf>
    <xf numFmtId="0" fontId="16" fillId="0" borderId="16" xfId="49" applyFont="1" applyBorder="1" applyAlignment="1">
      <alignment horizontal="center" vertical="justify" wrapText="1"/>
    </xf>
    <xf numFmtId="0" fontId="16" fillId="0" borderId="22" xfId="49" applyFont="1" applyBorder="1" applyAlignment="1">
      <alignment horizontal="center" vertical="justify" wrapText="1"/>
    </xf>
    <xf numFmtId="0" fontId="16" fillId="0" borderId="22" xfId="49" applyFont="1" applyBorder="1" applyAlignment="1">
      <alignment horizontal="left"/>
    </xf>
    <xf numFmtId="0" fontId="16" fillId="0" borderId="15" xfId="49" applyFont="1" applyBorder="1" applyAlignment="1">
      <alignment horizontal="left"/>
    </xf>
    <xf numFmtId="0" fontId="16" fillId="0" borderId="6" xfId="49" applyFont="1" applyBorder="1" applyAlignment="1">
      <alignment horizontal="center" vertical="justify" wrapText="1"/>
    </xf>
    <xf numFmtId="0" fontId="16" fillId="0" borderId="19" xfId="49" applyFont="1" applyBorder="1" applyAlignment="1">
      <alignment horizontal="center" vertical="center" wrapText="1"/>
    </xf>
    <xf numFmtId="0" fontId="16" fillId="0" borderId="21" xfId="49" applyFont="1" applyBorder="1" applyAlignment="1">
      <alignment horizontal="center" vertical="center" wrapText="1"/>
    </xf>
    <xf numFmtId="0" fontId="16" fillId="0" borderId="20" xfId="49" applyFont="1" applyBorder="1" applyAlignment="1">
      <alignment horizontal="center" vertical="center" wrapText="1"/>
    </xf>
    <xf numFmtId="0" fontId="16" fillId="0" borderId="20" xfId="49" applyNumberFormat="1" applyFont="1" applyBorder="1" applyAlignment="1">
      <alignment horizontal="center" vertical="center" wrapText="1"/>
    </xf>
    <xf numFmtId="0" fontId="16" fillId="0" borderId="24" xfId="49" applyFont="1" applyBorder="1" applyAlignment="1">
      <alignment horizontal="center" vertical="center" wrapText="1"/>
    </xf>
    <xf numFmtId="0" fontId="16" fillId="0" borderId="25" xfId="49" applyFont="1" applyBorder="1" applyAlignment="1">
      <alignment horizontal="center" vertical="center" wrapText="1"/>
    </xf>
    <xf numFmtId="0" fontId="16" fillId="0" borderId="6" xfId="49" applyFont="1" applyBorder="1" applyAlignment="1">
      <alignment horizontal="center" vertical="center" wrapText="1"/>
    </xf>
    <xf numFmtId="0" fontId="183" fillId="0" borderId="0" xfId="42572" applyNumberFormat="1" applyFont="1" applyAlignment="1">
      <alignment horizontal="center"/>
    </xf>
    <xf numFmtId="0" fontId="8" fillId="0" borderId="15" xfId="49" applyFont="1" applyFill="1" applyBorder="1"/>
    <xf numFmtId="0" fontId="8" fillId="0" borderId="18" xfId="49" applyFont="1" applyFill="1" applyBorder="1"/>
    <xf numFmtId="1" fontId="8" fillId="0" borderId="13" xfId="49" applyNumberFormat="1" applyFont="1" applyFill="1" applyBorder="1"/>
    <xf numFmtId="3" fontId="8" fillId="0" borderId="13" xfId="49" applyNumberFormat="1" applyFont="1" applyFill="1" applyBorder="1"/>
    <xf numFmtId="1" fontId="8" fillId="113" borderId="13" xfId="49" applyNumberFormat="1" applyFont="1" applyFill="1" applyBorder="1"/>
    <xf numFmtId="3" fontId="8" fillId="113" borderId="13" xfId="49" applyNumberFormat="1" applyFont="1" applyFill="1" applyBorder="1"/>
    <xf numFmtId="37" fontId="16" fillId="113" borderId="15" xfId="29" applyNumberFormat="1" applyFont="1" applyFill="1" applyBorder="1"/>
    <xf numFmtId="37" fontId="8" fillId="0" borderId="16" xfId="49" applyNumberFormat="1" applyFont="1" applyFill="1" applyBorder="1"/>
    <xf numFmtId="37" fontId="8" fillId="113" borderId="0" xfId="29" applyNumberFormat="1" applyFont="1" applyFill="1" applyBorder="1"/>
    <xf numFmtId="37" fontId="16" fillId="113" borderId="28" xfId="49" applyNumberFormat="1" applyFont="1" applyFill="1" applyBorder="1"/>
    <xf numFmtId="164" fontId="8" fillId="0" borderId="28" xfId="49" applyNumberFormat="1" applyFont="1" applyBorder="1"/>
    <xf numFmtId="167" fontId="8" fillId="0" borderId="0" xfId="52" applyNumberFormat="1" applyFont="1"/>
    <xf numFmtId="3" fontId="8" fillId="0" borderId="0" xfId="42572" applyNumberFormat="1" applyFont="1" applyAlignment="1"/>
    <xf numFmtId="3" fontId="8" fillId="113" borderId="0" xfId="42572" applyNumberFormat="1" applyFont="1" applyFill="1" applyAlignment="1"/>
    <xf numFmtId="0" fontId="8" fillId="0" borderId="0" xfId="49" applyFont="1" applyFill="1" applyBorder="1"/>
    <xf numFmtId="3" fontId="8" fillId="0" borderId="0" xfId="49" applyNumberFormat="1" applyFont="1" applyFill="1" applyBorder="1"/>
    <xf numFmtId="1" fontId="8" fillId="113" borderId="0" xfId="42572" quotePrefix="1" applyNumberFormat="1" applyFont="1" applyFill="1" applyBorder="1" applyAlignment="1"/>
    <xf numFmtId="1" fontId="8" fillId="113" borderId="0" xfId="49" applyNumberFormat="1" applyFont="1" applyFill="1" applyBorder="1"/>
    <xf numFmtId="3" fontId="8" fillId="113" borderId="0" xfId="42572" quotePrefix="1" applyNumberFormat="1" applyFont="1" applyFill="1" applyBorder="1" applyAlignment="1"/>
    <xf numFmtId="37" fontId="16" fillId="113" borderId="17" xfId="29" applyNumberFormat="1" applyFont="1" applyFill="1" applyBorder="1"/>
    <xf numFmtId="37" fontId="8" fillId="0" borderId="18" xfId="49" applyNumberFormat="1" applyFont="1" applyFill="1" applyBorder="1"/>
    <xf numFmtId="37" fontId="16" fillId="113" borderId="26" xfId="49" applyNumberFormat="1" applyFont="1" applyFill="1" applyBorder="1"/>
    <xf numFmtId="164" fontId="8" fillId="0" borderId="26" xfId="49" applyNumberFormat="1" applyFont="1" applyBorder="1"/>
    <xf numFmtId="37" fontId="16" fillId="113" borderId="17" xfId="49" applyNumberFormat="1" applyFont="1" applyFill="1" applyBorder="1"/>
    <xf numFmtId="0" fontId="8" fillId="0" borderId="17" xfId="49" applyFont="1" applyFill="1" applyBorder="1"/>
    <xf numFmtId="3" fontId="8" fillId="113" borderId="0" xfId="49" applyNumberFormat="1" applyFont="1" applyFill="1" applyBorder="1"/>
    <xf numFmtId="37" fontId="8" fillId="113" borderId="18" xfId="29" applyNumberFormat="1" applyFont="1" applyFill="1" applyBorder="1"/>
    <xf numFmtId="3" fontId="8" fillId="0" borderId="0" xfId="42572" quotePrefix="1" applyNumberFormat="1" applyFont="1" applyBorder="1" applyAlignment="1">
      <alignment wrapText="1"/>
    </xf>
    <xf numFmtId="3" fontId="8" fillId="113" borderId="18" xfId="49" applyNumberFormat="1" applyFont="1" applyFill="1" applyBorder="1"/>
    <xf numFmtId="37" fontId="16" fillId="113" borderId="0" xfId="29" applyNumberFormat="1" applyFont="1" applyFill="1" applyBorder="1"/>
    <xf numFmtId="3" fontId="16" fillId="0" borderId="0" xfId="29" applyNumberFormat="1" applyFont="1" applyFill="1" applyBorder="1"/>
    <xf numFmtId="3" fontId="8" fillId="0" borderId="0" xfId="29" applyNumberFormat="1" applyFont="1" applyFill="1" applyBorder="1"/>
    <xf numFmtId="3" fontId="16" fillId="0" borderId="0" xfId="49" applyNumberFormat="1" applyFont="1" applyFill="1" applyBorder="1"/>
    <xf numFmtId="164" fontId="8" fillId="0" borderId="0" xfId="49" applyNumberFormat="1" applyFont="1" applyBorder="1"/>
    <xf numFmtId="1" fontId="8" fillId="0" borderId="0" xfId="42572" quotePrefix="1" applyNumberFormat="1" applyFont="1" applyBorder="1" applyAlignment="1"/>
    <xf numFmtId="3" fontId="8" fillId="0" borderId="0" xfId="42572" quotePrefix="1" applyNumberFormat="1" applyFont="1" applyBorder="1" applyAlignment="1"/>
    <xf numFmtId="3" fontId="16" fillId="0" borderId="0" xfId="49" applyNumberFormat="1" applyFont="1" applyBorder="1"/>
    <xf numFmtId="164" fontId="16" fillId="0" borderId="0" xfId="29" applyNumberFormat="1" applyFont="1" applyFill="1" applyBorder="1"/>
    <xf numFmtId="0" fontId="8" fillId="0" borderId="19" xfId="49" applyFont="1" applyFill="1" applyBorder="1"/>
    <xf numFmtId="1" fontId="8" fillId="0" borderId="20" xfId="49" applyNumberFormat="1" applyFont="1" applyFill="1" applyBorder="1"/>
    <xf numFmtId="3" fontId="8" fillId="0" borderId="20" xfId="49" applyNumberFormat="1" applyFont="1" applyFill="1" applyBorder="1"/>
    <xf numFmtId="1" fontId="8" fillId="113" borderId="20" xfId="49" applyNumberFormat="1" applyFont="1" applyFill="1" applyBorder="1"/>
    <xf numFmtId="3" fontId="8" fillId="113" borderId="20" xfId="49" applyNumberFormat="1" applyFont="1" applyFill="1" applyBorder="1"/>
    <xf numFmtId="37" fontId="16" fillId="113" borderId="19" xfId="29" applyNumberFormat="1" applyFont="1" applyFill="1" applyBorder="1"/>
    <xf numFmtId="37" fontId="8" fillId="0" borderId="21" xfId="49" applyNumberFormat="1" applyFont="1" applyFill="1" applyBorder="1"/>
    <xf numFmtId="37" fontId="8" fillId="113" borderId="20" xfId="29" applyNumberFormat="1" applyFont="1" applyFill="1" applyBorder="1"/>
    <xf numFmtId="37" fontId="16" fillId="113" borderId="27" xfId="49" applyNumberFormat="1" applyFont="1" applyFill="1" applyBorder="1"/>
    <xf numFmtId="164" fontId="8" fillId="0" borderId="27" xfId="49" applyNumberFormat="1" applyFont="1" applyFill="1" applyBorder="1"/>
    <xf numFmtId="3" fontId="8" fillId="0" borderId="0" xfId="42572" applyNumberFormat="1" applyFont="1" applyFill="1" applyBorder="1" applyAlignment="1"/>
    <xf numFmtId="0" fontId="16" fillId="0" borderId="24" xfId="49" applyFont="1" applyFill="1" applyBorder="1"/>
    <xf numFmtId="3" fontId="16" fillId="0" borderId="22" xfId="49" applyNumberFormat="1" applyFont="1" applyFill="1" applyBorder="1"/>
    <xf numFmtId="0" fontId="16" fillId="0" borderId="22" xfId="49" applyFont="1" applyFill="1" applyBorder="1"/>
    <xf numFmtId="0" fontId="16" fillId="0" borderId="25" xfId="49" applyFont="1" applyFill="1" applyBorder="1"/>
    <xf numFmtId="37" fontId="16" fillId="0" borderId="21" xfId="49" applyNumberFormat="1" applyFont="1" applyFill="1" applyBorder="1"/>
    <xf numFmtId="37" fontId="16" fillId="0" borderId="22" xfId="49" applyNumberFormat="1" applyFont="1" applyFill="1" applyBorder="1"/>
    <xf numFmtId="37" fontId="16" fillId="0" borderId="25" xfId="49" applyNumberFormat="1" applyFont="1" applyFill="1" applyBorder="1"/>
    <xf numFmtId="37" fontId="8" fillId="0" borderId="0" xfId="52" applyNumberFormat="1" applyFont="1"/>
    <xf numFmtId="0" fontId="16" fillId="0" borderId="0" xfId="49" applyFont="1" applyFill="1"/>
    <xf numFmtId="0" fontId="8" fillId="0" borderId="0" xfId="49" applyFont="1" applyFill="1"/>
    <xf numFmtId="37" fontId="8" fillId="0" borderId="0" xfId="49" applyNumberFormat="1" applyFont="1" applyFill="1"/>
    <xf numFmtId="37" fontId="16" fillId="0" borderId="6" xfId="49" applyNumberFormat="1" applyFont="1" applyFill="1" applyBorder="1"/>
    <xf numFmtId="37" fontId="8" fillId="0" borderId="0" xfId="49" applyNumberFormat="1" applyFont="1"/>
    <xf numFmtId="0" fontId="184" fillId="0" borderId="0" xfId="49" applyFont="1"/>
    <xf numFmtId="0" fontId="179" fillId="0" borderId="0" xfId="49" applyFont="1"/>
    <xf numFmtId="43" fontId="8" fillId="0" borderId="0" xfId="49" applyNumberFormat="1" applyFont="1" applyBorder="1"/>
    <xf numFmtId="0" fontId="185" fillId="0" borderId="0" xfId="49" applyFont="1"/>
    <xf numFmtId="49" fontId="16" fillId="0" borderId="0" xfId="49" applyNumberFormat="1" applyFont="1" applyAlignment="1">
      <alignment horizontal="left" vertical="center"/>
    </xf>
    <xf numFmtId="0" fontId="8" fillId="0" borderId="0" xfId="49" applyFont="1" applyAlignment="1">
      <alignment vertical="justify" wrapText="1"/>
    </xf>
    <xf numFmtId="38" fontId="8" fillId="0" borderId="0" xfId="42572" applyNumberFormat="1" applyFont="1" applyBorder="1" applyAlignment="1"/>
    <xf numFmtId="37" fontId="8" fillId="0" borderId="0" xfId="42572" applyNumberFormat="1" applyFont="1" applyAlignment="1"/>
    <xf numFmtId="39" fontId="8" fillId="0" borderId="0" xfId="42572" applyNumberFormat="1" applyFont="1" applyAlignment="1">
      <alignment horizontal="right"/>
    </xf>
    <xf numFmtId="0" fontId="16" fillId="0" borderId="22" xfId="49" applyFont="1" applyBorder="1" applyAlignment="1">
      <alignment horizontal="center" vertical="center" wrapText="1"/>
    </xf>
    <xf numFmtId="0" fontId="16" fillId="0" borderId="6" xfId="49" applyFont="1" applyBorder="1" applyAlignment="1">
      <alignment vertical="center" wrapText="1"/>
    </xf>
    <xf numFmtId="0" fontId="16" fillId="0" borderId="22" xfId="49" applyFont="1" applyBorder="1" applyAlignment="1">
      <alignment vertical="center" wrapText="1"/>
    </xf>
    <xf numFmtId="0" fontId="16" fillId="0" borderId="25" xfId="49" applyFont="1" applyBorder="1" applyAlignment="1">
      <alignment vertical="center" wrapText="1"/>
    </xf>
    <xf numFmtId="0" fontId="8" fillId="0" borderId="0" xfId="49" applyFont="1" applyBorder="1"/>
    <xf numFmtId="0" fontId="8" fillId="0" borderId="13" xfId="49" applyFont="1" applyBorder="1" applyAlignment="1">
      <alignment horizontal="center"/>
    </xf>
    <xf numFmtId="0" fontId="8" fillId="0" borderId="28" xfId="49" applyFont="1" applyBorder="1"/>
    <xf numFmtId="0" fontId="8" fillId="0" borderId="0" xfId="49" applyFont="1" applyBorder="1" applyAlignment="1">
      <alignment horizontal="center"/>
    </xf>
    <xf numFmtId="0" fontId="8" fillId="0" borderId="26" xfId="49" applyFont="1" applyBorder="1"/>
    <xf numFmtId="0" fontId="8" fillId="0" borderId="26" xfId="42572" applyNumberFormat="1" applyFont="1" applyBorder="1" applyAlignment="1"/>
    <xf numFmtId="17" fontId="8" fillId="0" borderId="0" xfId="42572" applyNumberFormat="1" applyFont="1" applyAlignment="1"/>
    <xf numFmtId="0" fontId="8" fillId="0" borderId="20" xfId="49" applyFont="1" applyBorder="1" applyAlignment="1">
      <alignment horizontal="center"/>
    </xf>
    <xf numFmtId="0" fontId="8" fillId="0" borderId="27" xfId="49" applyFont="1" applyBorder="1"/>
    <xf numFmtId="0" fontId="16" fillId="0" borderId="0" xfId="49" applyFont="1"/>
    <xf numFmtId="0" fontId="16" fillId="0" borderId="0" xfId="0" applyFont="1"/>
    <xf numFmtId="0" fontId="182" fillId="0" borderId="0" xfId="0" applyFont="1"/>
    <xf numFmtId="17" fontId="8" fillId="0" borderId="0" xfId="0" applyNumberFormat="1" applyFont="1"/>
    <xf numFmtId="17" fontId="8" fillId="0" borderId="0" xfId="0" applyNumberFormat="1" applyFont="1" applyBorder="1"/>
    <xf numFmtId="0" fontId="186" fillId="0" borderId="0" xfId="0" applyFont="1"/>
    <xf numFmtId="0" fontId="179" fillId="0" borderId="0" xfId="0" applyFont="1" applyBorder="1" applyAlignment="1">
      <alignment horizontal="center"/>
    </xf>
    <xf numFmtId="17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4" fontId="8" fillId="113" borderId="0" xfId="29" applyNumberFormat="1" applyFont="1" applyFill="1"/>
    <xf numFmtId="164" fontId="8" fillId="113" borderId="0" xfId="29" applyNumberFormat="1" applyFont="1" applyFill="1" applyBorder="1"/>
    <xf numFmtId="3" fontId="8" fillId="0" borderId="0" xfId="0" applyNumberFormat="1" applyFont="1"/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left"/>
    </xf>
    <xf numFmtId="164" fontId="187" fillId="0" borderId="0" xfId="0" applyNumberFormat="1" applyFont="1"/>
    <xf numFmtId="164" fontId="187" fillId="0" borderId="0" xfId="0" applyNumberFormat="1" applyFont="1" applyBorder="1"/>
    <xf numFmtId="3" fontId="8" fillId="0" borderId="0" xfId="0" applyNumberFormat="1" applyFont="1" applyFill="1"/>
    <xf numFmtId="164" fontId="8" fillId="113" borderId="0" xfId="0" applyNumberFormat="1" applyFont="1" applyFill="1"/>
    <xf numFmtId="0" fontId="8" fillId="0" borderId="0" xfId="0" applyFont="1" applyAlignment="1"/>
    <xf numFmtId="164" fontId="8" fillId="0" borderId="0" xfId="0" applyNumberFormat="1" applyFont="1" applyFill="1"/>
    <xf numFmtId="0" fontId="8" fillId="0" borderId="0" xfId="0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left" indent="2"/>
    </xf>
    <xf numFmtId="164" fontId="8" fillId="0" borderId="0" xfId="29" applyNumberFormat="1" applyFont="1"/>
    <xf numFmtId="164" fontId="8" fillId="0" borderId="0" xfId="29" applyNumberFormat="1" applyFont="1" applyAlignment="1">
      <alignment horizontal="center"/>
    </xf>
    <xf numFmtId="164" fontId="8" fillId="0" borderId="22" xfId="29" applyNumberFormat="1" applyFont="1" applyBorder="1"/>
    <xf numFmtId="0" fontId="181" fillId="0" borderId="0" xfId="0" applyFont="1"/>
    <xf numFmtId="3" fontId="181" fillId="0" borderId="0" xfId="0" applyNumberFormat="1" applyFont="1"/>
    <xf numFmtId="0" fontId="8" fillId="0" borderId="0" xfId="0" applyFont="1" applyFill="1" applyAlignment="1">
      <alignment horizontal="left" indent="1"/>
    </xf>
    <xf numFmtId="164" fontId="8" fillId="0" borderId="0" xfId="29" applyNumberFormat="1" applyFont="1" applyFill="1"/>
    <xf numFmtId="164" fontId="8" fillId="0" borderId="0" xfId="29" applyNumberFormat="1" applyFont="1" applyFill="1" applyAlignment="1">
      <alignment horizontal="center"/>
    </xf>
    <xf numFmtId="164" fontId="8" fillId="0" borderId="23" xfId="29" applyNumberFormat="1" applyFont="1" applyBorder="1"/>
    <xf numFmtId="164" fontId="8" fillId="0" borderId="0" xfId="0" applyNumberFormat="1" applyFont="1"/>
    <xf numFmtId="9" fontId="8" fillId="0" borderId="0" xfId="52" applyFont="1"/>
    <xf numFmtId="9" fontId="16" fillId="0" borderId="0" xfId="52" applyFont="1" applyAlignment="1">
      <alignment horizontal="center"/>
    </xf>
    <xf numFmtId="9" fontId="8" fillId="0" borderId="22" xfId="52" applyFont="1" applyBorder="1"/>
    <xf numFmtId="43" fontId="8" fillId="0" borderId="0" xfId="29" applyNumberFormat="1" applyFont="1"/>
    <xf numFmtId="0" fontId="8" fillId="0" borderId="0" xfId="0" applyFont="1" applyFill="1" applyAlignment="1">
      <alignment horizontal="left" indent="2"/>
    </xf>
    <xf numFmtId="164" fontId="8" fillId="0" borderId="13" xfId="29" applyNumberFormat="1" applyFont="1" applyBorder="1"/>
    <xf numFmtId="9" fontId="8" fillId="0" borderId="13" xfId="52" applyFont="1" applyBorder="1"/>
    <xf numFmtId="10" fontId="8" fillId="0" borderId="0" xfId="52" applyNumberFormat="1" applyFont="1" applyBorder="1"/>
    <xf numFmtId="9" fontId="8" fillId="0" borderId="0" xfId="52" applyFont="1" applyBorder="1"/>
    <xf numFmtId="0" fontId="16" fillId="0" borderId="0" xfId="49" applyFont="1" applyBorder="1" applyAlignment="1">
      <alignment vertical="center" wrapText="1"/>
    </xf>
    <xf numFmtId="0" fontId="8" fillId="0" borderId="26" xfId="0" applyFont="1" applyBorder="1" applyAlignment="1">
      <alignment horizontal="left" indent="2"/>
    </xf>
    <xf numFmtId="223" fontId="8" fillId="0" borderId="26" xfId="49" applyNumberFormat="1" applyFont="1" applyFill="1" applyBorder="1" applyAlignment="1">
      <alignment vertical="center" wrapText="1"/>
    </xf>
    <xf numFmtId="223" fontId="8" fillId="0" borderId="28" xfId="0" applyNumberFormat="1" applyFont="1" applyFill="1" applyBorder="1"/>
    <xf numFmtId="223" fontId="8" fillId="0" borderId="0" xfId="0" applyNumberFormat="1" applyFont="1" applyFill="1"/>
    <xf numFmtId="223" fontId="8" fillId="0" borderId="0" xfId="49" applyNumberFormat="1" applyFont="1" applyFill="1" applyBorder="1" applyAlignment="1">
      <alignment vertical="center" wrapText="1"/>
    </xf>
    <xf numFmtId="223" fontId="8" fillId="0" borderId="26" xfId="0" applyNumberFormat="1" applyFont="1" applyFill="1" applyBorder="1"/>
    <xf numFmtId="172" fontId="8" fillId="0" borderId="0" xfId="0" applyNumberFormat="1" applyFont="1"/>
    <xf numFmtId="0" fontId="8" fillId="0" borderId="20" xfId="0" applyFont="1" applyBorder="1"/>
    <xf numFmtId="172" fontId="8" fillId="0" borderId="20" xfId="0" applyNumberFormat="1" applyFont="1" applyBorder="1"/>
    <xf numFmtId="172" fontId="8" fillId="0" borderId="20" xfId="52" applyNumberFormat="1" applyFont="1" applyBorder="1"/>
    <xf numFmtId="3" fontId="8" fillId="0" borderId="0" xfId="52" applyNumberFormat="1" applyFont="1"/>
    <xf numFmtId="223" fontId="8" fillId="0" borderId="0" xfId="0" applyNumberFormat="1" applyFont="1" applyFill="1" applyBorder="1"/>
    <xf numFmtId="172" fontId="8" fillId="0" borderId="0" xfId="52" applyNumberFormat="1" applyFont="1"/>
    <xf numFmtId="0" fontId="8" fillId="0" borderId="26" xfId="0" applyFont="1" applyFill="1" applyBorder="1" applyAlignment="1">
      <alignment horizontal="left" indent="2"/>
    </xf>
    <xf numFmtId="0" fontId="8" fillId="0" borderId="27" xfId="0" applyFont="1" applyBorder="1" applyAlignment="1">
      <alignment horizontal="left" indent="2"/>
    </xf>
    <xf numFmtId="223" fontId="8" fillId="0" borderId="27" xfId="0" applyNumberFormat="1" applyFont="1" applyFill="1" applyBorder="1"/>
    <xf numFmtId="223" fontId="8" fillId="0" borderId="0" xfId="0" applyNumberFormat="1" applyFont="1" applyBorder="1"/>
    <xf numFmtId="0" fontId="186" fillId="0" borderId="0" xfId="49" applyFont="1"/>
    <xf numFmtId="0" fontId="183" fillId="0" borderId="0" xfId="49" applyFont="1" applyBorder="1" applyAlignment="1">
      <alignment horizontal="center" vertical="center" wrapText="1"/>
    </xf>
    <xf numFmtId="17" fontId="183" fillId="0" borderId="0" xfId="0" applyNumberFormat="1" applyFont="1" applyAlignment="1">
      <alignment horizontal="center"/>
    </xf>
    <xf numFmtId="0" fontId="8" fillId="0" borderId="18" xfId="0" applyFont="1" applyBorder="1" applyAlignment="1">
      <alignment horizontal="left" indent="2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0" xfId="0" applyFont="1" applyBorder="1"/>
    <xf numFmtId="0" fontId="16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top"/>
    </xf>
    <xf numFmtId="0" fontId="8" fillId="0" borderId="0" xfId="0" applyFont="1" applyAlignment="1">
      <alignment vertical="top"/>
    </xf>
    <xf numFmtId="0" fontId="181" fillId="0" borderId="0" xfId="0" applyFont="1" applyBorder="1"/>
    <xf numFmtId="0" fontId="16" fillId="0" borderId="20" xfId="0" applyFont="1" applyBorder="1" applyAlignment="1">
      <alignment horizontal="centerContinuous" vertical="top"/>
    </xf>
    <xf numFmtId="0" fontId="8" fillId="0" borderId="20" xfId="0" applyFont="1" applyBorder="1" applyAlignment="1">
      <alignment horizontal="centerContinuous" vertical="top"/>
    </xf>
    <xf numFmtId="0" fontId="16" fillId="0" borderId="0" xfId="0" quotePrefix="1" applyFont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0" fontId="181" fillId="0" borderId="0" xfId="0" applyFont="1" applyAlignment="1">
      <alignment horizontal="center"/>
    </xf>
    <xf numFmtId="0" fontId="183" fillId="0" borderId="0" xfId="0" quotePrefix="1" applyFont="1" applyBorder="1" applyAlignment="1">
      <alignment horizontal="center"/>
    </xf>
    <xf numFmtId="0" fontId="183" fillId="0" borderId="0" xfId="0" applyFont="1" applyFill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0" fontId="16" fillId="0" borderId="0" xfId="0" applyFont="1" applyFill="1"/>
    <xf numFmtId="17" fontId="8" fillId="0" borderId="0" xfId="0" applyNumberFormat="1" applyFont="1" applyAlignment="1">
      <alignment horizontal="center"/>
    </xf>
    <xf numFmtId="164" fontId="16" fillId="0" borderId="0" xfId="0" applyNumberFormat="1" applyFont="1" applyFill="1" applyBorder="1"/>
    <xf numFmtId="164" fontId="8" fillId="0" borderId="0" xfId="0" applyNumberFormat="1" applyFont="1" applyAlignment="1">
      <alignment horizontal="right"/>
    </xf>
    <xf numFmtId="164" fontId="16" fillId="0" borderId="0" xfId="29" applyNumberFormat="1" applyFont="1" applyFill="1" applyBorder="1" applyAlignment="1">
      <alignment horizontal="left"/>
    </xf>
    <xf numFmtId="17" fontId="8" fillId="0" borderId="20" xfId="0" applyNumberFormat="1" applyFont="1" applyBorder="1" applyAlignment="1">
      <alignment horizontal="center"/>
    </xf>
    <xf numFmtId="164" fontId="8" fillId="0" borderId="20" xfId="0" applyNumberFormat="1" applyFont="1" applyBorder="1"/>
    <xf numFmtId="37" fontId="8" fillId="0" borderId="0" xfId="0" applyNumberFormat="1" applyFont="1"/>
    <xf numFmtId="37" fontId="8" fillId="0" borderId="13" xfId="0" applyNumberFormat="1" applyFont="1" applyFill="1" applyBorder="1"/>
    <xf numFmtId="37" fontId="16" fillId="0" borderId="13" xfId="0" applyNumberFormat="1" applyFont="1" applyFill="1" applyBorder="1"/>
    <xf numFmtId="3" fontId="8" fillId="0" borderId="0" xfId="29" applyNumberFormat="1" applyFont="1" applyFill="1"/>
    <xf numFmtId="0" fontId="16" fillId="0" borderId="0" xfId="0" applyFont="1" applyBorder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37" fontId="8" fillId="0" borderId="0" xfId="29" applyNumberFormat="1" applyFont="1" applyFill="1"/>
    <xf numFmtId="37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181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81" fillId="0" borderId="0" xfId="0" applyFont="1" applyFill="1" applyAlignment="1">
      <alignment horizontal="left"/>
    </xf>
    <xf numFmtId="164" fontId="8" fillId="0" borderId="0" xfId="0" applyNumberFormat="1" applyFont="1" applyBorder="1"/>
    <xf numFmtId="0" fontId="8" fillId="0" borderId="0" xfId="0" applyFont="1" applyFill="1" applyAlignment="1">
      <alignment vertical="center"/>
    </xf>
    <xf numFmtId="0" fontId="8" fillId="0" borderId="20" xfId="0" applyFont="1" applyFill="1" applyBorder="1"/>
    <xf numFmtId="164" fontId="8" fillId="0" borderId="2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200" fontId="8" fillId="0" borderId="0" xfId="52" applyNumberFormat="1" applyFont="1"/>
    <xf numFmtId="0" fontId="178" fillId="0" borderId="0" xfId="0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/>
    <xf numFmtId="0" fontId="188" fillId="0" borderId="0" xfId="0" applyFont="1"/>
    <xf numFmtId="37" fontId="8" fillId="0" borderId="0" xfId="0" applyNumberFormat="1" applyFont="1" applyBorder="1"/>
    <xf numFmtId="42" fontId="8" fillId="0" borderId="0" xfId="0" applyNumberFormat="1" applyFont="1"/>
    <xf numFmtId="9" fontId="8" fillId="0" borderId="0" xfId="0" applyNumberFormat="1" applyFont="1" applyFill="1" applyBorder="1" applyAlignment="1">
      <alignment horizontal="right"/>
    </xf>
    <xf numFmtId="164" fontId="179" fillId="0" borderId="34" xfId="0" applyNumberFormat="1" applyFont="1" applyFill="1" applyBorder="1"/>
    <xf numFmtId="0" fontId="179" fillId="0" borderId="0" xfId="0" applyFont="1" applyBorder="1"/>
    <xf numFmtId="164" fontId="179" fillId="0" borderId="33" xfId="0" applyNumberFormat="1" applyFont="1" applyFill="1" applyBorder="1"/>
    <xf numFmtId="0" fontId="179" fillId="0" borderId="32" xfId="0" applyFont="1" applyFill="1" applyBorder="1" applyAlignment="1">
      <alignment horizontal="right"/>
    </xf>
    <xf numFmtId="164" fontId="180" fillId="115" borderId="0" xfId="29" applyNumberFormat="1" applyFont="1" applyFill="1" applyBorder="1"/>
    <xf numFmtId="164" fontId="180" fillId="115" borderId="31" xfId="29" applyNumberFormat="1" applyFont="1" applyFill="1" applyBorder="1"/>
    <xf numFmtId="0" fontId="6" fillId="0" borderId="0" xfId="35878" applyFont="1" applyFill="1"/>
    <xf numFmtId="0" fontId="10" fillId="0" borderId="0" xfId="35878" applyFont="1" applyFill="1" applyBorder="1" applyAlignment="1">
      <alignment horizontal="center"/>
    </xf>
    <xf numFmtId="0" fontId="6" fillId="0" borderId="0" xfId="35878" applyFill="1"/>
    <xf numFmtId="0" fontId="10" fillId="0" borderId="0" xfId="35878" applyFont="1" applyFill="1" applyAlignment="1" applyProtection="1">
      <alignment horizontal="centerContinuous"/>
      <protection locked="0"/>
    </xf>
    <xf numFmtId="0" fontId="10" fillId="0" borderId="0" xfId="35878" applyFont="1" applyFill="1" applyAlignment="1">
      <alignment horizontal="centerContinuous"/>
    </xf>
    <xf numFmtId="0" fontId="6" fillId="0" borderId="0" xfId="35878" applyFont="1" applyFill="1" applyAlignment="1">
      <alignment horizontal="center"/>
    </xf>
    <xf numFmtId="0" fontId="10" fillId="0" borderId="0" xfId="35878" applyFont="1" applyFill="1" applyAlignment="1" applyProtection="1">
      <alignment horizontal="center"/>
      <protection locked="0"/>
    </xf>
    <xf numFmtId="0" fontId="10" fillId="0" borderId="0" xfId="35878" applyFont="1" applyFill="1" applyProtection="1">
      <protection locked="0"/>
    </xf>
    <xf numFmtId="0" fontId="6" fillId="0" borderId="0" xfId="35878" applyFill="1" applyBorder="1"/>
    <xf numFmtId="0" fontId="6" fillId="0" borderId="0" xfId="35878"/>
    <xf numFmtId="0" fontId="10" fillId="0" borderId="20" xfId="35878" applyFont="1" applyFill="1" applyBorder="1" applyAlignment="1" applyProtection="1">
      <alignment horizontal="center"/>
      <protection locked="0"/>
    </xf>
    <xf numFmtId="0" fontId="10" fillId="0" borderId="20" xfId="35878" applyFont="1" applyFill="1" applyBorder="1"/>
    <xf numFmtId="0" fontId="6" fillId="0" borderId="20" xfId="35878" applyFont="1" applyFill="1" applyBorder="1"/>
    <xf numFmtId="0" fontId="6" fillId="0" borderId="0" xfId="35878" applyFill="1" applyBorder="1" applyAlignment="1">
      <alignment horizontal="centerContinuous" vertical="top"/>
    </xf>
    <xf numFmtId="0" fontId="6" fillId="0" borderId="0" xfId="35878" applyFill="1" applyBorder="1" applyAlignment="1">
      <alignment vertical="top"/>
    </xf>
    <xf numFmtId="0" fontId="10" fillId="0" borderId="0" xfId="35878" applyFont="1" applyFill="1" applyBorder="1" applyAlignment="1">
      <alignment horizontal="centerContinuous" vertical="top"/>
    </xf>
    <xf numFmtId="0" fontId="11" fillId="0" borderId="0" xfId="35878" applyFont="1" applyFill="1"/>
    <xf numFmtId="0" fontId="189" fillId="0" borderId="0" xfId="35878" applyFont="1" applyFill="1" applyBorder="1"/>
    <xf numFmtId="0" fontId="11" fillId="0" borderId="0" xfId="35878" applyFont="1" applyFill="1" applyBorder="1"/>
    <xf numFmtId="0" fontId="8" fillId="0" borderId="0" xfId="35878" applyFont="1" applyFill="1" applyAlignment="1" applyProtection="1">
      <alignment horizontal="center"/>
      <protection locked="0"/>
    </xf>
    <xf numFmtId="0" fontId="8" fillId="0" borderId="0" xfId="35878" applyFont="1" applyFill="1"/>
    <xf numFmtId="0" fontId="12" fillId="0" borderId="0" xfId="35878" quotePrefix="1" applyFont="1" applyFill="1" applyAlignment="1">
      <alignment horizontal="center"/>
    </xf>
    <xf numFmtId="0" fontId="12" fillId="0" borderId="0" xfId="35878" applyFont="1" applyFill="1" applyBorder="1" applyAlignment="1">
      <alignment horizontal="center"/>
    </xf>
    <xf numFmtId="37" fontId="12" fillId="0" borderId="0" xfId="35878" applyNumberFormat="1" applyFont="1" applyFill="1" applyBorder="1" applyAlignment="1">
      <alignment horizontal="center"/>
    </xf>
    <xf numFmtId="0" fontId="190" fillId="0" borderId="0" xfId="35878" applyFont="1" applyFill="1" applyBorder="1" applyAlignment="1">
      <alignment horizontal="center"/>
    </xf>
    <xf numFmtId="0" fontId="6" fillId="0" borderId="0" xfId="35878" applyFont="1" applyFill="1" applyBorder="1"/>
    <xf numFmtId="0" fontId="191" fillId="0" borderId="0" xfId="35878" quotePrefix="1" applyFont="1" applyFill="1" applyBorder="1" applyAlignment="1">
      <alignment horizontal="center"/>
    </xf>
    <xf numFmtId="0" fontId="191" fillId="0" borderId="0" xfId="35878" applyFont="1" applyFill="1" applyBorder="1" applyAlignment="1">
      <alignment horizontal="center"/>
    </xf>
    <xf numFmtId="37" fontId="191" fillId="0" borderId="0" xfId="35878" applyNumberFormat="1" applyFont="1" applyFill="1" applyBorder="1" applyAlignment="1">
      <alignment horizontal="center"/>
    </xf>
    <xf numFmtId="167" fontId="192" fillId="0" borderId="0" xfId="35878" applyNumberFormat="1" applyFont="1" applyFill="1" applyAlignment="1">
      <alignment horizontal="center"/>
    </xf>
    <xf numFmtId="167" fontId="192" fillId="0" borderId="0" xfId="35878" applyNumberFormat="1" applyFont="1" applyFill="1" applyAlignment="1">
      <alignment horizontal="left"/>
    </xf>
    <xf numFmtId="37" fontId="6" fillId="0" borderId="0" xfId="35878" applyNumberFormat="1" applyFill="1" applyBorder="1"/>
    <xf numFmtId="17" fontId="6" fillId="0" borderId="0" xfId="35878" applyNumberFormat="1" applyFont="1" applyFill="1"/>
    <xf numFmtId="37" fontId="6" fillId="0" borderId="0" xfId="29" applyNumberFormat="1" applyFont="1" applyFill="1" applyBorder="1"/>
    <xf numFmtId="37" fontId="6" fillId="0" borderId="0" xfId="35878" applyNumberFormat="1" applyFont="1" applyFill="1" applyAlignment="1">
      <alignment horizontal="right"/>
    </xf>
    <xf numFmtId="164" fontId="193" fillId="0" borderId="0" xfId="29" applyNumberFormat="1" applyFont="1" applyFill="1" applyBorder="1"/>
    <xf numFmtId="164" fontId="10" fillId="0" borderId="0" xfId="29" applyNumberFormat="1" applyFont="1" applyFill="1" applyBorder="1"/>
    <xf numFmtId="0" fontId="179" fillId="0" borderId="0" xfId="35878" applyFont="1" applyFill="1"/>
    <xf numFmtId="37" fontId="6" fillId="0" borderId="13" xfId="35878" applyNumberFormat="1" applyFont="1" applyFill="1" applyBorder="1"/>
    <xf numFmtId="37" fontId="10" fillId="0" borderId="13" xfId="35878" applyNumberFormat="1" applyFont="1" applyFill="1" applyBorder="1"/>
    <xf numFmtId="3" fontId="11" fillId="0" borderId="0" xfId="29" applyNumberFormat="1" applyFont="1" applyFill="1"/>
    <xf numFmtId="37" fontId="6" fillId="0" borderId="0" xfId="29" applyNumberFormat="1" applyFont="1" applyFill="1"/>
    <xf numFmtId="42" fontId="6" fillId="0" borderId="0" xfId="30" applyNumberFormat="1" applyFont="1" applyFill="1"/>
    <xf numFmtId="9" fontId="6" fillId="0" borderId="0" xfId="35878" applyNumberFormat="1" applyFill="1"/>
    <xf numFmtId="37" fontId="6" fillId="0" borderId="0" xfId="35878" applyNumberFormat="1" applyFont="1" applyFill="1"/>
    <xf numFmtId="41" fontId="6" fillId="0" borderId="0" xfId="30" applyNumberFormat="1" applyFont="1" applyFill="1"/>
    <xf numFmtId="0" fontId="6" fillId="0" borderId="0" xfId="35878" applyFont="1" applyFill="1" applyAlignment="1">
      <alignment horizontal="left"/>
    </xf>
    <xf numFmtId="0" fontId="190" fillId="0" borderId="0" xfId="35878" applyFont="1" applyFill="1" applyAlignment="1">
      <alignment horizontal="left"/>
    </xf>
    <xf numFmtId="0" fontId="6" fillId="0" borderId="0" xfId="35878" applyFont="1" applyFill="1" applyAlignment="1">
      <alignment vertical="center"/>
    </xf>
    <xf numFmtId="42" fontId="10" fillId="0" borderId="13" xfId="35878" applyNumberFormat="1" applyFont="1" applyFill="1" applyBorder="1"/>
    <xf numFmtId="42" fontId="6" fillId="0" borderId="0" xfId="35878" applyNumberFormat="1" applyFill="1"/>
    <xf numFmtId="37" fontId="6" fillId="0" borderId="0" xfId="35878" applyNumberFormat="1" applyFill="1"/>
    <xf numFmtId="0" fontId="179" fillId="0" borderId="0" xfId="35878" applyFont="1" applyFill="1" applyAlignment="1">
      <alignment horizontal="right"/>
    </xf>
    <xf numFmtId="37" fontId="179" fillId="0" borderId="0" xfId="35878" applyNumberFormat="1" applyFont="1" applyFill="1" applyAlignment="1">
      <alignment horizontal="center"/>
    </xf>
    <xf numFmtId="42" fontId="179" fillId="0" borderId="0" xfId="35878" applyNumberFormat="1" applyFont="1" applyFill="1" applyAlignment="1">
      <alignment horizontal="center"/>
    </xf>
    <xf numFmtId="0" fontId="6" fillId="0" borderId="0" xfId="35878" applyFont="1" applyFill="1" applyBorder="1" applyAlignment="1">
      <alignment horizontal="left"/>
    </xf>
    <xf numFmtId="193" fontId="6" fillId="0" borderId="0" xfId="35878" applyNumberFormat="1" applyFont="1" applyFill="1" applyBorder="1" applyAlignment="1">
      <alignment horizontal="right"/>
    </xf>
    <xf numFmtId="42" fontId="6" fillId="0" borderId="0" xfId="30" applyNumberFormat="1" applyFont="1" applyFill="1" applyBorder="1" applyAlignment="1">
      <alignment horizontal="right"/>
    </xf>
    <xf numFmtId="41" fontId="6" fillId="0" borderId="20" xfId="35878" applyNumberFormat="1" applyFont="1" applyFill="1" applyBorder="1" applyAlignment="1">
      <alignment horizontal="right"/>
    </xf>
    <xf numFmtId="165" fontId="6" fillId="0" borderId="0" xfId="35878" applyNumberFormat="1" applyFont="1" applyFill="1" applyBorder="1"/>
    <xf numFmtId="37" fontId="6" fillId="0" borderId="0" xfId="35878" applyNumberFormat="1" applyFont="1" applyFill="1" applyBorder="1" applyAlignment="1">
      <alignment horizontal="right"/>
    </xf>
    <xf numFmtId="41" fontId="6" fillId="0" borderId="0" xfId="35878" applyNumberFormat="1" applyFill="1"/>
    <xf numFmtId="37" fontId="6" fillId="0" borderId="0" xfId="35878" applyNumberFormat="1" applyFont="1" applyFill="1" applyBorder="1"/>
    <xf numFmtId="200" fontId="6" fillId="0" borderId="0" xfId="35878" applyNumberFormat="1" applyFont="1" applyFill="1" applyBorder="1" applyAlignment="1">
      <alignment horizontal="right"/>
    </xf>
    <xf numFmtId="42" fontId="6" fillId="0" borderId="20" xfId="30" applyNumberFormat="1" applyFont="1" applyFill="1" applyBorder="1" applyAlignment="1">
      <alignment horizontal="right"/>
    </xf>
    <xf numFmtId="0" fontId="6" fillId="0" borderId="0" xfId="35878" applyFill="1" applyAlignment="1">
      <alignment vertical="top"/>
    </xf>
    <xf numFmtId="0" fontId="6" fillId="0" borderId="0" xfId="35878" applyFont="1" applyFill="1" applyBorder="1" applyAlignment="1">
      <alignment horizontal="right"/>
    </xf>
    <xf numFmtId="0" fontId="6" fillId="0" borderId="20" xfId="35878" applyFill="1" applyBorder="1"/>
    <xf numFmtId="9" fontId="6" fillId="0" borderId="0" xfId="35878" applyNumberFormat="1" applyFont="1" applyFill="1" applyBorder="1" applyAlignment="1">
      <alignment horizontal="right"/>
    </xf>
    <xf numFmtId="41" fontId="6" fillId="0" borderId="20" xfId="35878" applyNumberFormat="1" applyFill="1" applyBorder="1"/>
    <xf numFmtId="42" fontId="10" fillId="0" borderId="0" xfId="29" applyNumberFormat="1" applyFont="1" applyFill="1" applyBorder="1" applyAlignment="1">
      <alignment horizontal="right"/>
    </xf>
    <xf numFmtId="42" fontId="6" fillId="0" borderId="23" xfId="35878" applyNumberFormat="1" applyFill="1" applyBorder="1"/>
    <xf numFmtId="0" fontId="6" fillId="0" borderId="0" xfId="35878" applyFont="1" applyFill="1" applyAlignment="1" applyProtection="1">
      <alignment horizontal="center"/>
      <protection locked="0"/>
    </xf>
    <xf numFmtId="17" fontId="6" fillId="0" borderId="0" xfId="35878" applyNumberFormat="1" applyFill="1" applyBorder="1" applyAlignment="1">
      <alignment horizontal="center"/>
    </xf>
    <xf numFmtId="0" fontId="18" fillId="0" borderId="0" xfId="35878" applyFont="1" applyFill="1" applyBorder="1" applyAlignment="1">
      <alignment horizontal="center"/>
    </xf>
    <xf numFmtId="0" fontId="18" fillId="0" borderId="0" xfId="35878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24" xfId="49" quotePrefix="1" applyFont="1" applyFill="1" applyBorder="1" applyAlignment="1">
      <alignment horizontal="center"/>
    </xf>
    <xf numFmtId="0" fontId="16" fillId="0" borderId="25" xfId="49" quotePrefix="1" applyFont="1" applyFill="1" applyBorder="1" applyAlignment="1">
      <alignment horizontal="center"/>
    </xf>
    <xf numFmtId="0" fontId="8" fillId="0" borderId="13" xfId="48" applyFont="1" applyBorder="1" applyAlignment="1">
      <alignment horizontal="center"/>
    </xf>
    <xf numFmtId="0" fontId="8" fillId="0" borderId="17" xfId="48" applyFont="1" applyBorder="1" applyAlignment="1">
      <alignment horizontal="left" wrapText="1"/>
    </xf>
    <xf numFmtId="0" fontId="8" fillId="0" borderId="19" xfId="48" applyFont="1" applyBorder="1" applyAlignment="1">
      <alignment horizontal="left" wrapText="1"/>
    </xf>
    <xf numFmtId="0" fontId="16" fillId="0" borderId="0" xfId="48" applyFont="1" applyAlignment="1">
      <alignment horizontal="center"/>
    </xf>
  </cellXfs>
  <cellStyles count="42573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42572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006666"/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152400</xdr:rowOff>
    </xdr:from>
    <xdr:to>
      <xdr:col>5</xdr:col>
      <xdr:colOff>419100</xdr:colOff>
      <xdr:row>31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619250" y="3981450"/>
          <a:ext cx="24193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  <xdr:twoCellAnchor>
    <xdr:from>
      <xdr:col>13</xdr:col>
      <xdr:colOff>171450</xdr:colOff>
      <xdr:row>3</xdr:row>
      <xdr:rowOff>114300</xdr:rowOff>
    </xdr:from>
    <xdr:to>
      <xdr:col>14</xdr:col>
      <xdr:colOff>561975</xdr:colOff>
      <xdr:row>13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34650" y="990600"/>
          <a:ext cx="123825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5.3359999999999996E-3</v>
          </cell>
        </row>
        <row r="13">
          <cell r="DA13">
            <v>4.0000000000000001E-3</v>
          </cell>
        </row>
        <row r="14">
          <cell r="DA14">
            <v>3.8526999999999999E-2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J43" sqref="J43"/>
    </sheetView>
  </sheetViews>
  <sheetFormatPr defaultColWidth="9.140625" defaultRowHeight="12.75"/>
  <cols>
    <col min="1" max="1" width="9.42578125" style="320" bestFit="1" customWidth="1"/>
    <col min="2" max="2" width="29.140625" style="322" customWidth="1"/>
    <col min="3" max="3" width="15.85546875" style="322" bestFit="1" customWidth="1"/>
    <col min="4" max="4" width="19.7109375" style="322" bestFit="1" customWidth="1"/>
    <col min="5" max="5" width="13.28515625" style="322" bestFit="1" customWidth="1"/>
    <col min="6" max="6" width="18.42578125" style="322" customWidth="1"/>
    <col min="7" max="7" width="14" style="322" bestFit="1" customWidth="1"/>
    <col min="8" max="8" width="9.5703125" style="322" customWidth="1"/>
    <col min="9" max="9" width="10.28515625" style="322" customWidth="1"/>
    <col min="10" max="10" width="22.28515625" style="322" bestFit="1" customWidth="1"/>
    <col min="11" max="11" width="15.7109375" style="322" customWidth="1"/>
    <col min="12" max="12" width="15.5703125" style="322" customWidth="1"/>
    <col min="13" max="14" width="15.85546875" style="322" customWidth="1"/>
    <col min="15" max="16" width="14" style="322" customWidth="1"/>
    <col min="17" max="18" width="10.7109375" style="322" customWidth="1"/>
    <col min="19" max="19" width="9.140625" style="322"/>
    <col min="20" max="20" width="0.7109375" style="322" customWidth="1"/>
    <col min="21" max="22" width="10.7109375" style="322" customWidth="1"/>
    <col min="23" max="23" width="10.7109375" style="322" bestFit="1" customWidth="1"/>
    <col min="24" max="24" width="0.7109375" style="322" customWidth="1"/>
    <col min="25" max="26" width="10.7109375" style="322" customWidth="1"/>
    <col min="27" max="16384" width="9.140625" style="322"/>
  </cols>
  <sheetData>
    <row r="1" spans="1:27">
      <c r="B1" s="320"/>
      <c r="C1" s="320"/>
      <c r="D1" s="320"/>
      <c r="E1" s="320"/>
      <c r="F1" s="321"/>
    </row>
    <row r="2" spans="1:27">
      <c r="A2" s="323" t="s">
        <v>105</v>
      </c>
      <c r="B2" s="323"/>
      <c r="C2" s="323"/>
      <c r="D2" s="323"/>
      <c r="E2" s="323"/>
      <c r="F2" s="323"/>
    </row>
    <row r="3" spans="1:27">
      <c r="A3" s="323" t="s">
        <v>12</v>
      </c>
      <c r="B3" s="323"/>
      <c r="C3" s="323"/>
      <c r="D3" s="323"/>
      <c r="E3" s="323"/>
      <c r="F3" s="323"/>
    </row>
    <row r="4" spans="1:27">
      <c r="A4" s="324" t="s">
        <v>169</v>
      </c>
      <c r="B4" s="324"/>
      <c r="C4" s="324"/>
      <c r="D4" s="324"/>
      <c r="E4" s="324"/>
      <c r="F4" s="324"/>
    </row>
    <row r="5" spans="1:27" ht="15.75" customHeight="1">
      <c r="A5" s="323"/>
      <c r="B5" s="323"/>
      <c r="C5" s="323"/>
      <c r="D5" s="323"/>
      <c r="E5" s="323"/>
      <c r="F5" s="323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</row>
    <row r="6" spans="1:27" ht="15.75">
      <c r="A6" s="325"/>
      <c r="B6" s="320"/>
      <c r="C6" s="320"/>
      <c r="D6" s="320"/>
      <c r="E6" s="320"/>
      <c r="F6" s="320"/>
      <c r="I6" s="395"/>
      <c r="J6" s="395"/>
      <c r="K6" s="395"/>
      <c r="L6" s="395"/>
      <c r="M6" s="395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</row>
    <row r="7" spans="1:27">
      <c r="A7" s="326" t="s">
        <v>13</v>
      </c>
      <c r="B7" s="327"/>
      <c r="C7" s="327"/>
      <c r="D7" s="327"/>
      <c r="E7" s="320"/>
      <c r="F7" s="320"/>
      <c r="G7" s="328"/>
      <c r="I7" s="329"/>
      <c r="J7" s="329"/>
      <c r="K7" s="329"/>
      <c r="L7" s="329"/>
      <c r="M7" s="329"/>
      <c r="N7" s="329"/>
      <c r="O7" s="329"/>
      <c r="P7" s="329"/>
      <c r="Q7" s="329"/>
      <c r="R7" s="328"/>
      <c r="S7" s="328"/>
      <c r="T7" s="328"/>
      <c r="U7" s="328"/>
      <c r="V7" s="328"/>
      <c r="W7" s="328"/>
      <c r="X7" s="328"/>
      <c r="Y7" s="328"/>
      <c r="Z7" s="328"/>
      <c r="AA7" s="328"/>
    </row>
    <row r="8" spans="1:27">
      <c r="A8" s="330" t="s">
        <v>14</v>
      </c>
      <c r="B8" s="331" t="s">
        <v>15</v>
      </c>
      <c r="C8" s="331"/>
      <c r="D8" s="331"/>
      <c r="E8" s="332"/>
      <c r="F8" s="332"/>
      <c r="G8" s="328"/>
      <c r="I8" s="329"/>
      <c r="J8" s="329"/>
      <c r="K8"/>
      <c r="L8"/>
      <c r="M8"/>
      <c r="N8"/>
      <c r="O8"/>
      <c r="P8"/>
      <c r="Q8"/>
      <c r="R8"/>
      <c r="S8" s="333"/>
      <c r="T8" s="334"/>
      <c r="U8" s="335"/>
      <c r="V8" s="333"/>
      <c r="W8" s="333"/>
      <c r="X8" s="334"/>
      <c r="Y8" s="335"/>
      <c r="Z8" s="333"/>
      <c r="AA8" s="333"/>
    </row>
    <row r="9" spans="1:27">
      <c r="A9" s="325"/>
      <c r="B9" s="336"/>
      <c r="C9" s="337" t="s">
        <v>176</v>
      </c>
      <c r="D9" s="338"/>
      <c r="E9" s="336"/>
      <c r="G9" s="328"/>
      <c r="I9" s="329"/>
      <c r="J9" s="329"/>
      <c r="K9"/>
      <c r="L9"/>
      <c r="M9"/>
      <c r="N9"/>
      <c r="O9"/>
      <c r="P9"/>
      <c r="Q9"/>
      <c r="R9"/>
      <c r="S9" s="333"/>
      <c r="T9" s="334"/>
      <c r="U9" s="335"/>
      <c r="V9" s="333"/>
      <c r="W9" s="333"/>
      <c r="X9" s="334"/>
      <c r="Y9" s="335"/>
      <c r="Z9" s="333"/>
      <c r="AA9" s="333"/>
    </row>
    <row r="10" spans="1:27">
      <c r="A10" s="339">
        <v>1</v>
      </c>
      <c r="B10" s="340"/>
      <c r="C10" s="341" t="s">
        <v>16</v>
      </c>
      <c r="D10" s="342" t="s">
        <v>17</v>
      </c>
      <c r="E10" s="343" t="s">
        <v>106</v>
      </c>
      <c r="G10" s="342"/>
      <c r="I10" s="329"/>
      <c r="J10" s="329"/>
      <c r="K10"/>
      <c r="L10"/>
      <c r="M10"/>
      <c r="N10"/>
      <c r="O10"/>
      <c r="P10"/>
      <c r="Q10"/>
      <c r="R10"/>
      <c r="S10" s="344"/>
      <c r="T10" s="345"/>
      <c r="U10" s="344"/>
      <c r="V10" s="344"/>
      <c r="W10" s="344"/>
      <c r="X10" s="345"/>
      <c r="Y10" s="344"/>
      <c r="Z10" s="344"/>
      <c r="AA10" s="344"/>
    </row>
    <row r="11" spans="1:27">
      <c r="A11" s="339">
        <f t="shared" ref="A11:A47" si="0">A10+1</f>
        <v>2</v>
      </c>
      <c r="B11" s="340"/>
      <c r="C11" s="346" t="s">
        <v>177</v>
      </c>
      <c r="D11" s="347" t="s">
        <v>177</v>
      </c>
      <c r="E11" s="348" t="s">
        <v>18</v>
      </c>
      <c r="G11" s="349"/>
      <c r="H11" s="350"/>
      <c r="I11" s="329"/>
      <c r="J11" s="329"/>
      <c r="K11"/>
      <c r="L11"/>
      <c r="M11"/>
      <c r="N11"/>
      <c r="O11"/>
      <c r="P11"/>
      <c r="Q11"/>
      <c r="R11"/>
      <c r="S11" s="351"/>
      <c r="T11" s="351"/>
      <c r="U11" s="351"/>
      <c r="V11" s="351"/>
      <c r="W11" s="351"/>
      <c r="X11" s="351"/>
      <c r="Y11" s="351"/>
      <c r="Z11" s="351"/>
      <c r="AA11" s="351"/>
    </row>
    <row r="12" spans="1:27">
      <c r="A12" s="339">
        <f t="shared" si="0"/>
        <v>3</v>
      </c>
      <c r="B12" s="352">
        <v>44927</v>
      </c>
      <c r="C12" s="353">
        <f>Summary!C12</f>
        <v>2167225519.0339994</v>
      </c>
      <c r="D12" s="353">
        <f>Summary!D12</f>
        <v>2163522216.5409031</v>
      </c>
      <c r="E12" s="354">
        <f t="shared" ref="E12:E23" si="1">+D12-C12</f>
        <v>-3703302.4930963516</v>
      </c>
      <c r="G12" s="328"/>
      <c r="H12" s="355"/>
      <c r="I12" s="329"/>
      <c r="J12" s="329"/>
      <c r="K12"/>
      <c r="L12"/>
      <c r="M12"/>
      <c r="N12"/>
      <c r="O12"/>
      <c r="P12"/>
      <c r="Q12"/>
      <c r="R12"/>
      <c r="S12" s="351"/>
      <c r="T12" s="351"/>
      <c r="U12" s="351"/>
      <c r="V12" s="351"/>
      <c r="W12" s="351"/>
      <c r="X12" s="351"/>
      <c r="Y12" s="351"/>
      <c r="Z12" s="351"/>
      <c r="AA12" s="351"/>
    </row>
    <row r="13" spans="1:27">
      <c r="A13" s="339">
        <f t="shared" si="0"/>
        <v>4</v>
      </c>
      <c r="B13" s="352">
        <v>44958</v>
      </c>
      <c r="C13" s="353">
        <f>Summary!C13</f>
        <v>1973138847.5460002</v>
      </c>
      <c r="D13" s="353">
        <f>Summary!D13</f>
        <v>1869678162.5856898</v>
      </c>
      <c r="E13" s="354">
        <f t="shared" si="1"/>
        <v>-103460684.96031046</v>
      </c>
      <c r="G13" s="328"/>
      <c r="H13" s="356"/>
      <c r="I13" s="329"/>
      <c r="J13" s="329"/>
      <c r="K13"/>
      <c r="L13"/>
      <c r="M13"/>
      <c r="N13"/>
      <c r="O13"/>
      <c r="P13"/>
      <c r="Q13"/>
      <c r="R13"/>
      <c r="S13" s="351"/>
      <c r="T13" s="351"/>
      <c r="U13" s="351"/>
      <c r="V13" s="351"/>
      <c r="W13" s="351"/>
      <c r="X13" s="351"/>
      <c r="Y13" s="351"/>
      <c r="Z13" s="351"/>
      <c r="AA13" s="351"/>
    </row>
    <row r="14" spans="1:27">
      <c r="A14" s="339">
        <f t="shared" si="0"/>
        <v>5</v>
      </c>
      <c r="B14" s="352">
        <v>44986</v>
      </c>
      <c r="C14" s="353">
        <f>Summary!C14</f>
        <v>2032782188.1719999</v>
      </c>
      <c r="D14" s="353">
        <f>Summary!D14</f>
        <v>1938398804.5334332</v>
      </c>
      <c r="E14" s="354">
        <f t="shared" si="1"/>
        <v>-94383383.638566732</v>
      </c>
      <c r="H14" s="356"/>
      <c r="I14" s="329"/>
      <c r="J14" s="329"/>
      <c r="K14"/>
      <c r="L14"/>
      <c r="M14"/>
      <c r="N14"/>
      <c r="O14"/>
      <c r="P14"/>
      <c r="Q14"/>
      <c r="R14"/>
      <c r="S14" s="351"/>
      <c r="T14" s="351"/>
      <c r="U14" s="351"/>
      <c r="V14" s="351"/>
      <c r="W14" s="351"/>
      <c r="X14" s="351"/>
      <c r="Y14" s="351"/>
      <c r="Z14" s="351"/>
      <c r="AA14" s="351"/>
    </row>
    <row r="15" spans="1:27">
      <c r="A15" s="339">
        <f t="shared" si="0"/>
        <v>6</v>
      </c>
      <c r="B15" s="352">
        <v>45017</v>
      </c>
      <c r="C15" s="353">
        <f>Summary!C15</f>
        <v>1845417071.0659997</v>
      </c>
      <c r="D15" s="353">
        <f>Summary!D15</f>
        <v>1759860509.0375893</v>
      </c>
      <c r="E15" s="354">
        <f t="shared" si="1"/>
        <v>-85556562.028410435</v>
      </c>
      <c r="H15" s="356"/>
      <c r="I15" s="329"/>
      <c r="J15" s="329"/>
      <c r="K15"/>
      <c r="L15"/>
      <c r="M15"/>
      <c r="N15"/>
      <c r="O15"/>
      <c r="P15"/>
      <c r="Q15"/>
      <c r="R15"/>
      <c r="S15" s="351"/>
      <c r="T15" s="351"/>
      <c r="U15" s="351"/>
      <c r="V15" s="351"/>
      <c r="W15" s="351"/>
      <c r="X15" s="351"/>
      <c r="Y15" s="351"/>
      <c r="Z15" s="351"/>
      <c r="AA15" s="351"/>
    </row>
    <row r="16" spans="1:27">
      <c r="A16" s="339">
        <f t="shared" si="0"/>
        <v>7</v>
      </c>
      <c r="B16" s="352">
        <v>45047</v>
      </c>
      <c r="C16" s="353">
        <f>Summary!C16</f>
        <v>1512234054.7779999</v>
      </c>
      <c r="D16" s="353">
        <f>Summary!D16</f>
        <v>1488857063.4317749</v>
      </c>
      <c r="E16" s="354">
        <f t="shared" si="1"/>
        <v>-23376991.346225023</v>
      </c>
      <c r="H16" s="356"/>
      <c r="I16" s="329"/>
      <c r="J16" s="329"/>
      <c r="K16"/>
      <c r="L16"/>
      <c r="M16"/>
      <c r="N16"/>
      <c r="O16"/>
      <c r="P16"/>
      <c r="Q16"/>
      <c r="R16"/>
      <c r="S16" s="351"/>
      <c r="T16" s="351"/>
      <c r="U16" s="351"/>
      <c r="V16" s="351"/>
      <c r="W16" s="351"/>
      <c r="X16" s="351"/>
      <c r="Y16" s="351"/>
      <c r="Z16" s="351"/>
      <c r="AA16" s="351"/>
    </row>
    <row r="17" spans="1:27">
      <c r="A17" s="339">
        <f t="shared" si="0"/>
        <v>8</v>
      </c>
      <c r="B17" s="352">
        <v>45078</v>
      </c>
      <c r="C17" s="353">
        <f>Summary!C17</f>
        <v>1485588385.5539999</v>
      </c>
      <c r="D17" s="353">
        <f>Summary!D17</f>
        <v>1503122222.58042</v>
      </c>
      <c r="E17" s="354">
        <f t="shared" si="1"/>
        <v>17533837.026420116</v>
      </c>
      <c r="H17" s="356"/>
      <c r="I17" s="329"/>
      <c r="J17" s="329"/>
      <c r="K17"/>
      <c r="L17"/>
      <c r="M17"/>
      <c r="N17"/>
      <c r="O17"/>
      <c r="P17"/>
      <c r="Q17"/>
      <c r="R17"/>
      <c r="S17" s="351"/>
      <c r="T17" s="351"/>
      <c r="U17" s="351"/>
      <c r="V17" s="351"/>
      <c r="W17" s="351"/>
      <c r="X17" s="351"/>
      <c r="Y17" s="351"/>
      <c r="Z17" s="351"/>
      <c r="AA17" s="351"/>
    </row>
    <row r="18" spans="1:27">
      <c r="A18" s="339">
        <f t="shared" si="0"/>
        <v>9</v>
      </c>
      <c r="B18" s="352">
        <v>45108</v>
      </c>
      <c r="C18" s="353">
        <f>Summary!C18</f>
        <v>1488268630.595</v>
      </c>
      <c r="D18" s="353">
        <f>Summary!D18</f>
        <v>1491631913.6581173</v>
      </c>
      <c r="E18" s="354">
        <f t="shared" si="1"/>
        <v>3363283.0631172657</v>
      </c>
      <c r="H18" s="356"/>
      <c r="I18" s="329"/>
      <c r="J18" s="329"/>
      <c r="K18"/>
      <c r="L18"/>
      <c r="M18"/>
      <c r="N18"/>
      <c r="O18"/>
      <c r="P18"/>
      <c r="Q18"/>
      <c r="R18"/>
      <c r="S18" s="351"/>
      <c r="T18" s="351"/>
      <c r="U18" s="351"/>
      <c r="V18" s="351"/>
      <c r="W18" s="351"/>
      <c r="X18" s="351"/>
      <c r="Y18" s="351"/>
      <c r="Z18" s="351"/>
      <c r="AA18" s="351"/>
    </row>
    <row r="19" spans="1:27">
      <c r="A19" s="339">
        <f t="shared" si="0"/>
        <v>10</v>
      </c>
      <c r="B19" s="352">
        <v>45139</v>
      </c>
      <c r="C19" s="353">
        <f>Summary!C19</f>
        <v>1614301475.253</v>
      </c>
      <c r="D19" s="353">
        <f>Summary!D19</f>
        <v>1584957374.256516</v>
      </c>
      <c r="E19" s="354">
        <f t="shared" si="1"/>
        <v>-29344100.996484041</v>
      </c>
      <c r="H19" s="356"/>
      <c r="I19" s="329"/>
      <c r="J19" s="329"/>
      <c r="K19"/>
      <c r="L19"/>
      <c r="M19"/>
      <c r="N19"/>
      <c r="O19"/>
      <c r="P19"/>
      <c r="Q19"/>
      <c r="R19"/>
      <c r="S19" s="351"/>
      <c r="T19" s="351"/>
      <c r="U19" s="351"/>
      <c r="V19" s="351"/>
      <c r="W19" s="351"/>
      <c r="X19" s="351"/>
      <c r="Y19" s="351"/>
      <c r="Z19" s="351"/>
      <c r="AA19" s="351"/>
    </row>
    <row r="20" spans="1:27">
      <c r="A20" s="339">
        <f t="shared" si="0"/>
        <v>11</v>
      </c>
      <c r="B20" s="352">
        <v>45170</v>
      </c>
      <c r="C20" s="353">
        <f>Summary!C20</f>
        <v>1530303211.0169997</v>
      </c>
      <c r="D20" s="353">
        <f>Summary!D20</f>
        <v>1568917626.7212951</v>
      </c>
      <c r="E20" s="354">
        <f t="shared" si="1"/>
        <v>38614415.704295397</v>
      </c>
      <c r="G20" s="357"/>
      <c r="H20" s="356"/>
      <c r="I20" s="329"/>
      <c r="J20" s="329"/>
      <c r="K20"/>
      <c r="L20"/>
      <c r="M20"/>
      <c r="N20"/>
      <c r="O20"/>
      <c r="P20"/>
      <c r="Q20"/>
      <c r="R20"/>
      <c r="S20" s="351"/>
      <c r="T20" s="351"/>
      <c r="U20" s="351"/>
      <c r="V20" s="351"/>
      <c r="W20" s="351"/>
      <c r="X20" s="351"/>
      <c r="Y20" s="351"/>
      <c r="Z20" s="351"/>
      <c r="AA20" s="351"/>
    </row>
    <row r="21" spans="1:27">
      <c r="A21" s="339">
        <f t="shared" si="0"/>
        <v>12</v>
      </c>
      <c r="B21" s="352">
        <v>45200</v>
      </c>
      <c r="C21" s="353">
        <f>Summary!C21</f>
        <v>1423349848.8050003</v>
      </c>
      <c r="D21" s="353">
        <f>Summary!D21</f>
        <v>1519202934.5242841</v>
      </c>
      <c r="E21" s="354">
        <f t="shared" si="1"/>
        <v>95853085.719283819</v>
      </c>
      <c r="H21" s="356"/>
      <c r="I21" s="329"/>
      <c r="J21" s="329"/>
      <c r="K21"/>
      <c r="L21"/>
      <c r="M21"/>
      <c r="N21"/>
      <c r="O21"/>
      <c r="P21"/>
      <c r="Q21"/>
      <c r="R21"/>
      <c r="S21" s="351"/>
      <c r="T21" s="351"/>
      <c r="U21" s="351"/>
      <c r="V21" s="351"/>
      <c r="W21" s="351"/>
      <c r="X21" s="351"/>
      <c r="Y21" s="351"/>
      <c r="Z21" s="351"/>
      <c r="AA21" s="351"/>
    </row>
    <row r="22" spans="1:27">
      <c r="A22" s="339">
        <f t="shared" si="0"/>
        <v>13</v>
      </c>
      <c r="B22" s="352">
        <v>45231</v>
      </c>
      <c r="C22" s="353">
        <f>Summary!C22</f>
        <v>1641080213.7410002</v>
      </c>
      <c r="D22" s="353">
        <f>Summary!D22</f>
        <v>1710737968.9876585</v>
      </c>
      <c r="E22" s="354">
        <f t="shared" si="1"/>
        <v>69657755.246658325</v>
      </c>
      <c r="H22" s="356"/>
      <c r="I22" s="329"/>
      <c r="J22" s="329"/>
      <c r="K22"/>
      <c r="L22"/>
      <c r="M22"/>
      <c r="N22"/>
      <c r="O22"/>
      <c r="P22"/>
      <c r="Q22"/>
      <c r="R22"/>
      <c r="S22" s="351"/>
      <c r="T22" s="351"/>
      <c r="U22" s="351"/>
      <c r="V22" s="351"/>
      <c r="W22" s="351"/>
      <c r="X22" s="351"/>
      <c r="Y22" s="351"/>
      <c r="Z22" s="351"/>
      <c r="AA22" s="351"/>
    </row>
    <row r="23" spans="1:27">
      <c r="A23" s="339">
        <f t="shared" si="0"/>
        <v>14</v>
      </c>
      <c r="B23" s="352">
        <v>45261</v>
      </c>
      <c r="C23" s="353">
        <f>Summary!C23</f>
        <v>2010952793.4320002</v>
      </c>
      <c r="D23" s="353">
        <f>Summary!D23</f>
        <v>2268942679.9585686</v>
      </c>
      <c r="E23" s="354">
        <f t="shared" si="1"/>
        <v>257989886.52656841</v>
      </c>
      <c r="H23" s="356"/>
      <c r="I23" s="329"/>
      <c r="J23" s="329"/>
      <c r="K23"/>
      <c r="L23"/>
      <c r="M23"/>
      <c r="N23"/>
      <c r="O23"/>
      <c r="P23"/>
      <c r="Q23"/>
      <c r="R23"/>
      <c r="S23" s="351"/>
      <c r="T23" s="351"/>
      <c r="U23" s="351"/>
      <c r="V23" s="351"/>
      <c r="W23" s="351"/>
      <c r="X23" s="351"/>
      <c r="Y23" s="351"/>
      <c r="Z23" s="351"/>
      <c r="AA23" s="351"/>
    </row>
    <row r="24" spans="1:27">
      <c r="A24" s="339">
        <f t="shared" si="0"/>
        <v>15</v>
      </c>
      <c r="B24" s="320"/>
      <c r="C24" s="358">
        <f>SUM(C12:C23)</f>
        <v>20724642238.993</v>
      </c>
      <c r="D24" s="358">
        <f>SUM(D12:D23)</f>
        <v>20867829476.816246</v>
      </c>
      <c r="E24" s="359">
        <f>SUM(E12:E23)</f>
        <v>143187237.82325029</v>
      </c>
      <c r="I24" s="329"/>
      <c r="J24" s="329"/>
      <c r="K24"/>
      <c r="L24"/>
      <c r="M24"/>
      <c r="N24"/>
      <c r="O24"/>
      <c r="P24"/>
      <c r="Q24"/>
      <c r="R24"/>
      <c r="S24" s="328"/>
      <c r="T24" s="328"/>
      <c r="U24" s="328"/>
      <c r="V24" s="328"/>
      <c r="W24" s="328"/>
      <c r="X24" s="328"/>
      <c r="Y24" s="328"/>
      <c r="Z24" s="328"/>
      <c r="AA24" s="328"/>
    </row>
    <row r="25" spans="1:27">
      <c r="A25" s="339">
        <f t="shared" si="0"/>
        <v>16</v>
      </c>
      <c r="B25" s="336"/>
      <c r="C25" s="360"/>
      <c r="D25" s="360"/>
      <c r="E25" s="336"/>
      <c r="F25" s="336"/>
      <c r="I25" s="329"/>
      <c r="J25" s="329"/>
      <c r="K25"/>
      <c r="L25"/>
      <c r="M25"/>
      <c r="N25"/>
      <c r="O25"/>
      <c r="P25"/>
      <c r="Q25"/>
      <c r="R25"/>
      <c r="S25" s="333"/>
      <c r="T25" s="328"/>
      <c r="U25" s="335"/>
      <c r="V25" s="333"/>
      <c r="W25" s="333"/>
      <c r="X25" s="334"/>
      <c r="Y25" s="335"/>
      <c r="Z25" s="333"/>
      <c r="AA25" s="333"/>
    </row>
    <row r="26" spans="1:27">
      <c r="A26" s="339">
        <f t="shared" si="0"/>
        <v>17</v>
      </c>
      <c r="B26" s="320" t="s">
        <v>178</v>
      </c>
      <c r="C26" s="320" t="s">
        <v>1</v>
      </c>
      <c r="D26" s="361"/>
      <c r="E26" s="361">
        <f>'Sales &amp; Revenue Adj.'!B20</f>
        <v>186793555.42884922</v>
      </c>
      <c r="F26" s="362">
        <f>'Sales &amp; Revenue Adj.'!B8</f>
        <v>9048471</v>
      </c>
      <c r="G26" s="363"/>
      <c r="H26" s="364"/>
      <c r="I26" s="329"/>
      <c r="J26" s="329"/>
      <c r="K26"/>
      <c r="L26"/>
      <c r="M26"/>
      <c r="N26"/>
      <c r="O26"/>
      <c r="P26"/>
      <c r="Q26"/>
      <c r="R26"/>
      <c r="S26" s="333"/>
      <c r="T26" s="328"/>
      <c r="U26" s="335"/>
      <c r="V26" s="333"/>
      <c r="W26" s="333"/>
      <c r="X26" s="334"/>
      <c r="Y26" s="335"/>
      <c r="Z26" s="333"/>
      <c r="AA26" s="333"/>
    </row>
    <row r="27" spans="1:27">
      <c r="A27" s="339">
        <f t="shared" si="0"/>
        <v>18</v>
      </c>
      <c r="B27" s="325"/>
      <c r="C27" s="320" t="s">
        <v>179</v>
      </c>
      <c r="D27" s="320"/>
      <c r="E27" s="361">
        <f>'Sales &amp; Revenue Adj.'!B21</f>
        <v>-17608651.587222561</v>
      </c>
      <c r="F27" s="361">
        <f>'Sales &amp; Revenue Adj.'!B9</f>
        <v>-842087</v>
      </c>
      <c r="G27" s="363"/>
      <c r="H27" s="364"/>
      <c r="I27" s="329"/>
      <c r="J27" s="329"/>
      <c r="K27"/>
      <c r="L27"/>
      <c r="M27"/>
      <c r="N27"/>
      <c r="O27"/>
      <c r="P27"/>
      <c r="Q27"/>
      <c r="R27"/>
      <c r="S27" s="344"/>
      <c r="T27" s="328"/>
      <c r="U27" s="344"/>
      <c r="V27" s="344"/>
      <c r="W27" s="344"/>
      <c r="X27" s="345"/>
      <c r="Y27" s="344"/>
      <c r="Z27" s="344"/>
      <c r="AA27" s="344"/>
    </row>
    <row r="28" spans="1:27">
      <c r="A28" s="339">
        <f t="shared" si="0"/>
        <v>19</v>
      </c>
      <c r="B28" s="320"/>
      <c r="C28" s="320" t="s">
        <v>126</v>
      </c>
      <c r="D28" s="367"/>
      <c r="E28" s="361">
        <f>'Sales &amp; Revenue Adj.'!B22</f>
        <v>-14843757.532937866</v>
      </c>
      <c r="F28" s="361">
        <f>'Sales &amp; Revenue Adj.'!B10</f>
        <v>-720192</v>
      </c>
      <c r="G28" s="363"/>
      <c r="H28" s="364"/>
      <c r="I28" s="329"/>
      <c r="J28" s="329"/>
      <c r="K28"/>
      <c r="L28"/>
      <c r="M28"/>
      <c r="N28"/>
      <c r="O28"/>
      <c r="P28"/>
      <c r="Q28"/>
      <c r="R28"/>
      <c r="S28" s="351"/>
      <c r="T28" s="328"/>
      <c r="U28" s="351"/>
      <c r="V28" s="351"/>
      <c r="W28" s="351"/>
      <c r="X28" s="351"/>
      <c r="Y28" s="351"/>
      <c r="Z28" s="351"/>
      <c r="AA28" s="351"/>
    </row>
    <row r="29" spans="1:27">
      <c r="A29" s="339">
        <f t="shared" si="0"/>
        <v>20</v>
      </c>
      <c r="B29" s="368"/>
      <c r="C29" s="320" t="s">
        <v>124</v>
      </c>
      <c r="D29" s="366"/>
      <c r="E29" s="361">
        <f>'Sales &amp; Revenue Adj.'!B23</f>
        <v>-5004766.4042158304</v>
      </c>
      <c r="F29" s="361">
        <f>'Sales &amp; Revenue Adj.'!B11</f>
        <v>-260884</v>
      </c>
      <c r="G29" s="363"/>
      <c r="H29" s="364"/>
      <c r="I29" s="329"/>
      <c r="J29" s="329"/>
      <c r="K29"/>
      <c r="L29"/>
      <c r="M29"/>
      <c r="N29"/>
      <c r="O29"/>
      <c r="P29"/>
      <c r="Q29"/>
      <c r="R29"/>
      <c r="S29" s="351"/>
      <c r="T29" s="328"/>
      <c r="U29" s="351"/>
      <c r="V29" s="351"/>
      <c r="W29" s="351"/>
      <c r="X29" s="351"/>
      <c r="Y29" s="351"/>
      <c r="Z29" s="351"/>
      <c r="AA29" s="351"/>
    </row>
    <row r="30" spans="1:27">
      <c r="A30" s="339">
        <f t="shared" si="0"/>
        <v>21</v>
      </c>
      <c r="B30" s="320"/>
      <c r="C30" s="320" t="s">
        <v>125</v>
      </c>
      <c r="D30" s="320"/>
      <c r="E30" s="361">
        <f>'Sales &amp; Revenue Adj.'!B24</f>
        <v>-4186910.2181539983</v>
      </c>
      <c r="F30" s="361">
        <f>'Sales &amp; Revenue Adj.'!B12</f>
        <v>-198094</v>
      </c>
      <c r="G30" s="363"/>
      <c r="H30" s="364"/>
      <c r="I30" s="329"/>
      <c r="J30" s="329"/>
      <c r="K30"/>
      <c r="L30"/>
      <c r="M30"/>
      <c r="N30"/>
      <c r="O30"/>
      <c r="P30"/>
      <c r="Q30"/>
      <c r="R30"/>
      <c r="S30" s="351"/>
      <c r="T30" s="328"/>
      <c r="U30" s="351"/>
      <c r="V30" s="351"/>
      <c r="W30" s="351"/>
      <c r="X30" s="351"/>
      <c r="Y30" s="351"/>
      <c r="Z30" s="351"/>
      <c r="AA30" s="351"/>
    </row>
    <row r="31" spans="1:27">
      <c r="A31" s="339">
        <f t="shared" si="0"/>
        <v>22</v>
      </c>
      <c r="B31" s="320"/>
      <c r="C31" s="320" t="s">
        <v>8</v>
      </c>
      <c r="D31" s="320"/>
      <c r="E31" s="361">
        <f>'Sales &amp; Revenue Adj.'!B25</f>
        <v>-1871524.5574263318</v>
      </c>
      <c r="F31" s="361">
        <f>'Sales &amp; Revenue Adj.'!B13</f>
        <v>-84675</v>
      </c>
      <c r="G31" s="363"/>
      <c r="H31" s="364"/>
      <c r="I31" s="329"/>
      <c r="J31" s="329"/>
      <c r="K31"/>
      <c r="L31"/>
      <c r="M31"/>
      <c r="N31"/>
      <c r="O31"/>
      <c r="P31"/>
      <c r="Q31"/>
      <c r="R31"/>
      <c r="S31" s="351"/>
      <c r="T31" s="328"/>
      <c r="U31" s="351"/>
      <c r="V31" s="351"/>
      <c r="W31" s="351"/>
      <c r="X31" s="351"/>
      <c r="Y31" s="351"/>
      <c r="Z31" s="351"/>
      <c r="AA31" s="351"/>
    </row>
    <row r="32" spans="1:27">
      <c r="A32" s="339">
        <f t="shared" si="0"/>
        <v>23</v>
      </c>
      <c r="B32" s="320"/>
      <c r="C32" s="320" t="s">
        <v>9</v>
      </c>
      <c r="D32" s="320"/>
      <c r="E32" s="361">
        <f>'Sales &amp; Revenue Adj.'!B26</f>
        <v>-90707.305641999934</v>
      </c>
      <c r="F32" s="361">
        <f>'Sales &amp; Revenue Adj.'!B14</f>
        <v>-3930</v>
      </c>
      <c r="G32" s="363"/>
      <c r="H32" s="364"/>
      <c r="I32" s="329"/>
      <c r="J32" s="329"/>
      <c r="K32"/>
      <c r="L32"/>
      <c r="M32"/>
      <c r="N32"/>
      <c r="O32"/>
      <c r="P32"/>
      <c r="Q32"/>
      <c r="R32"/>
      <c r="S32" s="351"/>
      <c r="T32" s="328"/>
      <c r="U32" s="351"/>
      <c r="V32" s="351"/>
      <c r="W32" s="351"/>
      <c r="X32" s="351"/>
      <c r="Y32" s="351"/>
      <c r="Z32" s="351"/>
      <c r="AA32" s="351"/>
    </row>
    <row r="33" spans="1:28">
      <c r="A33" s="339">
        <f t="shared" si="0"/>
        <v>24</v>
      </c>
      <c r="B33" s="320"/>
      <c r="C33" s="320"/>
      <c r="D33" s="320"/>
      <c r="E33" s="361"/>
      <c r="F33" s="365"/>
      <c r="G33" s="363"/>
      <c r="H33" s="364"/>
      <c r="I33" s="329"/>
      <c r="J33" s="329"/>
      <c r="K33"/>
      <c r="L33"/>
      <c r="M33"/>
      <c r="N33"/>
      <c r="O33"/>
      <c r="P33"/>
      <c r="Q33"/>
      <c r="R33"/>
      <c r="S33" s="351"/>
      <c r="T33" s="328"/>
      <c r="U33" s="351"/>
      <c r="V33" s="351"/>
      <c r="W33" s="351"/>
      <c r="X33" s="351"/>
      <c r="Y33" s="351"/>
      <c r="Z33" s="351"/>
      <c r="AA33" s="351"/>
    </row>
    <row r="34" spans="1:28">
      <c r="A34" s="339">
        <f t="shared" si="0"/>
        <v>25</v>
      </c>
      <c r="B34" s="320"/>
      <c r="C34" s="332"/>
      <c r="D34" s="320"/>
      <c r="E34" s="361"/>
      <c r="F34" s="365"/>
      <c r="G34" s="363"/>
      <c r="H34" s="364"/>
      <c r="I34" s="329"/>
      <c r="J34" s="329"/>
      <c r="K34"/>
      <c r="L34"/>
      <c r="M34"/>
      <c r="N34"/>
      <c r="O34"/>
      <c r="P34"/>
      <c r="Q34"/>
      <c r="R34"/>
      <c r="S34" s="351"/>
      <c r="T34" s="328"/>
      <c r="U34" s="351"/>
      <c r="V34" s="351"/>
      <c r="W34" s="351"/>
      <c r="X34" s="351"/>
      <c r="Y34" s="351"/>
      <c r="Z34" s="351"/>
      <c r="AA34" s="351"/>
    </row>
    <row r="35" spans="1:28">
      <c r="A35" s="339">
        <f t="shared" si="0"/>
        <v>26</v>
      </c>
      <c r="B35" s="320" t="s">
        <v>180</v>
      </c>
      <c r="C35" s="320"/>
      <c r="D35" s="320"/>
      <c r="E35" s="359">
        <f>SUM(E26:E34)</f>
        <v>143187237.82325059</v>
      </c>
      <c r="F35" s="369">
        <f>SUM(F26:F34)</f>
        <v>6938609</v>
      </c>
      <c r="G35" s="370">
        <f>F35</f>
        <v>6938609</v>
      </c>
      <c r="H35" s="371"/>
      <c r="I35" s="329"/>
      <c r="J35" s="329"/>
      <c r="K35"/>
      <c r="L35"/>
      <c r="M35"/>
      <c r="N35"/>
      <c r="O35"/>
      <c r="P35"/>
      <c r="Q35"/>
      <c r="R35"/>
      <c r="S35" s="351"/>
      <c r="T35" s="328"/>
      <c r="U35" s="351"/>
      <c r="V35" s="351"/>
      <c r="W35" s="351"/>
      <c r="X35" s="351"/>
      <c r="Y35" s="351"/>
      <c r="Z35" s="351"/>
      <c r="AA35" s="351"/>
    </row>
    <row r="36" spans="1:28">
      <c r="A36" s="339">
        <f t="shared" si="0"/>
        <v>27</v>
      </c>
      <c r="B36" s="320"/>
      <c r="C36" s="320"/>
      <c r="D36" s="372"/>
      <c r="E36" s="373"/>
      <c r="F36" s="374"/>
      <c r="I36" s="329"/>
      <c r="J36" s="329"/>
      <c r="K36"/>
      <c r="L36"/>
      <c r="M36"/>
      <c r="N36"/>
      <c r="O36"/>
      <c r="P36"/>
      <c r="Q36"/>
      <c r="R36"/>
      <c r="S36" s="351"/>
      <c r="T36" s="328"/>
      <c r="U36" s="351"/>
      <c r="V36" s="351"/>
      <c r="W36" s="351"/>
      <c r="X36" s="351"/>
      <c r="Y36" s="351"/>
      <c r="Z36" s="351"/>
      <c r="AA36" s="351"/>
    </row>
    <row r="37" spans="1:28">
      <c r="A37" s="339">
        <f t="shared" si="0"/>
        <v>28</v>
      </c>
      <c r="B37" s="375" t="s">
        <v>181</v>
      </c>
      <c r="C37" s="375"/>
      <c r="D37" s="375"/>
      <c r="E37" s="376">
        <f>[2]Summaries!$DA$12</f>
        <v>5.3359999999999996E-3</v>
      </c>
      <c r="F37" s="377">
        <f>F35*E37</f>
        <v>37024.417623999994</v>
      </c>
      <c r="I37" s="329"/>
      <c r="J37" s="329"/>
      <c r="K37"/>
      <c r="L37"/>
      <c r="M37"/>
      <c r="N37"/>
      <c r="O37"/>
      <c r="P37"/>
      <c r="Q37"/>
      <c r="R37"/>
      <c r="S37" s="351"/>
      <c r="T37" s="328"/>
      <c r="U37" s="351"/>
      <c r="V37" s="351"/>
      <c r="W37" s="351"/>
      <c r="X37" s="351"/>
      <c r="Y37" s="351"/>
      <c r="Z37" s="351"/>
      <c r="AA37" s="351"/>
    </row>
    <row r="38" spans="1:28">
      <c r="A38" s="339">
        <f t="shared" si="0"/>
        <v>29</v>
      </c>
      <c r="B38" s="375" t="s">
        <v>182</v>
      </c>
      <c r="C38" s="375"/>
      <c r="D38" s="375"/>
      <c r="E38" s="376">
        <f>[2]Summaries!$DA$13</f>
        <v>4.0000000000000001E-3</v>
      </c>
      <c r="F38" s="378">
        <f>F35*E38</f>
        <v>27754.436000000002</v>
      </c>
      <c r="I38" s="329"/>
      <c r="J38" s="329"/>
      <c r="K38"/>
      <c r="L38"/>
      <c r="M38"/>
      <c r="N38"/>
      <c r="O38"/>
      <c r="P38"/>
      <c r="Q38"/>
      <c r="R38"/>
      <c r="S38" s="351"/>
      <c r="T38" s="328"/>
      <c r="U38" s="351"/>
      <c r="V38" s="351"/>
      <c r="W38" s="351"/>
      <c r="X38" s="351"/>
      <c r="Y38" s="351"/>
      <c r="Z38" s="351"/>
      <c r="AA38" s="351"/>
    </row>
    <row r="39" spans="1:28">
      <c r="A39" s="339">
        <f t="shared" si="0"/>
        <v>30</v>
      </c>
      <c r="B39" s="375" t="s">
        <v>183</v>
      </c>
      <c r="C39" s="375"/>
      <c r="D39" s="375"/>
      <c r="E39" s="379"/>
      <c r="F39" s="380"/>
      <c r="G39" s="381">
        <f>SUM(F37:F38)</f>
        <v>64778.853623999996</v>
      </c>
      <c r="I39" s="329"/>
      <c r="J39" s="329"/>
      <c r="K39"/>
      <c r="L39"/>
      <c r="M39"/>
      <c r="N39"/>
      <c r="O39"/>
      <c r="P39"/>
      <c r="Q39"/>
      <c r="R39"/>
      <c r="S39" s="351"/>
      <c r="T39" s="328"/>
      <c r="U39" s="351"/>
      <c r="V39" s="351"/>
      <c r="W39" s="351"/>
      <c r="X39" s="351"/>
      <c r="Y39" s="351"/>
      <c r="Z39" s="351"/>
      <c r="AA39" s="351"/>
    </row>
    <row r="40" spans="1:28">
      <c r="A40" s="339">
        <f t="shared" si="0"/>
        <v>31</v>
      </c>
      <c r="B40" s="375"/>
      <c r="C40" s="375"/>
      <c r="D40" s="375"/>
      <c r="E40" s="379"/>
      <c r="F40" s="382"/>
      <c r="I40" s="329"/>
      <c r="J40" s="329"/>
      <c r="K40"/>
      <c r="L40"/>
      <c r="M40"/>
      <c r="N40"/>
      <c r="O40"/>
      <c r="P40"/>
      <c r="Q40"/>
      <c r="R40"/>
      <c r="S40" s="351"/>
      <c r="T40" s="328"/>
      <c r="U40" s="351"/>
      <c r="V40" s="351"/>
      <c r="W40" s="351"/>
      <c r="X40" s="351"/>
      <c r="Y40" s="351"/>
      <c r="Z40" s="351"/>
      <c r="AA40" s="351"/>
    </row>
    <row r="41" spans="1:28">
      <c r="A41" s="339">
        <f t="shared" si="0"/>
        <v>32</v>
      </c>
      <c r="B41" s="375" t="s">
        <v>184</v>
      </c>
      <c r="C41" s="375"/>
      <c r="D41" s="375"/>
      <c r="E41" s="383">
        <f>[2]Summaries!$DA$14</f>
        <v>3.8526999999999999E-2</v>
      </c>
      <c r="F41" s="384">
        <f>F35*E41</f>
        <v>267323.78894299996</v>
      </c>
      <c r="I41" s="329"/>
      <c r="J41" s="329"/>
      <c r="K41"/>
      <c r="L41"/>
      <c r="M41"/>
      <c r="N41"/>
      <c r="O41"/>
      <c r="P41"/>
      <c r="Q41"/>
      <c r="R41"/>
      <c r="S41" s="328"/>
      <c r="T41" s="328"/>
      <c r="U41" s="328"/>
      <c r="V41" s="328"/>
      <c r="W41" s="328"/>
      <c r="X41" s="328"/>
      <c r="Y41" s="328"/>
      <c r="Z41" s="328"/>
      <c r="AA41" s="328"/>
    </row>
    <row r="42" spans="1:28">
      <c r="A42" s="339">
        <f t="shared" si="0"/>
        <v>33</v>
      </c>
      <c r="B42" s="375" t="s">
        <v>185</v>
      </c>
      <c r="C42" s="375"/>
      <c r="D42" s="375"/>
      <c r="E42" s="345"/>
      <c r="F42" s="380"/>
      <c r="G42" s="381">
        <f>SUM(F41)</f>
        <v>267323.78894299996</v>
      </c>
      <c r="I42" s="329"/>
      <c r="J42" s="329"/>
      <c r="K42"/>
      <c r="L42"/>
      <c r="M42"/>
      <c r="N42"/>
      <c r="O42"/>
      <c r="P42"/>
      <c r="Q42"/>
      <c r="R42"/>
      <c r="S42" s="333"/>
      <c r="T42" s="328"/>
      <c r="U42" s="335"/>
      <c r="V42" s="333"/>
      <c r="W42" s="333"/>
      <c r="X42" s="334"/>
      <c r="Y42" s="335"/>
      <c r="Z42" s="333"/>
      <c r="AA42" s="333"/>
      <c r="AB42" s="385"/>
    </row>
    <row r="43" spans="1:28">
      <c r="A43" s="339">
        <f t="shared" si="0"/>
        <v>34</v>
      </c>
      <c r="B43" s="375"/>
      <c r="C43" s="375"/>
      <c r="D43" s="375"/>
      <c r="E43" s="345"/>
      <c r="F43" s="386"/>
      <c r="G43" s="387"/>
      <c r="H43" s="370"/>
      <c r="I43" s="329"/>
      <c r="J43" s="329"/>
      <c r="K43"/>
      <c r="L43"/>
      <c r="M43"/>
      <c r="N43"/>
      <c r="O43"/>
      <c r="P43"/>
      <c r="Q43"/>
      <c r="R43"/>
      <c r="S43" s="333"/>
      <c r="T43" s="328"/>
      <c r="U43" s="335"/>
      <c r="V43" s="333"/>
      <c r="W43" s="333"/>
      <c r="X43" s="334"/>
      <c r="Y43" s="335"/>
      <c r="Z43" s="333"/>
      <c r="AA43" s="333"/>
      <c r="AB43" s="371"/>
    </row>
    <row r="44" spans="1:28">
      <c r="A44" s="339">
        <f t="shared" si="0"/>
        <v>35</v>
      </c>
      <c r="B44" s="375" t="s">
        <v>186</v>
      </c>
      <c r="C44" s="375"/>
      <c r="D44" s="375"/>
      <c r="E44" s="345"/>
      <c r="F44" s="380"/>
      <c r="G44" s="381">
        <f>G35-G39-G42</f>
        <v>6606506.3574329996</v>
      </c>
      <c r="H44" s="370"/>
      <c r="I44" s="329"/>
      <c r="J44" s="329"/>
      <c r="K44"/>
      <c r="L44"/>
      <c r="M44"/>
      <c r="N44"/>
      <c r="O44"/>
      <c r="P44"/>
      <c r="Q44"/>
      <c r="R44"/>
      <c r="S44" s="344"/>
      <c r="T44" s="328"/>
      <c r="U44" s="344"/>
      <c r="V44" s="344"/>
      <c r="W44" s="344"/>
      <c r="X44" s="345"/>
      <c r="Y44" s="344"/>
      <c r="Z44" s="344"/>
      <c r="AA44" s="344"/>
      <c r="AB44" s="320"/>
    </row>
    <row r="45" spans="1:28">
      <c r="A45" s="339">
        <f t="shared" si="0"/>
        <v>36</v>
      </c>
      <c r="B45" s="375"/>
      <c r="C45" s="375"/>
      <c r="D45" s="375"/>
      <c r="E45" s="345"/>
      <c r="F45" s="382"/>
      <c r="I45" s="329"/>
      <c r="J45" s="329"/>
      <c r="K45"/>
      <c r="L45"/>
      <c r="M45"/>
      <c r="N45"/>
      <c r="O45"/>
      <c r="P45"/>
      <c r="Q45"/>
      <c r="R45"/>
      <c r="S45" s="351"/>
      <c r="T45" s="328"/>
      <c r="U45" s="351"/>
      <c r="V45" s="351"/>
      <c r="W45" s="351"/>
      <c r="X45" s="351"/>
      <c r="Y45" s="351"/>
      <c r="Z45" s="351"/>
      <c r="AA45" s="351"/>
      <c r="AB45" s="371"/>
    </row>
    <row r="46" spans="1:28">
      <c r="A46" s="339">
        <f t="shared" si="0"/>
        <v>37</v>
      </c>
      <c r="B46" s="375" t="s">
        <v>187</v>
      </c>
      <c r="C46" s="375"/>
      <c r="D46" s="375"/>
      <c r="E46" s="388">
        <v>0.21</v>
      </c>
      <c r="F46" s="380"/>
      <c r="G46" s="389">
        <f>G44*E46</f>
        <v>1387366.3350609299</v>
      </c>
      <c r="I46" s="329"/>
      <c r="J46" s="329"/>
      <c r="K46"/>
      <c r="L46"/>
      <c r="M46"/>
      <c r="N46"/>
      <c r="O46"/>
      <c r="P46"/>
      <c r="Q46"/>
      <c r="R46"/>
      <c r="S46" s="351"/>
      <c r="T46" s="328"/>
      <c r="U46" s="351"/>
      <c r="V46" s="351"/>
      <c r="W46" s="351"/>
      <c r="X46" s="351"/>
      <c r="Y46" s="351"/>
      <c r="Z46" s="351"/>
      <c r="AA46" s="351"/>
      <c r="AB46" s="371"/>
    </row>
    <row r="47" spans="1:28" ht="13.5" thickBot="1">
      <c r="A47" s="339">
        <f t="shared" si="0"/>
        <v>38</v>
      </c>
      <c r="B47" s="375" t="s">
        <v>186</v>
      </c>
      <c r="C47" s="375"/>
      <c r="D47" s="375"/>
      <c r="E47" s="345"/>
      <c r="F47" s="390"/>
      <c r="G47" s="391">
        <f>G44-G46</f>
        <v>5219140.0223720698</v>
      </c>
      <c r="I47" s="329"/>
      <c r="J47" s="329"/>
      <c r="K47"/>
      <c r="L47"/>
      <c r="M47"/>
      <c r="N47"/>
      <c r="O47"/>
      <c r="P47"/>
      <c r="Q47"/>
      <c r="R47"/>
      <c r="S47" s="351"/>
      <c r="T47" s="328"/>
      <c r="U47" s="351"/>
      <c r="V47" s="351"/>
      <c r="W47" s="351"/>
      <c r="X47" s="351"/>
      <c r="Y47" s="351"/>
      <c r="Z47" s="351"/>
      <c r="AA47" s="351"/>
      <c r="AB47" s="371"/>
    </row>
    <row r="48" spans="1:28" ht="13.5" thickTop="1">
      <c r="A48" s="392"/>
      <c r="B48" s="336"/>
      <c r="C48" s="336"/>
      <c r="D48" s="336"/>
      <c r="E48" s="336"/>
      <c r="F48" s="336"/>
      <c r="I48" s="329"/>
      <c r="J48" s="329"/>
      <c r="K48"/>
      <c r="L48"/>
      <c r="M48"/>
      <c r="N48"/>
      <c r="O48"/>
      <c r="P48"/>
      <c r="Q48"/>
      <c r="R48"/>
      <c r="S48" s="351"/>
      <c r="T48" s="328"/>
      <c r="U48" s="351"/>
      <c r="V48" s="351"/>
      <c r="W48" s="351"/>
      <c r="X48" s="351"/>
      <c r="Y48" s="351"/>
      <c r="Z48" s="351"/>
      <c r="AA48" s="351"/>
      <c r="AB48" s="371"/>
    </row>
    <row r="49" spans="1:28">
      <c r="A49" s="392"/>
      <c r="B49" s="336"/>
      <c r="C49" s="336"/>
      <c r="D49" s="336"/>
      <c r="E49" s="336"/>
      <c r="F49" s="336"/>
      <c r="I49" s="329"/>
      <c r="J49" s="329"/>
      <c r="K49"/>
      <c r="L49"/>
      <c r="M49"/>
      <c r="N49"/>
      <c r="O49"/>
      <c r="P49"/>
      <c r="Q49"/>
      <c r="R49"/>
      <c r="S49" s="351"/>
      <c r="T49" s="328"/>
      <c r="U49" s="351"/>
      <c r="V49" s="351"/>
      <c r="W49" s="351"/>
      <c r="X49" s="351"/>
      <c r="Y49" s="351"/>
      <c r="Z49" s="351"/>
      <c r="AA49" s="351"/>
      <c r="AB49" s="371"/>
    </row>
    <row r="50" spans="1:28">
      <c r="A50" s="392"/>
      <c r="B50" s="336"/>
      <c r="C50" s="336"/>
      <c r="D50" s="336"/>
      <c r="E50" s="336"/>
      <c r="F50" s="336"/>
      <c r="I50" s="329"/>
      <c r="J50" s="329"/>
      <c r="K50"/>
      <c r="L50"/>
      <c r="M50"/>
      <c r="N50"/>
      <c r="O50"/>
      <c r="P50"/>
      <c r="Q50"/>
      <c r="R50"/>
      <c r="S50" s="351"/>
      <c r="T50" s="328"/>
      <c r="U50" s="351"/>
      <c r="V50" s="351"/>
      <c r="W50" s="351"/>
      <c r="X50" s="351"/>
      <c r="Y50" s="351"/>
      <c r="Z50" s="351"/>
      <c r="AA50" s="351"/>
      <c r="AB50" s="371"/>
    </row>
    <row r="51" spans="1:28">
      <c r="A51" s="392"/>
      <c r="B51" s="336"/>
      <c r="C51" s="336"/>
      <c r="D51" s="336"/>
      <c r="E51" s="336"/>
      <c r="F51" s="336"/>
      <c r="I51" s="329"/>
      <c r="J51" s="329"/>
      <c r="K51"/>
      <c r="L51"/>
      <c r="M51"/>
      <c r="N51"/>
      <c r="O51"/>
      <c r="P51"/>
      <c r="Q51"/>
      <c r="R51"/>
      <c r="S51" s="351"/>
      <c r="T51" s="328"/>
      <c r="U51" s="351"/>
      <c r="V51" s="351"/>
      <c r="W51" s="351"/>
      <c r="X51" s="351"/>
      <c r="Y51" s="351"/>
      <c r="Z51" s="351"/>
      <c r="AA51" s="351"/>
      <c r="AB51" s="371"/>
    </row>
    <row r="52" spans="1:28">
      <c r="A52" s="392"/>
      <c r="B52" s="336"/>
      <c r="I52" s="329"/>
      <c r="J52" s="329"/>
      <c r="K52"/>
      <c r="L52"/>
      <c r="M52"/>
      <c r="N52"/>
      <c r="O52"/>
      <c r="P52"/>
      <c r="Q52"/>
      <c r="R52"/>
      <c r="S52" s="351"/>
      <c r="T52" s="328"/>
      <c r="U52" s="351"/>
      <c r="V52" s="351"/>
      <c r="W52" s="351"/>
      <c r="X52" s="351"/>
      <c r="Y52" s="351"/>
      <c r="Z52" s="351"/>
      <c r="AA52" s="351"/>
      <c r="AB52" s="371"/>
    </row>
    <row r="53" spans="1:28">
      <c r="A53" s="340"/>
      <c r="I53" s="329"/>
      <c r="J53" s="329"/>
      <c r="K53"/>
      <c r="L53"/>
      <c r="M53"/>
      <c r="N53"/>
      <c r="O53"/>
      <c r="P53"/>
      <c r="Q53"/>
      <c r="R53"/>
      <c r="S53" s="351"/>
      <c r="T53" s="328"/>
      <c r="U53" s="351"/>
      <c r="V53" s="351"/>
      <c r="W53" s="351"/>
      <c r="X53" s="351"/>
      <c r="Y53" s="351"/>
      <c r="Z53" s="351"/>
      <c r="AA53" s="351"/>
      <c r="AB53" s="371"/>
    </row>
    <row r="54" spans="1:28">
      <c r="I54" s="329"/>
      <c r="J54" s="329"/>
      <c r="K54"/>
      <c r="L54"/>
      <c r="M54"/>
      <c r="N54"/>
      <c r="O54"/>
      <c r="P54"/>
      <c r="Q54"/>
      <c r="R54"/>
      <c r="S54" s="351"/>
      <c r="T54" s="328"/>
      <c r="U54" s="351"/>
      <c r="V54" s="351"/>
      <c r="W54" s="351"/>
      <c r="X54" s="351"/>
      <c r="Y54" s="351"/>
      <c r="Z54" s="351"/>
      <c r="AA54" s="351"/>
      <c r="AB54" s="371"/>
    </row>
    <row r="55" spans="1:28">
      <c r="I55" s="329"/>
      <c r="J55" s="329"/>
      <c r="K55"/>
      <c r="L55"/>
      <c r="M55"/>
      <c r="N55"/>
      <c r="O55"/>
      <c r="P55"/>
      <c r="Q55"/>
      <c r="R55"/>
      <c r="S55" s="351"/>
      <c r="T55" s="328"/>
      <c r="U55" s="351"/>
      <c r="V55" s="351"/>
      <c r="W55" s="351"/>
      <c r="X55" s="351"/>
      <c r="Y55" s="351"/>
      <c r="Z55" s="351"/>
      <c r="AA55" s="351"/>
      <c r="AB55" s="371"/>
    </row>
    <row r="56" spans="1:28">
      <c r="I56" s="329"/>
      <c r="J56" s="329"/>
      <c r="K56"/>
      <c r="L56"/>
      <c r="M56"/>
      <c r="N56"/>
      <c r="O56"/>
      <c r="P56"/>
      <c r="Q56"/>
      <c r="R56"/>
      <c r="S56" s="351"/>
      <c r="T56" s="328"/>
      <c r="U56" s="351"/>
      <c r="V56" s="351"/>
      <c r="W56" s="351"/>
      <c r="X56" s="351"/>
      <c r="Y56" s="351"/>
      <c r="Z56" s="351"/>
      <c r="AA56" s="351"/>
      <c r="AB56" s="371"/>
    </row>
    <row r="57" spans="1:28">
      <c r="I57" s="329"/>
      <c r="J57" s="329"/>
      <c r="K57"/>
      <c r="L57"/>
      <c r="M57"/>
      <c r="N57"/>
      <c r="O57"/>
      <c r="P57"/>
      <c r="Q57"/>
      <c r="R57"/>
      <c r="S57" s="351"/>
      <c r="T57" s="328"/>
      <c r="U57" s="351"/>
      <c r="V57" s="351"/>
      <c r="W57" s="351"/>
      <c r="X57" s="351"/>
      <c r="Y57" s="351"/>
      <c r="Z57" s="351"/>
      <c r="AA57" s="351"/>
      <c r="AB57" s="371"/>
    </row>
    <row r="58" spans="1:28">
      <c r="I58" s="329"/>
      <c r="J58" s="329"/>
      <c r="K58"/>
      <c r="L58"/>
      <c r="M58"/>
      <c r="N58"/>
      <c r="O58"/>
      <c r="P58"/>
      <c r="Q58"/>
      <c r="R58"/>
      <c r="S58" s="328"/>
      <c r="T58" s="328"/>
      <c r="U58" s="328"/>
      <c r="V58" s="328"/>
      <c r="W58" s="328"/>
      <c r="X58" s="328"/>
      <c r="Y58" s="328"/>
      <c r="Z58" s="328"/>
      <c r="AA58" s="328"/>
    </row>
    <row r="59" spans="1:28">
      <c r="I59" s="329"/>
      <c r="J59" s="329"/>
      <c r="K59"/>
      <c r="L59"/>
      <c r="M59"/>
      <c r="N59"/>
      <c r="O59"/>
      <c r="P59"/>
      <c r="Q59"/>
      <c r="R59"/>
      <c r="S59" s="333"/>
      <c r="T59" s="328"/>
      <c r="U59" s="328"/>
      <c r="V59" s="328"/>
      <c r="W59" s="328"/>
      <c r="X59" s="328"/>
      <c r="Y59" s="328"/>
      <c r="Z59" s="328"/>
      <c r="AA59" s="328"/>
    </row>
    <row r="60" spans="1:28">
      <c r="I60" s="329"/>
      <c r="J60" s="329"/>
      <c r="K60"/>
      <c r="L60"/>
      <c r="M60"/>
      <c r="N60"/>
      <c r="O60"/>
      <c r="P60"/>
      <c r="Q60"/>
      <c r="R60"/>
      <c r="S60" s="333"/>
      <c r="T60" s="328"/>
      <c r="U60" s="328"/>
      <c r="V60" s="328"/>
      <c r="W60" s="328"/>
      <c r="X60" s="328"/>
      <c r="Y60" s="328"/>
      <c r="Z60" s="328"/>
      <c r="AA60" s="328"/>
    </row>
    <row r="61" spans="1:28">
      <c r="I61" s="329"/>
      <c r="J61" s="329"/>
      <c r="K61" s="329"/>
      <c r="L61" s="329"/>
      <c r="M61" s="329"/>
      <c r="N61" s="329"/>
      <c r="O61" s="329"/>
      <c r="P61" s="329"/>
      <c r="Q61" s="329"/>
      <c r="R61" s="344"/>
      <c r="S61" s="344"/>
      <c r="T61" s="328"/>
      <c r="U61" s="328"/>
      <c r="V61" s="328"/>
      <c r="W61" s="328"/>
      <c r="X61" s="328"/>
      <c r="Y61" s="328"/>
      <c r="Z61" s="328"/>
      <c r="AA61" s="328"/>
    </row>
    <row r="62" spans="1:28">
      <c r="I62" s="329"/>
      <c r="J62" s="329"/>
      <c r="K62" s="329"/>
      <c r="L62" s="329"/>
      <c r="M62" s="329"/>
      <c r="N62" s="329"/>
      <c r="O62" s="329"/>
      <c r="P62" s="329"/>
      <c r="Q62" s="329"/>
      <c r="R62" s="351"/>
      <c r="S62" s="351"/>
      <c r="T62" s="328"/>
      <c r="U62" s="328"/>
      <c r="V62" s="328"/>
      <c r="W62" s="328"/>
      <c r="X62" s="328"/>
      <c r="Y62" s="328"/>
      <c r="Z62" s="328"/>
      <c r="AA62" s="328"/>
    </row>
    <row r="63" spans="1:28">
      <c r="I63" s="329"/>
      <c r="J63" s="329"/>
      <c r="K63" s="329"/>
      <c r="L63" s="329"/>
      <c r="M63" s="329"/>
      <c r="N63" s="329"/>
      <c r="O63" s="329"/>
      <c r="P63" s="329"/>
      <c r="Q63" s="329"/>
      <c r="R63" s="351"/>
      <c r="S63" s="351"/>
      <c r="T63" s="328"/>
      <c r="U63" s="328"/>
      <c r="V63" s="328"/>
      <c r="W63" s="328"/>
      <c r="X63" s="328"/>
      <c r="Y63" s="328"/>
      <c r="Z63" s="328"/>
      <c r="AA63" s="328"/>
    </row>
    <row r="64" spans="1:28">
      <c r="I64" s="329"/>
      <c r="J64" s="329"/>
      <c r="K64" s="329"/>
      <c r="L64" s="329"/>
      <c r="M64" s="329"/>
      <c r="N64" s="329"/>
      <c r="O64" s="329"/>
      <c r="P64" s="329"/>
      <c r="Q64" s="329"/>
      <c r="R64" s="351"/>
      <c r="S64" s="351"/>
      <c r="T64" s="328"/>
      <c r="U64" s="328"/>
      <c r="V64" s="328"/>
      <c r="W64" s="328"/>
      <c r="X64" s="328"/>
      <c r="Y64" s="328"/>
      <c r="Z64" s="328"/>
      <c r="AA64" s="328"/>
    </row>
    <row r="65" spans="1:27">
      <c r="A65" s="322"/>
      <c r="I65" s="329"/>
      <c r="J65" s="329"/>
      <c r="K65" s="329"/>
      <c r="L65" s="329"/>
      <c r="M65" s="329"/>
      <c r="N65" s="329"/>
      <c r="O65" s="329"/>
      <c r="P65" s="329"/>
      <c r="Q65" s="329"/>
      <c r="R65" s="351"/>
      <c r="S65" s="351"/>
      <c r="T65" s="328"/>
      <c r="U65" s="328"/>
      <c r="V65" s="328"/>
      <c r="W65" s="328"/>
      <c r="X65" s="328"/>
      <c r="Y65" s="328"/>
      <c r="Z65" s="328"/>
      <c r="AA65" s="328"/>
    </row>
    <row r="66" spans="1:27">
      <c r="A66" s="322"/>
      <c r="I66" s="329"/>
      <c r="J66" s="329"/>
      <c r="K66" s="329"/>
      <c r="L66" s="329"/>
      <c r="M66" s="329"/>
      <c r="N66" s="329"/>
      <c r="O66" s="329"/>
      <c r="P66" s="329"/>
      <c r="Q66" s="329"/>
      <c r="R66" s="351"/>
      <c r="S66" s="351"/>
      <c r="T66" s="328"/>
      <c r="U66" s="328"/>
      <c r="V66" s="328"/>
      <c r="W66" s="328"/>
      <c r="X66" s="328"/>
      <c r="Y66" s="328"/>
      <c r="Z66" s="328"/>
      <c r="AA66" s="328"/>
    </row>
    <row r="67" spans="1:27">
      <c r="A67" s="322"/>
      <c r="J67" s="329"/>
      <c r="K67" s="329"/>
      <c r="O67" s="393"/>
      <c r="P67" s="328"/>
      <c r="Q67" s="351"/>
      <c r="R67" s="351"/>
      <c r="S67" s="351"/>
      <c r="T67" s="328"/>
      <c r="U67" s="328"/>
      <c r="V67" s="328"/>
      <c r="W67" s="328"/>
      <c r="X67" s="328"/>
      <c r="Y67" s="328"/>
      <c r="Z67" s="328"/>
      <c r="AA67" s="328"/>
    </row>
    <row r="68" spans="1:27">
      <c r="A68" s="322"/>
      <c r="O68" s="393"/>
      <c r="P68" s="328"/>
      <c r="Q68" s="351"/>
      <c r="R68" s="351"/>
      <c r="S68" s="351"/>
      <c r="T68" s="328"/>
      <c r="U68" s="328"/>
      <c r="V68" s="328"/>
      <c r="W68" s="328"/>
      <c r="X68" s="328"/>
      <c r="Y68" s="328"/>
      <c r="Z68" s="328"/>
      <c r="AA68" s="328"/>
    </row>
    <row r="69" spans="1:27">
      <c r="A69" s="322"/>
      <c r="O69" s="393"/>
      <c r="P69" s="328"/>
      <c r="Q69" s="351"/>
      <c r="R69" s="351"/>
      <c r="S69" s="351"/>
      <c r="T69" s="328"/>
      <c r="U69" s="328"/>
      <c r="V69" s="328"/>
      <c r="W69" s="328"/>
      <c r="X69" s="328"/>
      <c r="Y69" s="328"/>
      <c r="Z69" s="328"/>
      <c r="AA69" s="328"/>
    </row>
    <row r="70" spans="1:27">
      <c r="A70" s="322"/>
      <c r="O70" s="393"/>
      <c r="P70" s="328"/>
      <c r="Q70" s="351"/>
      <c r="R70" s="351"/>
      <c r="S70" s="351"/>
      <c r="T70" s="328"/>
      <c r="U70" s="328"/>
      <c r="V70" s="328"/>
      <c r="W70" s="328"/>
      <c r="X70" s="328"/>
      <c r="Y70" s="328"/>
      <c r="Z70" s="328"/>
      <c r="AA70" s="328"/>
    </row>
    <row r="71" spans="1:27">
      <c r="A71" s="322"/>
      <c r="O71" s="393"/>
      <c r="P71" s="328"/>
      <c r="Q71" s="351"/>
      <c r="R71" s="351"/>
      <c r="S71" s="351"/>
      <c r="T71" s="328"/>
      <c r="U71" s="328"/>
      <c r="V71" s="328"/>
      <c r="W71" s="328"/>
      <c r="X71" s="328"/>
      <c r="Y71" s="328"/>
      <c r="Z71" s="328"/>
      <c r="AA71" s="328"/>
    </row>
    <row r="72" spans="1:27">
      <c r="A72" s="322"/>
      <c r="O72" s="393"/>
      <c r="P72" s="328"/>
      <c r="Q72" s="351"/>
      <c r="R72" s="351"/>
      <c r="S72" s="351"/>
      <c r="T72" s="328"/>
      <c r="U72" s="328"/>
      <c r="V72" s="328"/>
      <c r="W72" s="328"/>
      <c r="X72" s="328"/>
      <c r="Y72" s="328"/>
      <c r="Z72" s="328"/>
      <c r="AA72" s="328"/>
    </row>
    <row r="73" spans="1:27">
      <c r="A73" s="322"/>
      <c r="O73" s="393"/>
      <c r="P73" s="328"/>
      <c r="Q73" s="351"/>
      <c r="R73" s="351"/>
      <c r="S73" s="351"/>
      <c r="T73" s="328"/>
      <c r="U73" s="328"/>
      <c r="V73" s="328"/>
      <c r="W73" s="328"/>
      <c r="X73" s="328"/>
      <c r="Y73" s="328"/>
      <c r="Z73" s="328"/>
      <c r="AA73" s="328"/>
    </row>
    <row r="74" spans="1:27">
      <c r="A74" s="322"/>
      <c r="O74" s="393"/>
      <c r="P74" s="328"/>
      <c r="Q74" s="351"/>
      <c r="R74" s="351"/>
      <c r="S74" s="351"/>
      <c r="T74" s="328"/>
      <c r="U74" s="328"/>
      <c r="V74" s="328"/>
      <c r="W74" s="328"/>
      <c r="X74" s="328"/>
      <c r="Y74" s="328"/>
      <c r="Z74" s="328"/>
      <c r="AA74" s="328"/>
    </row>
  </sheetData>
  <mergeCells count="3">
    <mergeCell ref="O5:AA5"/>
    <mergeCell ref="I6:M6"/>
    <mergeCell ref="O6:AA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4"/>
  <sheetViews>
    <sheetView topLeftCell="A19" workbookViewId="0">
      <selection activeCell="E26" sqref="E26"/>
    </sheetView>
  </sheetViews>
  <sheetFormatPr defaultColWidth="9.140625" defaultRowHeight="11.25"/>
  <cols>
    <col min="1" max="1" width="9.28515625" style="61" bestFit="1" customWidth="1"/>
    <col min="2" max="2" width="40.28515625" style="61" bestFit="1" customWidth="1"/>
    <col min="3" max="4" width="16.5703125" style="61" bestFit="1" customWidth="1"/>
    <col min="5" max="5" width="15.28515625" style="61" customWidth="1"/>
    <col min="6" max="6" width="9.5703125" style="61" customWidth="1"/>
    <col min="7" max="8" width="9.140625" style="61"/>
    <col min="9" max="9" width="1" style="61" customWidth="1"/>
    <col min="10" max="11" width="10.7109375" style="61" customWidth="1"/>
    <col min="12" max="12" width="9.7109375" style="61" customWidth="1"/>
    <col min="13" max="13" width="0.7109375" style="61" customWidth="1"/>
    <col min="14" max="15" width="10.7109375" style="61" customWidth="1"/>
    <col min="16" max="16" width="10.7109375" style="61" bestFit="1" customWidth="1"/>
    <col min="17" max="17" width="0.7109375" style="61" customWidth="1"/>
    <col min="18" max="19" width="10.7109375" style="61" customWidth="1"/>
    <col min="20" max="16384" width="9.140625" style="61"/>
  </cols>
  <sheetData>
    <row r="2" spans="1:20">
      <c r="A2" s="263" t="s">
        <v>105</v>
      </c>
      <c r="B2" s="263"/>
      <c r="C2" s="263"/>
      <c r="D2" s="263"/>
      <c r="E2" s="263"/>
    </row>
    <row r="3" spans="1:20">
      <c r="A3" s="263" t="s">
        <v>12</v>
      </c>
      <c r="B3" s="263"/>
      <c r="C3" s="263"/>
      <c r="D3" s="263"/>
      <c r="E3" s="263"/>
    </row>
    <row r="4" spans="1:20">
      <c r="A4" s="264" t="s">
        <v>169</v>
      </c>
      <c r="B4" s="264"/>
      <c r="C4" s="264"/>
      <c r="D4" s="264"/>
      <c r="E4" s="264"/>
    </row>
    <row r="5" spans="1:20" ht="15.75" customHeight="1">
      <c r="A5" s="263"/>
      <c r="B5" s="263"/>
      <c r="C5" s="263"/>
      <c r="D5" s="263"/>
      <c r="E5" s="263"/>
      <c r="H5" s="396" t="s">
        <v>86</v>
      </c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</row>
    <row r="6" spans="1:20">
      <c r="A6" s="265"/>
      <c r="H6" s="396" t="s">
        <v>93</v>
      </c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</row>
    <row r="7" spans="1:20">
      <c r="A7" s="266" t="s">
        <v>13</v>
      </c>
      <c r="B7" s="267"/>
      <c r="C7" s="267"/>
      <c r="D7" s="267"/>
    </row>
    <row r="8" spans="1:20">
      <c r="A8" s="268" t="s">
        <v>14</v>
      </c>
      <c r="B8" s="269" t="s">
        <v>15</v>
      </c>
      <c r="C8" s="269"/>
      <c r="D8" s="269"/>
      <c r="E8" s="249"/>
      <c r="J8" s="270" t="s">
        <v>89</v>
      </c>
      <c r="K8" s="271"/>
      <c r="L8" s="271"/>
      <c r="M8" s="272"/>
      <c r="N8" s="270" t="s">
        <v>97</v>
      </c>
      <c r="O8" s="271"/>
      <c r="P8" s="271"/>
      <c r="Q8" s="272"/>
      <c r="R8" s="270" t="s">
        <v>100</v>
      </c>
      <c r="S8" s="271"/>
      <c r="T8" s="271"/>
    </row>
    <row r="9" spans="1:20">
      <c r="A9" s="265"/>
      <c r="C9" s="273"/>
      <c r="D9" s="1"/>
      <c r="J9" s="274" t="s">
        <v>90</v>
      </c>
      <c r="K9" s="275"/>
      <c r="L9" s="275"/>
      <c r="M9" s="272"/>
      <c r="N9" s="274" t="s">
        <v>91</v>
      </c>
      <c r="O9" s="275"/>
      <c r="P9" s="275"/>
      <c r="Q9" s="272"/>
      <c r="R9" s="274" t="s">
        <v>92</v>
      </c>
      <c r="S9" s="275"/>
      <c r="T9" s="275"/>
    </row>
    <row r="10" spans="1:20">
      <c r="A10" s="60">
        <v>1</v>
      </c>
      <c r="C10" s="276" t="s">
        <v>16</v>
      </c>
      <c r="D10" s="205" t="s">
        <v>17</v>
      </c>
      <c r="E10" s="277" t="s">
        <v>106</v>
      </c>
      <c r="H10" s="278" t="s">
        <v>53</v>
      </c>
      <c r="I10" s="278"/>
      <c r="J10" s="278" t="s">
        <v>85</v>
      </c>
      <c r="K10" s="278" t="s">
        <v>87</v>
      </c>
      <c r="L10" s="278" t="s">
        <v>88</v>
      </c>
      <c r="N10" s="278" t="s">
        <v>85</v>
      </c>
      <c r="O10" s="278" t="s">
        <v>87</v>
      </c>
      <c r="P10" s="278" t="s">
        <v>88</v>
      </c>
      <c r="R10" s="278" t="s">
        <v>85</v>
      </c>
      <c r="S10" s="278" t="s">
        <v>87</v>
      </c>
      <c r="T10" s="278" t="s">
        <v>88</v>
      </c>
    </row>
    <row r="11" spans="1:20">
      <c r="A11" s="60">
        <f t="shared" ref="A11:A33" si="0">A10+1</f>
        <v>2</v>
      </c>
      <c r="C11" s="279" t="s">
        <v>106</v>
      </c>
      <c r="D11" s="280" t="s">
        <v>106</v>
      </c>
      <c r="E11" s="281" t="s">
        <v>18</v>
      </c>
      <c r="F11" s="282"/>
      <c r="H11" s="283">
        <f t="shared" ref="H11:H22" si="1">B12</f>
        <v>44927</v>
      </c>
      <c r="I11" s="200"/>
      <c r="J11" s="231">
        <f t="array" ref="J11:J22">TRANSPOSE('Actual Total Usage'!B9:M9)/1000</f>
        <v>1333954.894724</v>
      </c>
      <c r="K11" s="231">
        <f t="array" ref="K11:K22">TRANSPOSE('Normalized TotalUsage'!B8:M8)/1000</f>
        <v>1330449.2258396673</v>
      </c>
      <c r="L11" s="231">
        <f>K11-J11</f>
        <v>-3505.6688843327574</v>
      </c>
      <c r="M11" s="231"/>
      <c r="N11" s="231">
        <f t="array" ref="N11:N22">TRANSPOSE('Actual Total Usage'!B13:M13)/1000</f>
        <v>271704.65276299999</v>
      </c>
      <c r="O11" s="231">
        <f t="array" ref="O11:O22">TRANSPOSE('Normalized TotalUsage'!B13:M13)/1000</f>
        <v>271610.31436165574</v>
      </c>
      <c r="P11" s="231">
        <f>O11-N11</f>
        <v>-94.338401344255544</v>
      </c>
      <c r="Q11" s="231"/>
      <c r="R11" s="231">
        <f t="array" ref="R11:R22">TRANSPOSE('Actual Total Usage'!B17:M17)/1000</f>
        <v>272927.24849099998</v>
      </c>
      <c r="S11" s="231">
        <f t="array" ref="S11:S22">TRANSPOSE('Normalized TotalUsage'!B17:M17)/1000</f>
        <v>272851.78142093698</v>
      </c>
      <c r="T11" s="231">
        <f>S11-R11</f>
        <v>-75.467070062994026</v>
      </c>
    </row>
    <row r="12" spans="1:20">
      <c r="A12" s="60">
        <f t="shared" si="0"/>
        <v>3</v>
      </c>
      <c r="B12" s="200">
        <v>44927</v>
      </c>
      <c r="C12" s="23">
        <f>J62*1000</f>
        <v>2167225519.0339994</v>
      </c>
      <c r="D12" s="284">
        <f>K62*1000</f>
        <v>2163522216.5409031</v>
      </c>
      <c r="E12" s="285">
        <f t="shared" ref="E12:E23" si="2">+D12-C12</f>
        <v>-3703302.4930963516</v>
      </c>
      <c r="F12" s="150"/>
      <c r="H12" s="283">
        <f t="shared" si="1"/>
        <v>44958</v>
      </c>
      <c r="I12" s="200"/>
      <c r="J12" s="231">
        <v>1204449.984593</v>
      </c>
      <c r="K12" s="231">
        <v>1115575.4107595028</v>
      </c>
      <c r="L12" s="231">
        <f t="shared" ref="L12:L22" si="3">K12-J12</f>
        <v>-88874.573833497241</v>
      </c>
      <c r="M12" s="231"/>
      <c r="N12" s="231">
        <v>241967.69453500002</v>
      </c>
      <c r="O12" s="231">
        <v>235979.77778762189</v>
      </c>
      <c r="P12" s="231">
        <f t="shared" ref="P12:P22" si="4">O12-N12</f>
        <v>-5987.9167473781272</v>
      </c>
      <c r="Q12" s="231"/>
      <c r="R12" s="231">
        <v>252666.70105100001</v>
      </c>
      <c r="S12" s="231">
        <v>247859.830926152</v>
      </c>
      <c r="T12" s="231">
        <f t="shared" ref="T12:T22" si="5">S12-R12</f>
        <v>-4806.8701248480065</v>
      </c>
    </row>
    <row r="13" spans="1:20">
      <c r="A13" s="60">
        <f t="shared" si="0"/>
        <v>4</v>
      </c>
      <c r="B13" s="200">
        <v>44958</v>
      </c>
      <c r="C13" s="23">
        <f t="shared" ref="C13:D13" si="6">J63*1000</f>
        <v>1973138847.5460002</v>
      </c>
      <c r="D13" s="284">
        <f t="shared" si="6"/>
        <v>1869678162.5856898</v>
      </c>
      <c r="E13" s="285">
        <f t="shared" si="2"/>
        <v>-103460684.96031046</v>
      </c>
      <c r="F13" s="150"/>
      <c r="H13" s="283">
        <f t="shared" si="1"/>
        <v>44986</v>
      </c>
      <c r="I13" s="200"/>
      <c r="J13" s="231">
        <v>1217216.666647</v>
      </c>
      <c r="K13" s="231">
        <v>1135888.7203696251</v>
      </c>
      <c r="L13" s="231">
        <f t="shared" si="3"/>
        <v>-81327.946277374867</v>
      </c>
      <c r="M13" s="231"/>
      <c r="N13" s="231">
        <v>253444.90138200001</v>
      </c>
      <c r="O13" s="231">
        <v>248089.66351263807</v>
      </c>
      <c r="P13" s="231">
        <f t="shared" si="4"/>
        <v>-5355.2378693619394</v>
      </c>
      <c r="Q13" s="231"/>
      <c r="R13" s="231">
        <v>265676.59963200003</v>
      </c>
      <c r="S13" s="231">
        <v>261364.29642311402</v>
      </c>
      <c r="T13" s="231">
        <f t="shared" si="5"/>
        <v>-4312.3032088860055</v>
      </c>
    </row>
    <row r="14" spans="1:20">
      <c r="A14" s="60">
        <f t="shared" si="0"/>
        <v>5</v>
      </c>
      <c r="B14" s="200">
        <v>44986</v>
      </c>
      <c r="C14" s="23">
        <f t="shared" ref="C14:D14" si="7">J64*1000</f>
        <v>2032782188.1719999</v>
      </c>
      <c r="D14" s="284">
        <f t="shared" si="7"/>
        <v>1938398804.5334332</v>
      </c>
      <c r="E14" s="285">
        <f t="shared" si="2"/>
        <v>-94383383.638566732</v>
      </c>
      <c r="F14" s="150"/>
      <c r="H14" s="283">
        <f t="shared" si="1"/>
        <v>45017</v>
      </c>
      <c r="I14" s="200"/>
      <c r="J14" s="231">
        <v>1074916.5242009999</v>
      </c>
      <c r="K14" s="231">
        <v>1003767.8861563992</v>
      </c>
      <c r="L14" s="231">
        <f t="shared" si="3"/>
        <v>-71148.638044600724</v>
      </c>
      <c r="M14" s="231"/>
      <c r="N14" s="231">
        <v>240766.02257</v>
      </c>
      <c r="O14" s="231">
        <v>234809.12686328081</v>
      </c>
      <c r="P14" s="231">
        <f t="shared" si="4"/>
        <v>-5956.895706719195</v>
      </c>
      <c r="Q14" s="231"/>
      <c r="R14" s="231">
        <v>260197.635025</v>
      </c>
      <c r="S14" s="231">
        <v>255374.55945422876</v>
      </c>
      <c r="T14" s="231">
        <f t="shared" si="5"/>
        <v>-4823.0755707712378</v>
      </c>
    </row>
    <row r="15" spans="1:20">
      <c r="A15" s="60">
        <f t="shared" si="0"/>
        <v>6</v>
      </c>
      <c r="B15" s="200">
        <v>45017</v>
      </c>
      <c r="C15" s="23">
        <f t="shared" ref="C15:D15" si="8">J65*1000</f>
        <v>1845417071.0659997</v>
      </c>
      <c r="D15" s="284">
        <f t="shared" si="8"/>
        <v>1759860509.0375893</v>
      </c>
      <c r="E15" s="285">
        <f t="shared" si="2"/>
        <v>-85556562.028410435</v>
      </c>
      <c r="F15" s="286"/>
      <c r="H15" s="283">
        <f t="shared" si="1"/>
        <v>45047</v>
      </c>
      <c r="I15" s="200"/>
      <c r="J15" s="231">
        <v>838495.20930600003</v>
      </c>
      <c r="K15" s="231">
        <v>822358.53451644839</v>
      </c>
      <c r="L15" s="231">
        <f t="shared" si="3"/>
        <v>-16136.674789551646</v>
      </c>
      <c r="M15" s="231"/>
      <c r="N15" s="231">
        <v>207540.43164199998</v>
      </c>
      <c r="O15" s="231">
        <v>205348.09301434053</v>
      </c>
      <c r="P15" s="231">
        <f t="shared" si="4"/>
        <v>-2192.3386276594538</v>
      </c>
      <c r="Q15" s="231"/>
      <c r="R15" s="231">
        <v>222061.16640100002</v>
      </c>
      <c r="S15" s="231">
        <v>219282.3730785668</v>
      </c>
      <c r="T15" s="231">
        <f t="shared" si="5"/>
        <v>-2778.7933224332228</v>
      </c>
    </row>
    <row r="16" spans="1:20">
      <c r="A16" s="60">
        <f t="shared" si="0"/>
        <v>7</v>
      </c>
      <c r="B16" s="200">
        <v>45047</v>
      </c>
      <c r="C16" s="23">
        <f t="shared" ref="C16:D16" si="9">J66*1000</f>
        <v>1512234054.7779999</v>
      </c>
      <c r="D16" s="284">
        <f t="shared" si="9"/>
        <v>1488857063.4317749</v>
      </c>
      <c r="E16" s="285">
        <f t="shared" si="2"/>
        <v>-23376991.346225023</v>
      </c>
      <c r="F16" s="150"/>
      <c r="H16" s="283">
        <f t="shared" si="1"/>
        <v>45078</v>
      </c>
      <c r="I16" s="200"/>
      <c r="J16" s="231">
        <v>740767.31299000001</v>
      </c>
      <c r="K16" s="231">
        <v>753135.46045238164</v>
      </c>
      <c r="L16" s="231">
        <f t="shared" si="3"/>
        <v>12368.147462381632</v>
      </c>
      <c r="M16" s="231"/>
      <c r="N16" s="231">
        <v>206480.01109400002</v>
      </c>
      <c r="O16" s="231">
        <v>208144.39367087951</v>
      </c>
      <c r="P16" s="231">
        <f t="shared" si="4"/>
        <v>1664.3825768794923</v>
      </c>
      <c r="Q16" s="231"/>
      <c r="R16" s="231">
        <v>254927.99573499997</v>
      </c>
      <c r="S16" s="231">
        <v>256790.98138261397</v>
      </c>
      <c r="T16" s="231">
        <f t="shared" si="5"/>
        <v>1862.9856476139976</v>
      </c>
    </row>
    <row r="17" spans="1:20">
      <c r="A17" s="60">
        <f t="shared" si="0"/>
        <v>8</v>
      </c>
      <c r="B17" s="200">
        <v>45078</v>
      </c>
      <c r="C17" s="23">
        <f t="shared" ref="C17:D17" si="10">J67*1000</f>
        <v>1485588385.5539999</v>
      </c>
      <c r="D17" s="284">
        <f t="shared" si="10"/>
        <v>1503122222.58042</v>
      </c>
      <c r="E17" s="285">
        <f t="shared" si="2"/>
        <v>17533837.026420116</v>
      </c>
      <c r="F17" s="150"/>
      <c r="H17" s="283">
        <f t="shared" si="1"/>
        <v>45108</v>
      </c>
      <c r="I17" s="200"/>
      <c r="J17" s="231">
        <v>749808.940099</v>
      </c>
      <c r="K17" s="231">
        <v>752894.70502737316</v>
      </c>
      <c r="L17" s="231">
        <f t="shared" si="3"/>
        <v>3085.7649283731589</v>
      </c>
      <c r="M17" s="231"/>
      <c r="N17" s="231">
        <v>206929.866014</v>
      </c>
      <c r="O17" s="231">
        <v>207018.95119624812</v>
      </c>
      <c r="P17" s="231">
        <f t="shared" si="4"/>
        <v>89.085182248119963</v>
      </c>
      <c r="Q17" s="231"/>
      <c r="R17" s="231">
        <v>249036.76076700003</v>
      </c>
      <c r="S17" s="231">
        <v>249137.05907393165</v>
      </c>
      <c r="T17" s="231">
        <f t="shared" si="5"/>
        <v>100.29830693162512</v>
      </c>
    </row>
    <row r="18" spans="1:20">
      <c r="A18" s="60">
        <f t="shared" si="0"/>
        <v>9</v>
      </c>
      <c r="B18" s="200">
        <v>45108</v>
      </c>
      <c r="C18" s="23">
        <f t="shared" ref="C18:D18" si="11">J68*1000</f>
        <v>1488268630.595</v>
      </c>
      <c r="D18" s="284">
        <f t="shared" si="11"/>
        <v>1491631913.6581173</v>
      </c>
      <c r="E18" s="285">
        <f t="shared" si="2"/>
        <v>3363283.0631172657</v>
      </c>
      <c r="F18" s="150"/>
      <c r="H18" s="283">
        <f t="shared" si="1"/>
        <v>45139</v>
      </c>
      <c r="I18" s="200"/>
      <c r="J18" s="231">
        <v>789872.99959800008</v>
      </c>
      <c r="K18" s="231">
        <v>766886.07346621586</v>
      </c>
      <c r="L18" s="231">
        <f t="shared" si="3"/>
        <v>-22986.926131784217</v>
      </c>
      <c r="M18" s="231"/>
      <c r="N18" s="231">
        <v>222414.322781</v>
      </c>
      <c r="O18" s="231">
        <v>220376.82974663336</v>
      </c>
      <c r="P18" s="231">
        <f t="shared" si="4"/>
        <v>-2037.4930343666347</v>
      </c>
      <c r="Q18" s="231"/>
      <c r="R18" s="231">
        <v>273557.59635900002</v>
      </c>
      <c r="S18" s="231">
        <v>271262.99526300002</v>
      </c>
      <c r="T18" s="231">
        <f t="shared" si="5"/>
        <v>-2294.6010959999985</v>
      </c>
    </row>
    <row r="19" spans="1:20">
      <c r="A19" s="60">
        <f t="shared" si="0"/>
        <v>10</v>
      </c>
      <c r="B19" s="200">
        <v>45139</v>
      </c>
      <c r="C19" s="23">
        <f t="shared" ref="C19:D19" si="12">J69*1000</f>
        <v>1614301475.253</v>
      </c>
      <c r="D19" s="284">
        <f t="shared" si="12"/>
        <v>1584957374.256516</v>
      </c>
      <c r="E19" s="285">
        <f t="shared" si="2"/>
        <v>-29344100.996484041</v>
      </c>
      <c r="F19" s="150"/>
      <c r="H19" s="283">
        <f t="shared" si="1"/>
        <v>45170</v>
      </c>
      <c r="I19" s="200"/>
      <c r="J19" s="231">
        <v>764038.28506799997</v>
      </c>
      <c r="K19" s="231">
        <v>798615.58308364358</v>
      </c>
      <c r="L19" s="231">
        <f t="shared" si="3"/>
        <v>34577.29801564361</v>
      </c>
      <c r="M19" s="231"/>
      <c r="N19" s="231">
        <v>212881.75319399999</v>
      </c>
      <c r="O19" s="231">
        <v>214169.75969363513</v>
      </c>
      <c r="P19" s="231">
        <f t="shared" si="4"/>
        <v>1288.006499635143</v>
      </c>
      <c r="Q19" s="231"/>
      <c r="R19" s="231">
        <v>253742.56093599999</v>
      </c>
      <c r="S19" s="231">
        <v>255200.81313775067</v>
      </c>
      <c r="T19" s="231">
        <f t="shared" si="5"/>
        <v>1458.2522017506708</v>
      </c>
    </row>
    <row r="20" spans="1:20">
      <c r="A20" s="60">
        <f t="shared" si="0"/>
        <v>11</v>
      </c>
      <c r="B20" s="200">
        <v>45170</v>
      </c>
      <c r="C20" s="23">
        <f t="shared" ref="C20:D20" si="13">J70*1000</f>
        <v>1530303211.0169997</v>
      </c>
      <c r="D20" s="284">
        <f t="shared" si="13"/>
        <v>1568917626.7212951</v>
      </c>
      <c r="E20" s="285">
        <f t="shared" si="2"/>
        <v>38614415.704295397</v>
      </c>
      <c r="F20" s="150"/>
      <c r="H20" s="283">
        <f t="shared" si="1"/>
        <v>45200</v>
      </c>
      <c r="I20" s="200"/>
      <c r="J20" s="231">
        <v>716229.67106000008</v>
      </c>
      <c r="K20" s="231">
        <v>814890.70016960928</v>
      </c>
      <c r="L20" s="231">
        <f t="shared" si="3"/>
        <v>98661.029109609197</v>
      </c>
      <c r="M20" s="231"/>
      <c r="N20" s="231">
        <v>191925.40799000001</v>
      </c>
      <c r="O20" s="231">
        <v>190710.4710340974</v>
      </c>
      <c r="P20" s="231">
        <f t="shared" si="4"/>
        <v>-1214.936955902609</v>
      </c>
      <c r="Q20" s="231"/>
      <c r="R20" s="231">
        <v>233521.477445</v>
      </c>
      <c r="S20" s="231">
        <v>232520.48039277148</v>
      </c>
      <c r="T20" s="231">
        <f t="shared" si="5"/>
        <v>-1000.9970522285148</v>
      </c>
    </row>
    <row r="21" spans="1:20">
      <c r="A21" s="60">
        <f t="shared" si="0"/>
        <v>12</v>
      </c>
      <c r="B21" s="200">
        <v>45200</v>
      </c>
      <c r="C21" s="23">
        <f t="shared" ref="C21:D21" si="14">J71*1000</f>
        <v>1423349848.8050003</v>
      </c>
      <c r="D21" s="284">
        <f t="shared" si="14"/>
        <v>1519202934.5242841</v>
      </c>
      <c r="E21" s="285">
        <f t="shared" si="2"/>
        <v>95853085.719283819</v>
      </c>
      <c r="F21" s="150"/>
      <c r="H21" s="283">
        <f t="shared" si="1"/>
        <v>45231</v>
      </c>
      <c r="I21" s="200"/>
      <c r="J21" s="231">
        <v>935372.47554400004</v>
      </c>
      <c r="K21" s="231">
        <v>1015347.3749392158</v>
      </c>
      <c r="L21" s="231">
        <f t="shared" si="3"/>
        <v>79974.899395215791</v>
      </c>
      <c r="M21" s="231"/>
      <c r="N21" s="231">
        <v>207630.16956900002</v>
      </c>
      <c r="O21" s="231">
        <v>203453.27200756967</v>
      </c>
      <c r="P21" s="231">
        <f t="shared" si="4"/>
        <v>-4176.897561430349</v>
      </c>
      <c r="Q21" s="231"/>
      <c r="R21" s="231">
        <v>233718.877094</v>
      </c>
      <c r="S21" s="231">
        <v>230274.04392023452</v>
      </c>
      <c r="T21" s="231">
        <f t="shared" si="5"/>
        <v>-3444.8331737654808</v>
      </c>
    </row>
    <row r="22" spans="1:20">
      <c r="A22" s="60">
        <f t="shared" si="0"/>
        <v>13</v>
      </c>
      <c r="B22" s="200">
        <v>45231</v>
      </c>
      <c r="C22" s="23">
        <f t="shared" ref="C22:D22" si="15">J72*1000</f>
        <v>1641080213.7410002</v>
      </c>
      <c r="D22" s="284">
        <f t="shared" si="15"/>
        <v>1710737968.9876585</v>
      </c>
      <c r="E22" s="285">
        <f t="shared" si="2"/>
        <v>69657755.246658325</v>
      </c>
      <c r="F22" s="150"/>
      <c r="H22" s="287">
        <f t="shared" si="1"/>
        <v>45261</v>
      </c>
      <c r="I22" s="201"/>
      <c r="J22" s="288">
        <v>1195703.207282</v>
      </c>
      <c r="K22" s="288">
        <v>1437810.0517607674</v>
      </c>
      <c r="L22" s="288">
        <f t="shared" si="3"/>
        <v>242106.84447876737</v>
      </c>
      <c r="M22" s="231"/>
      <c r="N22" s="288">
        <v>240368.897429</v>
      </c>
      <c r="O22" s="288">
        <v>246734.82648717728</v>
      </c>
      <c r="P22" s="288">
        <f t="shared" si="4"/>
        <v>6365.9290581772802</v>
      </c>
      <c r="Q22" s="231"/>
      <c r="R22" s="288">
        <v>266554.51435100002</v>
      </c>
      <c r="S22" s="288">
        <v>271826.16128076124</v>
      </c>
      <c r="T22" s="288">
        <f t="shared" si="5"/>
        <v>5271.6469297612202</v>
      </c>
    </row>
    <row r="23" spans="1:20">
      <c r="A23" s="60">
        <f t="shared" si="0"/>
        <v>14</v>
      </c>
      <c r="B23" s="200">
        <v>45261</v>
      </c>
      <c r="C23" s="23">
        <f t="shared" ref="C23:D23" si="16">J73*1000</f>
        <v>2010952793.4320002</v>
      </c>
      <c r="D23" s="284">
        <f t="shared" si="16"/>
        <v>2268942679.9585686</v>
      </c>
      <c r="E23" s="285">
        <f t="shared" si="2"/>
        <v>257989886.52656841</v>
      </c>
      <c r="F23" s="150"/>
      <c r="H23" s="283" t="s">
        <v>20</v>
      </c>
      <c r="I23" s="200"/>
      <c r="J23" s="289">
        <f>SUM(J11:J22)</f>
        <v>11560826.171111999</v>
      </c>
      <c r="K23" s="289">
        <f t="shared" ref="K23:L23" si="17">SUM(K11:K22)</f>
        <v>11747619.726540849</v>
      </c>
      <c r="L23" s="289">
        <f t="shared" si="17"/>
        <v>186793.5554288493</v>
      </c>
      <c r="M23" s="289"/>
      <c r="N23" s="289">
        <f>SUM(N11:N22)</f>
        <v>2704054.1309630005</v>
      </c>
      <c r="O23" s="289">
        <f t="shared" ref="O23:P23" si="18">SUM(O11:O22)</f>
        <v>2686445.4793757778</v>
      </c>
      <c r="P23" s="289">
        <f t="shared" si="18"/>
        <v>-17608.651587222528</v>
      </c>
      <c r="Q23" s="289"/>
      <c r="R23" s="289">
        <f>SUM(R11:R22)</f>
        <v>3038589.133287</v>
      </c>
      <c r="S23" s="289">
        <f t="shared" ref="S23:T23" si="19">SUM(S11:S22)</f>
        <v>3023745.3757540621</v>
      </c>
      <c r="T23" s="289">
        <f t="shared" si="19"/>
        <v>-14843.757532937947</v>
      </c>
    </row>
    <row r="24" spans="1:20">
      <c r="A24" s="60">
        <f t="shared" si="0"/>
        <v>15</v>
      </c>
      <c r="C24" s="290">
        <f>SUM(C12:C23)</f>
        <v>20724642238.993</v>
      </c>
      <c r="D24" s="291">
        <f>SUM(D12:D23)</f>
        <v>20867829476.816246</v>
      </c>
      <c r="E24" s="291">
        <f>SUM(E12:E23)</f>
        <v>143187237.82325029</v>
      </c>
      <c r="F24" s="124"/>
    </row>
    <row r="25" spans="1:20">
      <c r="A25" s="60">
        <f t="shared" si="0"/>
        <v>16</v>
      </c>
      <c r="C25" s="292"/>
      <c r="D25" s="292"/>
      <c r="E25" s="218"/>
      <c r="J25" s="270" t="s">
        <v>99</v>
      </c>
      <c r="K25" s="271"/>
      <c r="L25" s="271"/>
      <c r="N25" s="270" t="s">
        <v>101</v>
      </c>
      <c r="O25" s="271"/>
      <c r="P25" s="271"/>
      <c r="Q25" s="272"/>
      <c r="R25" s="293"/>
      <c r="S25" s="294"/>
      <c r="T25" s="294"/>
    </row>
    <row r="26" spans="1:20">
      <c r="A26" s="60">
        <f t="shared" si="0"/>
        <v>17</v>
      </c>
      <c r="B26" s="218" t="s">
        <v>117</v>
      </c>
      <c r="C26" s="218" t="s">
        <v>1</v>
      </c>
      <c r="D26" s="295"/>
      <c r="E26" s="285">
        <f>'Temp Adj. by Schedule'!N83</f>
        <v>186793555.42884922</v>
      </c>
      <c r="F26" s="296"/>
      <c r="J26" s="274" t="s">
        <v>114</v>
      </c>
      <c r="K26" s="275"/>
      <c r="L26" s="275"/>
      <c r="N26" s="274" t="s">
        <v>94</v>
      </c>
      <c r="O26" s="275"/>
      <c r="P26" s="275"/>
      <c r="Q26" s="272"/>
      <c r="R26" s="293"/>
      <c r="S26" s="294"/>
      <c r="T26" s="294"/>
    </row>
    <row r="27" spans="1:20">
      <c r="A27" s="60">
        <f t="shared" si="0"/>
        <v>18</v>
      </c>
      <c r="B27" s="297" t="s">
        <v>118</v>
      </c>
      <c r="C27" s="218" t="s">
        <v>2</v>
      </c>
      <c r="D27" s="218"/>
      <c r="E27" s="285">
        <f>'Temp Adj. by Schedule'!N84+'Temp Adj. by Schedule'!N85</f>
        <v>-17608651.587222558</v>
      </c>
      <c r="F27" s="296"/>
      <c r="H27" s="278" t="s">
        <v>53</v>
      </c>
      <c r="I27" s="278"/>
      <c r="J27" s="278" t="s">
        <v>85</v>
      </c>
      <c r="K27" s="278" t="s">
        <v>87</v>
      </c>
      <c r="L27" s="278" t="s">
        <v>88</v>
      </c>
      <c r="N27" s="278" t="s">
        <v>85</v>
      </c>
      <c r="O27" s="278" t="s">
        <v>87</v>
      </c>
      <c r="P27" s="278" t="s">
        <v>88</v>
      </c>
      <c r="R27" s="298"/>
      <c r="S27" s="298"/>
      <c r="T27" s="298"/>
    </row>
    <row r="28" spans="1:20">
      <c r="A28" s="60">
        <f t="shared" si="0"/>
        <v>19</v>
      </c>
      <c r="B28" s="218"/>
      <c r="C28" s="299" t="s">
        <v>3</v>
      </c>
      <c r="D28" s="300"/>
      <c r="E28" s="285">
        <f>'Temp Adj. by Schedule'!N86+'Temp Adj. by Schedule'!N87</f>
        <v>-14843757.532937866</v>
      </c>
      <c r="F28" s="296"/>
      <c r="H28" s="283">
        <f t="shared" ref="H28:H39" si="20">H11</f>
        <v>44927</v>
      </c>
      <c r="I28" s="200"/>
      <c r="J28" s="231">
        <f t="array" ref="J28:J39">TRANSPOSE('Actual Total Usage'!B21:M21)/1000</f>
        <v>154472.75730100001</v>
      </c>
      <c r="K28" s="231">
        <f t="array" ref="K28:K39">TRANSPOSE('Normalized TotalUsage'!B21:M21)/1000</f>
        <v>154451.34756463632</v>
      </c>
      <c r="L28" s="231">
        <f>K28-J28</f>
        <v>-21.409736363682896</v>
      </c>
      <c r="M28" s="231"/>
      <c r="N28" s="231">
        <f t="array" ref="N28:N39">TRANSPOSE('Actual Total Usage'!B25:M25)/1000</f>
        <v>117747.30931500001</v>
      </c>
      <c r="O28" s="231">
        <f t="array" ref="O28:O39">TRANSPOSE('Normalized TotalUsage'!B25:M25)/1000</f>
        <v>117725.32715696035</v>
      </c>
      <c r="P28" s="231">
        <f>O28-N28</f>
        <v>-21.982158039652859</v>
      </c>
      <c r="Q28" s="231"/>
      <c r="R28" s="301"/>
      <c r="S28" s="301"/>
      <c r="T28" s="301"/>
    </row>
    <row r="29" spans="1:20">
      <c r="A29" s="60">
        <f t="shared" si="0"/>
        <v>20</v>
      </c>
      <c r="B29" s="302"/>
      <c r="C29" s="218" t="s">
        <v>4</v>
      </c>
      <c r="D29" s="299"/>
      <c r="E29" s="285">
        <f>'Temp Adj. by Schedule'!N88+'Temp Adj. by Schedule'!N89</f>
        <v>-5004766.4042158322</v>
      </c>
      <c r="F29" s="296"/>
      <c r="H29" s="283">
        <f t="shared" si="20"/>
        <v>44958</v>
      </c>
      <c r="I29" s="200"/>
      <c r="J29" s="231">
        <v>142419.68573600001</v>
      </c>
      <c r="K29" s="231">
        <v>141049.23345494134</v>
      </c>
      <c r="L29" s="231">
        <f t="shared" ref="L29:L39" si="21">K29-J29</f>
        <v>-1370.4522810586786</v>
      </c>
      <c r="M29" s="231"/>
      <c r="N29" s="231">
        <v>119659.000931</v>
      </c>
      <c r="O29" s="231">
        <v>118269.48925060802</v>
      </c>
      <c r="P29" s="231">
        <f t="shared" ref="P29:P39" si="22">O29-N29</f>
        <v>-1389.5116803919809</v>
      </c>
      <c r="Q29" s="231"/>
      <c r="R29" s="301"/>
      <c r="S29" s="301"/>
      <c r="T29" s="301"/>
    </row>
    <row r="30" spans="1:20">
      <c r="A30" s="60">
        <f t="shared" si="0"/>
        <v>21</v>
      </c>
      <c r="B30" s="218"/>
      <c r="C30" s="299" t="s">
        <v>6</v>
      </c>
      <c r="D30" s="218"/>
      <c r="E30" s="285">
        <f>'Temp Adj. by Schedule'!N90+'Temp Adj. by Schedule'!N91</f>
        <v>-4186910.2181539978</v>
      </c>
      <c r="F30" s="296"/>
      <c r="H30" s="283">
        <f t="shared" si="20"/>
        <v>44986</v>
      </c>
      <c r="I30" s="200"/>
      <c r="J30" s="231">
        <v>151011.42507600001</v>
      </c>
      <c r="K30" s="231">
        <v>149782.45115361951</v>
      </c>
      <c r="L30" s="231">
        <f t="shared" si="21"/>
        <v>-1228.9739223805082</v>
      </c>
      <c r="M30" s="231"/>
      <c r="N30" s="231">
        <v>128898.48123499998</v>
      </c>
      <c r="O30" s="231">
        <v>127652.01619220422</v>
      </c>
      <c r="P30" s="231">
        <f t="shared" si="22"/>
        <v>-1246.4650427957677</v>
      </c>
      <c r="Q30" s="231"/>
      <c r="R30" s="301"/>
      <c r="S30" s="301"/>
      <c r="T30" s="301"/>
    </row>
    <row r="31" spans="1:20">
      <c r="A31" s="60">
        <f t="shared" si="0"/>
        <v>22</v>
      </c>
      <c r="B31" s="218"/>
      <c r="C31" s="218" t="s">
        <v>8</v>
      </c>
      <c r="D31" s="218"/>
      <c r="E31" s="285">
        <f>'Temp Adj. by Schedule'!N92</f>
        <v>-1871524.5574263318</v>
      </c>
      <c r="F31" s="296"/>
      <c r="H31" s="283">
        <f t="shared" si="20"/>
        <v>45017</v>
      </c>
      <c r="I31" s="200"/>
      <c r="J31" s="231">
        <v>154035.23257599998</v>
      </c>
      <c r="K31" s="231">
        <v>152651.39370733366</v>
      </c>
      <c r="L31" s="231">
        <f t="shared" si="21"/>
        <v>-1383.8388686663238</v>
      </c>
      <c r="M31" s="231"/>
      <c r="N31" s="231">
        <v>100982.36691899999</v>
      </c>
      <c r="O31" s="231">
        <v>99597.23535601217</v>
      </c>
      <c r="P31" s="231">
        <f t="shared" si="22"/>
        <v>-1385.1315629878227</v>
      </c>
      <c r="Q31" s="231"/>
      <c r="R31" s="301"/>
      <c r="S31" s="301"/>
      <c r="T31" s="301"/>
    </row>
    <row r="32" spans="1:20">
      <c r="A32" s="60">
        <f t="shared" si="0"/>
        <v>23</v>
      </c>
      <c r="B32" s="218"/>
      <c r="C32" s="303" t="s">
        <v>9</v>
      </c>
      <c r="D32" s="303"/>
      <c r="E32" s="304">
        <f>'Temp Adj. by Schedule'!N93</f>
        <v>-90707.305641999934</v>
      </c>
      <c r="F32" s="296"/>
      <c r="H32" s="283">
        <f t="shared" si="20"/>
        <v>45047</v>
      </c>
      <c r="I32" s="200"/>
      <c r="J32" s="231">
        <v>140037.42394899999</v>
      </c>
      <c r="K32" s="231">
        <v>138135.07215633834</v>
      </c>
      <c r="L32" s="231">
        <f t="shared" si="21"/>
        <v>-1902.3517926616478</v>
      </c>
      <c r="M32" s="231"/>
      <c r="N32" s="231">
        <v>93444.540314999991</v>
      </c>
      <c r="O32" s="231">
        <v>92796.040817584988</v>
      </c>
      <c r="P32" s="231">
        <f t="shared" si="22"/>
        <v>-648.49949741500313</v>
      </c>
      <c r="Q32" s="231"/>
      <c r="R32" s="301"/>
      <c r="S32" s="301"/>
      <c r="T32" s="301"/>
    </row>
    <row r="33" spans="1:20">
      <c r="A33" s="60">
        <f t="shared" si="0"/>
        <v>24</v>
      </c>
      <c r="B33" s="218"/>
      <c r="C33" s="218" t="s">
        <v>20</v>
      </c>
      <c r="D33" s="218"/>
      <c r="E33" s="285">
        <f>SUM(E26:E32)</f>
        <v>143187237.82325065</v>
      </c>
      <c r="F33" s="296"/>
      <c r="H33" s="283">
        <f t="shared" si="20"/>
        <v>45078</v>
      </c>
      <c r="I33" s="200"/>
      <c r="J33" s="231">
        <v>146675.79686199999</v>
      </c>
      <c r="K33" s="231">
        <v>147780.61346417002</v>
      </c>
      <c r="L33" s="231">
        <f t="shared" si="21"/>
        <v>1104.8166021700308</v>
      </c>
      <c r="M33" s="231"/>
      <c r="N33" s="231">
        <v>126018.20494800001</v>
      </c>
      <c r="O33" s="231">
        <v>126472.82672300251</v>
      </c>
      <c r="P33" s="231">
        <f t="shared" si="22"/>
        <v>454.62177500249527</v>
      </c>
      <c r="Q33" s="231"/>
      <c r="R33" s="301"/>
      <c r="S33" s="301"/>
      <c r="T33" s="301"/>
    </row>
    <row r="34" spans="1:20">
      <c r="A34" s="60"/>
      <c r="F34" s="296"/>
      <c r="H34" s="283">
        <f t="shared" si="20"/>
        <v>45108</v>
      </c>
      <c r="I34" s="200"/>
      <c r="J34" s="231">
        <v>165490.49758699999</v>
      </c>
      <c r="K34" s="231">
        <v>165549.93590894996</v>
      </c>
      <c r="L34" s="231">
        <f t="shared" si="21"/>
        <v>59.438321949972305</v>
      </c>
      <c r="M34" s="231"/>
      <c r="N34" s="231">
        <v>109962.479968</v>
      </c>
      <c r="O34" s="231">
        <v>109986.95472635</v>
      </c>
      <c r="P34" s="231">
        <f t="shared" si="22"/>
        <v>24.47475834999932</v>
      </c>
      <c r="Q34" s="231"/>
      <c r="R34" s="301"/>
      <c r="S34" s="301"/>
      <c r="T34" s="301"/>
    </row>
    <row r="35" spans="1:20">
      <c r="A35" s="62"/>
      <c r="B35" s="305"/>
      <c r="C35" s="306"/>
      <c r="D35" s="306"/>
      <c r="E35" s="306"/>
      <c r="F35" s="307"/>
      <c r="H35" s="283">
        <f t="shared" si="20"/>
        <v>45139</v>
      </c>
      <c r="I35" s="200"/>
      <c r="J35" s="231">
        <v>176132.69579600001</v>
      </c>
      <c r="K35" s="231">
        <v>174763.53103000004</v>
      </c>
      <c r="L35" s="231">
        <f t="shared" si="21"/>
        <v>-1369.1647659999726</v>
      </c>
      <c r="M35" s="231"/>
      <c r="N35" s="231">
        <v>146278.156479</v>
      </c>
      <c r="O35" s="231">
        <v>145718.73343100003</v>
      </c>
      <c r="P35" s="231">
        <f t="shared" si="22"/>
        <v>-559.42304799996782</v>
      </c>
      <c r="Q35" s="231"/>
      <c r="R35" s="301"/>
      <c r="S35" s="301"/>
      <c r="T35" s="301"/>
    </row>
    <row r="36" spans="1:20">
      <c r="A36" s="308"/>
      <c r="B36" s="305"/>
      <c r="C36" s="305"/>
      <c r="D36" s="305"/>
      <c r="E36" s="309"/>
      <c r="H36" s="283">
        <f t="shared" si="20"/>
        <v>45170</v>
      </c>
      <c r="I36" s="200"/>
      <c r="J36" s="231">
        <v>164344.25576899998</v>
      </c>
      <c r="K36" s="231">
        <v>165218.85185861998</v>
      </c>
      <c r="L36" s="231">
        <f t="shared" si="21"/>
        <v>874.59608961999766</v>
      </c>
      <c r="M36" s="231"/>
      <c r="N36" s="231">
        <v>128915.86340999999</v>
      </c>
      <c r="O36" s="231">
        <v>129271.094535535</v>
      </c>
      <c r="P36" s="231">
        <f t="shared" si="22"/>
        <v>355.23112553500687</v>
      </c>
      <c r="Q36" s="231"/>
      <c r="R36" s="301"/>
      <c r="S36" s="301"/>
      <c r="T36" s="301"/>
    </row>
    <row r="37" spans="1:20">
      <c r="A37" s="308"/>
      <c r="B37" s="305"/>
      <c r="C37" s="305"/>
      <c r="D37" s="305"/>
      <c r="E37" s="309"/>
      <c r="H37" s="283">
        <f t="shared" si="20"/>
        <v>45200</v>
      </c>
      <c r="I37" s="200"/>
      <c r="J37" s="231">
        <v>163484.71234600001</v>
      </c>
      <c r="K37" s="231">
        <v>163191.9200248085</v>
      </c>
      <c r="L37" s="231">
        <f t="shared" si="21"/>
        <v>-292.79232119151857</v>
      </c>
      <c r="M37" s="231"/>
      <c r="N37" s="231">
        <v>110588.88826399999</v>
      </c>
      <c r="O37" s="231">
        <v>110304.90141571751</v>
      </c>
      <c r="P37" s="231">
        <f t="shared" si="22"/>
        <v>-283.98684828248224</v>
      </c>
      <c r="Q37" s="231"/>
      <c r="R37" s="301"/>
      <c r="S37" s="301"/>
      <c r="T37" s="301"/>
    </row>
    <row r="38" spans="1:20">
      <c r="A38" s="62"/>
      <c r="B38" s="305"/>
      <c r="C38" s="305"/>
      <c r="D38" s="305"/>
      <c r="E38" s="309"/>
      <c r="H38" s="283">
        <f t="shared" si="20"/>
        <v>45231</v>
      </c>
      <c r="I38" s="200"/>
      <c r="J38" s="231">
        <v>149081.53271699999</v>
      </c>
      <c r="K38" s="231">
        <v>148070.45379222449</v>
      </c>
      <c r="L38" s="231">
        <f t="shared" si="21"/>
        <v>-1011.0789247755019</v>
      </c>
      <c r="M38" s="231"/>
      <c r="N38" s="231">
        <v>105877.857642</v>
      </c>
      <c r="O38" s="231">
        <v>104910.51488501026</v>
      </c>
      <c r="P38" s="231">
        <f t="shared" si="22"/>
        <v>-967.3427569897467</v>
      </c>
      <c r="Q38" s="231"/>
      <c r="R38" s="301"/>
      <c r="S38" s="301"/>
      <c r="T38" s="301"/>
    </row>
    <row r="39" spans="1:20">
      <c r="A39" s="310"/>
      <c r="B39" s="305"/>
      <c r="C39" s="305"/>
      <c r="D39" s="305"/>
      <c r="E39" s="309"/>
      <c r="H39" s="287">
        <f t="shared" si="20"/>
        <v>45261</v>
      </c>
      <c r="I39" s="201"/>
      <c r="J39" s="288">
        <v>160927.43808999998</v>
      </c>
      <c r="K39" s="288">
        <v>162463.88328514199</v>
      </c>
      <c r="L39" s="288">
        <f t="shared" si="21"/>
        <v>1536.4451951420051</v>
      </c>
      <c r="M39" s="231"/>
      <c r="N39" s="288">
        <v>133724.70462999999</v>
      </c>
      <c r="O39" s="288">
        <v>135205.80934786098</v>
      </c>
      <c r="P39" s="288">
        <f t="shared" si="22"/>
        <v>1481.1047178609879</v>
      </c>
      <c r="Q39" s="231"/>
      <c r="R39" s="301"/>
      <c r="S39" s="301"/>
      <c r="T39" s="301"/>
    </row>
    <row r="40" spans="1:20">
      <c r="A40" s="62"/>
      <c r="B40" s="305"/>
      <c r="C40" s="305"/>
      <c r="D40" s="305"/>
      <c r="E40" s="24"/>
      <c r="H40" s="283" t="s">
        <v>20</v>
      </c>
      <c r="I40" s="200"/>
      <c r="J40" s="289">
        <f>SUM(J28:J39)</f>
        <v>1868113.4538050001</v>
      </c>
      <c r="K40" s="289">
        <f t="shared" ref="K40:L40" si="23">SUM(K28:K39)</f>
        <v>1863108.6874007841</v>
      </c>
      <c r="L40" s="289">
        <f t="shared" si="23"/>
        <v>-5004.7664042158285</v>
      </c>
      <c r="N40" s="289">
        <f>SUM(N28:N39)</f>
        <v>1422097.854056</v>
      </c>
      <c r="O40" s="289">
        <f t="shared" ref="O40:P40" si="24">SUM(O28:O39)</f>
        <v>1417910.9438378462</v>
      </c>
      <c r="P40" s="289">
        <f t="shared" si="24"/>
        <v>-4186.9102181539347</v>
      </c>
      <c r="Q40" s="289"/>
      <c r="R40" s="311"/>
      <c r="S40" s="311"/>
      <c r="T40" s="311"/>
    </row>
    <row r="41" spans="1:20">
      <c r="A41" s="62"/>
      <c r="B41" s="305"/>
      <c r="C41" s="305"/>
      <c r="D41" s="305"/>
      <c r="E41" s="24"/>
    </row>
    <row r="42" spans="1:20">
      <c r="A42" s="62"/>
      <c r="B42" s="305"/>
      <c r="C42" s="305"/>
      <c r="D42" s="305"/>
      <c r="E42" s="24"/>
      <c r="I42" s="272"/>
      <c r="J42" s="270" t="s">
        <v>95</v>
      </c>
      <c r="K42" s="271"/>
      <c r="L42" s="271"/>
      <c r="M42" s="272"/>
      <c r="N42" s="270" t="s">
        <v>26</v>
      </c>
      <c r="O42" s="271"/>
      <c r="P42" s="271"/>
      <c r="Q42" s="272"/>
    </row>
    <row r="43" spans="1:20">
      <c r="A43" s="62"/>
      <c r="B43" s="305"/>
      <c r="C43" s="305"/>
      <c r="D43" s="305"/>
      <c r="E43" s="24"/>
      <c r="F43" s="312"/>
      <c r="I43" s="272"/>
      <c r="J43" s="274" t="s">
        <v>96</v>
      </c>
      <c r="K43" s="275"/>
      <c r="L43" s="275"/>
      <c r="M43" s="272"/>
      <c r="N43" s="274" t="s">
        <v>98</v>
      </c>
      <c r="O43" s="275"/>
      <c r="P43" s="275"/>
      <c r="Q43" s="289"/>
    </row>
    <row r="44" spans="1:20">
      <c r="A44" s="62"/>
      <c r="B44" s="305"/>
      <c r="C44" s="305"/>
      <c r="D44" s="305"/>
      <c r="E44" s="313"/>
      <c r="F44" s="312"/>
      <c r="H44" s="278" t="s">
        <v>53</v>
      </c>
      <c r="J44" s="278" t="s">
        <v>85</v>
      </c>
      <c r="K44" s="278" t="s">
        <v>87</v>
      </c>
      <c r="L44" s="278" t="s">
        <v>88</v>
      </c>
      <c r="N44" s="278" t="s">
        <v>85</v>
      </c>
      <c r="O44" s="278" t="s">
        <v>87</v>
      </c>
      <c r="P44" s="278" t="s">
        <v>88</v>
      </c>
    </row>
    <row r="45" spans="1:20">
      <c r="A45" s="62"/>
      <c r="B45" s="305"/>
      <c r="C45" s="305"/>
      <c r="D45" s="305"/>
      <c r="E45" s="24"/>
      <c r="H45" s="283">
        <f t="shared" ref="H45:H56" si="25">H28</f>
        <v>44927</v>
      </c>
      <c r="I45" s="289"/>
      <c r="J45" s="231">
        <f t="array" ref="J45:J56">TRANSPOSE('Actual Total Usage'!B27:M27)/1000</f>
        <v>15538.87644</v>
      </c>
      <c r="K45" s="231">
        <f t="array" ref="K45:K56">TRANSPOSE('Normalized TotalUsage'!B27:M27)/1000</f>
        <v>15554.998415822332</v>
      </c>
      <c r="L45" s="231">
        <f>K45-J45</f>
        <v>16.121975822332388</v>
      </c>
      <c r="M45" s="231"/>
      <c r="N45" s="231">
        <f t="array" ref="N45:N56">TRANSPOSE('Actual Total Usage'!B28:M28)/1000</f>
        <v>879.78</v>
      </c>
      <c r="O45" s="231">
        <f t="array" ref="O45:O56">TRANSPOSE('Normalized TotalUsage'!B28:M28)/1000</f>
        <v>879.22178122399987</v>
      </c>
      <c r="P45" s="231">
        <f>O45-N45</f>
        <v>-0.55821877600010339</v>
      </c>
      <c r="Q45" s="289"/>
    </row>
    <row r="46" spans="1:20">
      <c r="A46" s="60"/>
      <c r="H46" s="283">
        <f t="shared" si="25"/>
        <v>44958</v>
      </c>
      <c r="I46" s="289"/>
      <c r="J46" s="231">
        <v>10982.240699999998</v>
      </c>
      <c r="K46" s="231">
        <v>9986.2948445597503</v>
      </c>
      <c r="L46" s="231">
        <f t="shared" ref="L46:L56" si="26">K46-J46</f>
        <v>-995.94585544024812</v>
      </c>
      <c r="M46" s="231"/>
      <c r="N46" s="231">
        <v>993.54</v>
      </c>
      <c r="O46" s="231">
        <v>958.12556230400003</v>
      </c>
      <c r="P46" s="231">
        <f t="shared" ref="P46:P56" si="27">O46-N46</f>
        <v>-35.414437695999936</v>
      </c>
      <c r="Q46" s="289"/>
    </row>
    <row r="47" spans="1:20">
      <c r="A47" s="60"/>
      <c r="H47" s="283">
        <f t="shared" si="25"/>
        <v>44986</v>
      </c>
      <c r="I47" s="289"/>
      <c r="J47" s="231">
        <v>15622.4342</v>
      </c>
      <c r="K47" s="231">
        <v>14741.629834106167</v>
      </c>
      <c r="L47" s="231">
        <f t="shared" si="26"/>
        <v>-880.80436589383316</v>
      </c>
      <c r="M47" s="231"/>
      <c r="N47" s="231">
        <v>911.68</v>
      </c>
      <c r="O47" s="231">
        <v>880.02704812599995</v>
      </c>
      <c r="P47" s="231">
        <f t="shared" si="27"/>
        <v>-31.652951873999996</v>
      </c>
      <c r="Q47" s="289"/>
    </row>
    <row r="48" spans="1:20">
      <c r="A48" s="60"/>
      <c r="H48" s="283">
        <f t="shared" si="25"/>
        <v>45017</v>
      </c>
      <c r="I48" s="289"/>
      <c r="J48" s="231">
        <v>13698.960975</v>
      </c>
      <c r="K48" s="231">
        <v>12875.152974138915</v>
      </c>
      <c r="L48" s="231">
        <f t="shared" si="26"/>
        <v>-823.80800086108502</v>
      </c>
      <c r="M48" s="231"/>
      <c r="N48" s="231">
        <v>820.3288</v>
      </c>
      <c r="O48" s="231">
        <v>785.15452619600001</v>
      </c>
      <c r="P48" s="231">
        <f t="shared" si="27"/>
        <v>-35.174273803999995</v>
      </c>
      <c r="Q48" s="289"/>
    </row>
    <row r="49" spans="1:17">
      <c r="A49" s="60"/>
      <c r="H49" s="283">
        <f t="shared" si="25"/>
        <v>45047</v>
      </c>
      <c r="I49" s="289"/>
      <c r="J49" s="231">
        <v>10157.543164999999</v>
      </c>
      <c r="K49" s="231">
        <v>10432.800068945833</v>
      </c>
      <c r="L49" s="231">
        <f t="shared" si="26"/>
        <v>275.25690394583398</v>
      </c>
      <c r="M49" s="231"/>
      <c r="N49" s="231">
        <v>497.74</v>
      </c>
      <c r="O49" s="231">
        <v>504.14977955000001</v>
      </c>
      <c r="P49" s="231">
        <f t="shared" si="27"/>
        <v>6.4097795499999961</v>
      </c>
      <c r="Q49" s="289"/>
    </row>
    <row r="50" spans="1:17">
      <c r="A50" s="60"/>
      <c r="H50" s="283">
        <f t="shared" si="25"/>
        <v>45078</v>
      </c>
      <c r="I50" s="289"/>
      <c r="J50" s="231">
        <v>10165.012725000001</v>
      </c>
      <c r="K50" s="231">
        <v>10243.8956873725</v>
      </c>
      <c r="L50" s="231">
        <f t="shared" si="26"/>
        <v>78.882962372499605</v>
      </c>
      <c r="M50" s="231"/>
      <c r="N50" s="231">
        <v>554.05119999999999</v>
      </c>
      <c r="O50" s="231">
        <v>554.05119999999999</v>
      </c>
      <c r="P50" s="231">
        <f t="shared" si="27"/>
        <v>0</v>
      </c>
      <c r="Q50" s="289"/>
    </row>
    <row r="51" spans="1:17">
      <c r="H51" s="283">
        <f t="shared" si="25"/>
        <v>45108</v>
      </c>
      <c r="I51" s="289"/>
      <c r="J51" s="231">
        <v>6768.7061599999997</v>
      </c>
      <c r="K51" s="231">
        <v>6772.9277252645825</v>
      </c>
      <c r="L51" s="231">
        <f t="shared" si="26"/>
        <v>4.2215652645827504</v>
      </c>
      <c r="M51" s="231"/>
      <c r="N51" s="231">
        <v>271.38</v>
      </c>
      <c r="O51" s="231">
        <v>271.38</v>
      </c>
      <c r="P51" s="231">
        <f t="shared" si="27"/>
        <v>0</v>
      </c>
      <c r="Q51" s="289"/>
    </row>
    <row r="52" spans="1:17">
      <c r="H52" s="283">
        <f t="shared" si="25"/>
        <v>45139</v>
      </c>
      <c r="I52" s="289"/>
      <c r="J52" s="231">
        <v>5749.5242400000006</v>
      </c>
      <c r="K52" s="231">
        <v>5653.0313196666675</v>
      </c>
      <c r="L52" s="231">
        <f t="shared" si="26"/>
        <v>-96.492920333333132</v>
      </c>
      <c r="M52" s="231"/>
      <c r="N52" s="231">
        <v>296.18</v>
      </c>
      <c r="O52" s="231">
        <v>296.18</v>
      </c>
      <c r="P52" s="231">
        <f t="shared" si="27"/>
        <v>0</v>
      </c>
      <c r="Q52" s="289"/>
    </row>
    <row r="53" spans="1:17">
      <c r="H53" s="283">
        <f t="shared" si="25"/>
        <v>45170</v>
      </c>
      <c r="I53" s="289"/>
      <c r="J53" s="231">
        <v>6136.5926399999998</v>
      </c>
      <c r="K53" s="231">
        <v>6197.624412110833</v>
      </c>
      <c r="L53" s="231">
        <f t="shared" si="26"/>
        <v>61.031772110833117</v>
      </c>
      <c r="M53" s="231"/>
      <c r="N53" s="231">
        <v>243.9</v>
      </c>
      <c r="O53" s="231">
        <v>243.9</v>
      </c>
      <c r="P53" s="231">
        <f t="shared" si="27"/>
        <v>0</v>
      </c>
      <c r="Q53" s="289"/>
    </row>
    <row r="54" spans="1:17">
      <c r="H54" s="283">
        <f t="shared" si="25"/>
        <v>45200</v>
      </c>
      <c r="I54" s="289"/>
      <c r="J54" s="231">
        <v>7300.1316999999999</v>
      </c>
      <c r="K54" s="231">
        <v>7292.0609676279146</v>
      </c>
      <c r="L54" s="231">
        <f t="shared" si="26"/>
        <v>-8.070732372085331</v>
      </c>
      <c r="M54" s="231"/>
      <c r="N54" s="231">
        <v>299.56</v>
      </c>
      <c r="O54" s="231">
        <v>292.40051965200001</v>
      </c>
      <c r="P54" s="231">
        <f t="shared" si="27"/>
        <v>-7.1594803479999882</v>
      </c>
      <c r="Q54" s="289"/>
    </row>
    <row r="55" spans="1:17">
      <c r="H55" s="283">
        <f t="shared" si="25"/>
        <v>45231</v>
      </c>
      <c r="I55" s="289"/>
      <c r="J55" s="231">
        <v>8979.1011750000016</v>
      </c>
      <c r="K55" s="231">
        <v>8286.6743150060865</v>
      </c>
      <c r="L55" s="231">
        <f t="shared" si="26"/>
        <v>-692.42685999391506</v>
      </c>
      <c r="M55" s="231"/>
      <c r="N55" s="231">
        <v>420.2</v>
      </c>
      <c r="O55" s="231">
        <v>395.63512839800001</v>
      </c>
      <c r="P55" s="231">
        <f t="shared" si="27"/>
        <v>-24.564871601999982</v>
      </c>
      <c r="Q55" s="289"/>
    </row>
    <row r="56" spans="1:17">
      <c r="H56" s="287">
        <f t="shared" si="25"/>
        <v>45261</v>
      </c>
      <c r="I56" s="289"/>
      <c r="J56" s="288">
        <v>12985.551650000001</v>
      </c>
      <c r="K56" s="288">
        <v>14176.060647952085</v>
      </c>
      <c r="L56" s="288">
        <f t="shared" si="26"/>
        <v>1190.5089979520835</v>
      </c>
      <c r="M56" s="231"/>
      <c r="N56" s="288">
        <v>688.48</v>
      </c>
      <c r="O56" s="288">
        <v>725.88714890799997</v>
      </c>
      <c r="P56" s="288">
        <f t="shared" si="27"/>
        <v>37.407148907999954</v>
      </c>
      <c r="Q56" s="289"/>
    </row>
    <row r="57" spans="1:17">
      <c r="H57" s="283" t="s">
        <v>20</v>
      </c>
      <c r="I57" s="289"/>
      <c r="J57" s="289">
        <f>SUM(J45:J56)</f>
        <v>124084.67577</v>
      </c>
      <c r="K57" s="289">
        <f t="shared" ref="K57:L57" si="28">SUM(K45:K56)</f>
        <v>122213.15121257366</v>
      </c>
      <c r="L57" s="289">
        <f t="shared" si="28"/>
        <v>-1871.5245574263345</v>
      </c>
      <c r="M57" s="289"/>
      <c r="N57" s="289">
        <f>SUM(N45:N56)</f>
        <v>6876.82</v>
      </c>
      <c r="O57" s="289">
        <f t="shared" ref="O57:P57" si="29">SUM(O45:O56)</f>
        <v>6786.1126943580002</v>
      </c>
      <c r="P57" s="289">
        <f t="shared" si="29"/>
        <v>-90.707305642000051</v>
      </c>
      <c r="Q57" s="289"/>
    </row>
    <row r="59" spans="1:17">
      <c r="J59" s="270"/>
      <c r="K59" s="271"/>
      <c r="L59" s="271"/>
    </row>
    <row r="60" spans="1:17">
      <c r="J60" s="274" t="s">
        <v>20</v>
      </c>
      <c r="K60" s="275"/>
      <c r="L60" s="275"/>
    </row>
    <row r="61" spans="1:17">
      <c r="H61" s="278" t="s">
        <v>53</v>
      </c>
      <c r="J61" s="278" t="s">
        <v>85</v>
      </c>
      <c r="K61" s="278" t="s">
        <v>87</v>
      </c>
      <c r="L61" s="278" t="s">
        <v>88</v>
      </c>
    </row>
    <row r="62" spans="1:17">
      <c r="H62" s="283">
        <f t="shared" ref="H62:H73" si="30">H45</f>
        <v>44927</v>
      </c>
      <c r="J62" s="231">
        <f t="shared" ref="J62:J73" si="31">J11+N11+R11+J28+N28+R28+J45+N45</f>
        <v>2167225.5190339996</v>
      </c>
      <c r="K62" s="231">
        <f t="shared" ref="K62:K73" si="32">K11+O11+S11+K28+O28+S28+K45+O45</f>
        <v>2163522.2165409029</v>
      </c>
      <c r="L62" s="231">
        <f t="shared" ref="L62:L73" si="33">L11+P11+T11+L28+P28+T28+L45+P45</f>
        <v>-3703.3024930970105</v>
      </c>
    </row>
    <row r="63" spans="1:17">
      <c r="H63" s="283">
        <f t="shared" si="30"/>
        <v>44958</v>
      </c>
      <c r="J63" s="231">
        <f t="shared" si="31"/>
        <v>1973138.8475460003</v>
      </c>
      <c r="K63" s="231">
        <f t="shared" si="32"/>
        <v>1869678.1625856897</v>
      </c>
      <c r="L63" s="231">
        <f t="shared" si="33"/>
        <v>-103460.68496031029</v>
      </c>
    </row>
    <row r="64" spans="1:17">
      <c r="H64" s="283">
        <f t="shared" si="30"/>
        <v>44986</v>
      </c>
      <c r="J64" s="231">
        <f t="shared" si="31"/>
        <v>2032782.188172</v>
      </c>
      <c r="K64" s="231">
        <f t="shared" si="32"/>
        <v>1938398.8045334332</v>
      </c>
      <c r="L64" s="231">
        <f t="shared" si="33"/>
        <v>-94383.383638566927</v>
      </c>
    </row>
    <row r="65" spans="8:12">
      <c r="H65" s="283">
        <f t="shared" si="30"/>
        <v>45017</v>
      </c>
      <c r="J65" s="231">
        <f t="shared" si="31"/>
        <v>1845417.0710659998</v>
      </c>
      <c r="K65" s="231">
        <f t="shared" si="32"/>
        <v>1759860.5090375894</v>
      </c>
      <c r="L65" s="231">
        <f t="shared" si="33"/>
        <v>-85556.562028410393</v>
      </c>
    </row>
    <row r="66" spans="8:12">
      <c r="H66" s="283">
        <f t="shared" si="30"/>
        <v>45047</v>
      </c>
      <c r="J66" s="231">
        <f t="shared" si="31"/>
        <v>1512234.0547779999</v>
      </c>
      <c r="K66" s="231">
        <f t="shared" si="32"/>
        <v>1488857.063431775</v>
      </c>
      <c r="L66" s="231">
        <f t="shared" si="33"/>
        <v>-23376.991346225142</v>
      </c>
    </row>
    <row r="67" spans="8:12">
      <c r="H67" s="283">
        <f t="shared" si="30"/>
        <v>45078</v>
      </c>
      <c r="J67" s="231">
        <f t="shared" si="31"/>
        <v>1485588.3855539998</v>
      </c>
      <c r="K67" s="231">
        <f t="shared" si="32"/>
        <v>1503122.2225804201</v>
      </c>
      <c r="L67" s="231">
        <f t="shared" si="33"/>
        <v>17533.837026420148</v>
      </c>
    </row>
    <row r="68" spans="8:12">
      <c r="H68" s="283">
        <f t="shared" si="30"/>
        <v>45108</v>
      </c>
      <c r="J68" s="231">
        <f t="shared" si="31"/>
        <v>1488268.630595</v>
      </c>
      <c r="K68" s="231">
        <f t="shared" si="32"/>
        <v>1491631.9136581172</v>
      </c>
      <c r="L68" s="231">
        <f t="shared" si="33"/>
        <v>3363.2830631174584</v>
      </c>
    </row>
    <row r="69" spans="8:12">
      <c r="H69" s="283">
        <f t="shared" si="30"/>
        <v>45139</v>
      </c>
      <c r="J69" s="231">
        <f t="shared" si="31"/>
        <v>1614301.4752529999</v>
      </c>
      <c r="K69" s="231">
        <f t="shared" si="32"/>
        <v>1584957.3742565159</v>
      </c>
      <c r="L69" s="231">
        <f t="shared" si="33"/>
        <v>-29344.100996484125</v>
      </c>
    </row>
    <row r="70" spans="8:12">
      <c r="H70" s="283">
        <f t="shared" si="30"/>
        <v>45170</v>
      </c>
      <c r="J70" s="231">
        <f t="shared" si="31"/>
        <v>1530303.2110169998</v>
      </c>
      <c r="K70" s="231">
        <f t="shared" si="32"/>
        <v>1568917.6267212951</v>
      </c>
      <c r="L70" s="231">
        <f t="shared" si="33"/>
        <v>38614.415704295257</v>
      </c>
    </row>
    <row r="71" spans="8:12">
      <c r="H71" s="283">
        <f t="shared" si="30"/>
        <v>45200</v>
      </c>
      <c r="J71" s="231">
        <f t="shared" si="31"/>
        <v>1423349.8488050003</v>
      </c>
      <c r="K71" s="231">
        <f t="shared" si="32"/>
        <v>1519202.9345242842</v>
      </c>
      <c r="L71" s="231">
        <f t="shared" si="33"/>
        <v>95853.08571928399</v>
      </c>
    </row>
    <row r="72" spans="8:12">
      <c r="H72" s="283">
        <f t="shared" si="30"/>
        <v>45231</v>
      </c>
      <c r="J72" s="231">
        <f t="shared" si="31"/>
        <v>1641080.2137410003</v>
      </c>
      <c r="K72" s="231">
        <f t="shared" si="32"/>
        <v>1710737.9689876586</v>
      </c>
      <c r="L72" s="231">
        <f t="shared" si="33"/>
        <v>69657.755246658809</v>
      </c>
    </row>
    <row r="73" spans="8:12">
      <c r="H73" s="287">
        <f t="shared" si="30"/>
        <v>45261</v>
      </c>
      <c r="J73" s="288">
        <f t="shared" si="31"/>
        <v>2010952.7934320001</v>
      </c>
      <c r="K73" s="288">
        <f t="shared" si="32"/>
        <v>2268942.6799585684</v>
      </c>
      <c r="L73" s="288">
        <f t="shared" si="33"/>
        <v>257989.88652656894</v>
      </c>
    </row>
    <row r="74" spans="8:12">
      <c r="H74" s="283" t="s">
        <v>20</v>
      </c>
      <c r="J74" s="289">
        <f>SUM(J62:J73)</f>
        <v>20724642.238993</v>
      </c>
      <c r="K74" s="289">
        <f t="shared" ref="K74:L74" si="34">SUM(K62:K73)</f>
        <v>20867829.476816248</v>
      </c>
      <c r="L74" s="289">
        <f t="shared" si="34"/>
        <v>143187.23782325076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91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workbookViewId="0">
      <selection activeCell="E44" sqref="E44"/>
    </sheetView>
  </sheetViews>
  <sheetFormatPr defaultColWidth="14.7109375" defaultRowHeight="11.25"/>
  <cols>
    <col min="1" max="1" width="34.28515625" style="1" bestFit="1" customWidth="1"/>
    <col min="2" max="2" width="10.7109375" style="1" bestFit="1" customWidth="1"/>
    <col min="3" max="3" width="10.7109375" style="1" customWidth="1"/>
    <col min="4" max="4" width="10.7109375" style="1" bestFit="1" customWidth="1"/>
    <col min="5" max="5" width="11.28515625" style="1" bestFit="1" customWidth="1"/>
    <col min="6" max="8" width="10.42578125" style="1" bestFit="1" customWidth="1"/>
    <col min="9" max="9" width="9.85546875" style="1" bestFit="1" customWidth="1"/>
    <col min="10" max="10" width="9.42578125" style="1" bestFit="1" customWidth="1"/>
    <col min="11" max="11" width="10.42578125" style="1" bestFit="1" customWidth="1"/>
    <col min="12" max="14" width="9.85546875" style="1" bestFit="1" customWidth="1"/>
    <col min="15" max="15" width="10.7109375" style="1" bestFit="1" customWidth="1"/>
    <col min="16" max="17" width="14.7109375" style="1"/>
    <col min="18" max="18" width="33" style="1" bestFit="1" customWidth="1"/>
    <col min="19" max="16384" width="14.7109375" style="1"/>
  </cols>
  <sheetData>
    <row r="1" spans="1:15" s="39" customFormat="1">
      <c r="A1" s="37" t="s">
        <v>105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39" customFormat="1">
      <c r="A2" s="37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39" customFormat="1">
      <c r="A3" s="37" t="s">
        <v>169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39" customFormat="1">
      <c r="A4" s="40"/>
      <c r="B4" s="41"/>
      <c r="C4" s="47" t="s">
        <v>172</v>
      </c>
      <c r="D4" s="47" t="s">
        <v>173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s="44" customFormat="1" ht="12" thickBot="1">
      <c r="A5" s="42"/>
      <c r="B5" s="42" t="s">
        <v>20</v>
      </c>
      <c r="C5" s="43">
        <f>D5</f>
        <v>44927</v>
      </c>
      <c r="D5" s="43">
        <f t="array" ref="D5:O5">TRANSPOSE(Summary!B12:B23)</f>
        <v>44927</v>
      </c>
      <c r="E5" s="43">
        <v>44958</v>
      </c>
      <c r="F5" s="43">
        <v>44986</v>
      </c>
      <c r="G5" s="43">
        <v>45017</v>
      </c>
      <c r="H5" s="43">
        <v>45047</v>
      </c>
      <c r="I5" s="43">
        <v>45078</v>
      </c>
      <c r="J5" s="43">
        <v>45108</v>
      </c>
      <c r="K5" s="43">
        <v>45139</v>
      </c>
      <c r="L5" s="43">
        <v>45170</v>
      </c>
      <c r="M5" s="43">
        <v>45200</v>
      </c>
      <c r="N5" s="43">
        <v>45231</v>
      </c>
      <c r="O5" s="43">
        <v>45261</v>
      </c>
    </row>
    <row r="6" spans="1:15">
      <c r="A6" s="5"/>
      <c r="B6" s="6"/>
      <c r="C6" s="4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>
      <c r="A8" s="11" t="s">
        <v>1</v>
      </c>
      <c r="B8" s="12">
        <f>SUM(C8:O8)</f>
        <v>9048471</v>
      </c>
      <c r="C8" s="12">
        <f t="shared" ref="C8" si="0">ROUND(+C20*C31,0)</f>
        <v>-49701</v>
      </c>
      <c r="D8" s="12">
        <f t="shared" ref="D8:O8" si="1">ROUND(+D20*D31,0)</f>
        <v>-114974</v>
      </c>
      <c r="E8" s="12">
        <f t="shared" si="1"/>
        <v>-4302774</v>
      </c>
      <c r="F8" s="12">
        <f t="shared" si="1"/>
        <v>-3937411</v>
      </c>
      <c r="G8" s="12">
        <f t="shared" si="1"/>
        <v>-3444590</v>
      </c>
      <c r="H8" s="12">
        <f t="shared" si="1"/>
        <v>-781241</v>
      </c>
      <c r="I8" s="12">
        <f t="shared" si="1"/>
        <v>598791</v>
      </c>
      <c r="J8" s="12">
        <f t="shared" si="1"/>
        <v>149394</v>
      </c>
      <c r="K8" s="12">
        <f t="shared" si="1"/>
        <v>-1112889</v>
      </c>
      <c r="L8" s="12">
        <f t="shared" si="1"/>
        <v>1674025</v>
      </c>
      <c r="M8" s="12">
        <f t="shared" si="1"/>
        <v>4776575</v>
      </c>
      <c r="N8" s="12">
        <f t="shared" si="1"/>
        <v>3871905</v>
      </c>
      <c r="O8" s="13">
        <f t="shared" si="1"/>
        <v>11721361</v>
      </c>
    </row>
    <row r="9" spans="1:15">
      <c r="A9" s="14" t="s">
        <v>123</v>
      </c>
      <c r="B9" s="12">
        <f t="shared" ref="B9:B14" si="2">SUM(C9:O9)</f>
        <v>-842087</v>
      </c>
      <c r="C9" s="12">
        <f t="shared" ref="C9" si="3">ROUND(+C21*C32,0)</f>
        <v>-1392</v>
      </c>
      <c r="D9" s="12">
        <f t="shared" ref="D9:O9" si="4">ROUND(+D21*D32,0)</f>
        <v>-3056</v>
      </c>
      <c r="E9" s="12">
        <f t="shared" si="4"/>
        <v>-286378</v>
      </c>
      <c r="F9" s="12">
        <f t="shared" si="4"/>
        <v>-256120</v>
      </c>
      <c r="G9" s="12">
        <f t="shared" si="4"/>
        <v>-284894</v>
      </c>
      <c r="H9" s="12">
        <f t="shared" si="4"/>
        <v>-104851</v>
      </c>
      <c r="I9" s="12">
        <f t="shared" si="4"/>
        <v>79601</v>
      </c>
      <c r="J9" s="12">
        <f t="shared" si="4"/>
        <v>4261</v>
      </c>
      <c r="K9" s="12">
        <f t="shared" si="4"/>
        <v>-97445</v>
      </c>
      <c r="L9" s="12">
        <f t="shared" si="4"/>
        <v>61600</v>
      </c>
      <c r="M9" s="12">
        <f t="shared" si="4"/>
        <v>-58106</v>
      </c>
      <c r="N9" s="12">
        <f t="shared" si="4"/>
        <v>-199764</v>
      </c>
      <c r="O9" s="13">
        <f t="shared" si="4"/>
        <v>304457</v>
      </c>
    </row>
    <row r="10" spans="1:15">
      <c r="A10" s="14" t="s">
        <v>126</v>
      </c>
      <c r="B10" s="12">
        <f t="shared" si="2"/>
        <v>-720192</v>
      </c>
      <c r="C10" s="12">
        <f t="shared" ref="C10" si="5">ROUND(+C22*C33,0)</f>
        <v>-1095</v>
      </c>
      <c r="D10" s="12">
        <f t="shared" ref="D10:O10" si="6">ROUND(+D22*D33,0)</f>
        <v>-2481</v>
      </c>
      <c r="E10" s="12">
        <f t="shared" si="6"/>
        <v>-233249</v>
      </c>
      <c r="F10" s="12">
        <f t="shared" si="6"/>
        <v>-209250</v>
      </c>
      <c r="G10" s="12">
        <f t="shared" si="6"/>
        <v>-234035</v>
      </c>
      <c r="H10" s="12">
        <f t="shared" si="6"/>
        <v>-134838</v>
      </c>
      <c r="I10" s="12">
        <f t="shared" si="6"/>
        <v>90400</v>
      </c>
      <c r="J10" s="12">
        <f t="shared" si="6"/>
        <v>4867</v>
      </c>
      <c r="K10" s="12">
        <f t="shared" si="6"/>
        <v>-111343</v>
      </c>
      <c r="L10" s="12">
        <f t="shared" si="6"/>
        <v>70760</v>
      </c>
      <c r="M10" s="12">
        <f t="shared" si="6"/>
        <v>-48572</v>
      </c>
      <c r="N10" s="12">
        <f t="shared" si="6"/>
        <v>-167157</v>
      </c>
      <c r="O10" s="13">
        <f t="shared" si="6"/>
        <v>255801</v>
      </c>
    </row>
    <row r="11" spans="1:15">
      <c r="A11" s="14" t="s">
        <v>124</v>
      </c>
      <c r="B11" s="12">
        <f t="shared" si="2"/>
        <v>-260884</v>
      </c>
      <c r="C11" s="12">
        <f t="shared" ref="C11" si="7">ROUND(+C23*C34,0)</f>
        <v>-301</v>
      </c>
      <c r="D11" s="12">
        <f t="shared" ref="D11:O11" si="8">ROUND(+D23*D34,0)</f>
        <v>-756</v>
      </c>
      <c r="E11" s="12">
        <f t="shared" si="8"/>
        <v>-71454</v>
      </c>
      <c r="F11" s="12">
        <f t="shared" si="8"/>
        <v>-64077</v>
      </c>
      <c r="G11" s="12">
        <f t="shared" si="8"/>
        <v>-72152</v>
      </c>
      <c r="H11" s="12">
        <f t="shared" si="8"/>
        <v>-99187</v>
      </c>
      <c r="I11" s="12">
        <f t="shared" si="8"/>
        <v>57604</v>
      </c>
      <c r="J11" s="12">
        <f t="shared" si="8"/>
        <v>3099</v>
      </c>
      <c r="K11" s="12">
        <f t="shared" si="8"/>
        <v>-71387</v>
      </c>
      <c r="L11" s="12">
        <f t="shared" si="8"/>
        <v>45601</v>
      </c>
      <c r="M11" s="12">
        <f t="shared" si="8"/>
        <v>-15266</v>
      </c>
      <c r="N11" s="12">
        <f t="shared" si="8"/>
        <v>-52717</v>
      </c>
      <c r="O11" s="13">
        <f t="shared" si="8"/>
        <v>80109</v>
      </c>
    </row>
    <row r="12" spans="1:15">
      <c r="A12" s="14" t="s">
        <v>125</v>
      </c>
      <c r="B12" s="12">
        <f t="shared" si="2"/>
        <v>-198094</v>
      </c>
      <c r="C12" s="12">
        <f t="shared" ref="C12:O12" si="9">ROUND(+C24*C35,0)</f>
        <v>-297</v>
      </c>
      <c r="D12" s="12">
        <f t="shared" si="9"/>
        <v>-705</v>
      </c>
      <c r="E12" s="12">
        <f t="shared" si="9"/>
        <v>-65754</v>
      </c>
      <c r="F12" s="12">
        <f t="shared" si="9"/>
        <v>-58985</v>
      </c>
      <c r="G12" s="12">
        <f t="shared" si="9"/>
        <v>-65547</v>
      </c>
      <c r="H12" s="12">
        <f t="shared" si="9"/>
        <v>-30688</v>
      </c>
      <c r="I12" s="12">
        <f t="shared" si="9"/>
        <v>21514</v>
      </c>
      <c r="J12" s="12">
        <f t="shared" si="9"/>
        <v>1158</v>
      </c>
      <c r="K12" s="12">
        <f t="shared" si="9"/>
        <v>-26473</v>
      </c>
      <c r="L12" s="12">
        <f t="shared" si="9"/>
        <v>16810</v>
      </c>
      <c r="M12" s="12">
        <f t="shared" si="9"/>
        <v>-13439</v>
      </c>
      <c r="N12" s="12">
        <f t="shared" si="9"/>
        <v>-45777</v>
      </c>
      <c r="O12" s="13">
        <f t="shared" si="9"/>
        <v>70089</v>
      </c>
    </row>
    <row r="13" spans="1:15">
      <c r="A13" s="11" t="s">
        <v>8</v>
      </c>
      <c r="B13" s="12">
        <f t="shared" si="2"/>
        <v>-84675</v>
      </c>
      <c r="C13" s="12">
        <f t="shared" ref="C13:O13" si="10">ROUND(+C25*C36,0)</f>
        <v>172</v>
      </c>
      <c r="D13" s="12">
        <f t="shared" si="10"/>
        <v>494</v>
      </c>
      <c r="E13" s="12">
        <f t="shared" si="10"/>
        <v>-45027</v>
      </c>
      <c r="F13" s="12">
        <f t="shared" si="10"/>
        <v>-39821</v>
      </c>
      <c r="G13" s="12">
        <f t="shared" si="10"/>
        <v>-37244</v>
      </c>
      <c r="H13" s="12">
        <f t="shared" si="10"/>
        <v>12444</v>
      </c>
      <c r="I13" s="12">
        <f t="shared" si="10"/>
        <v>3566</v>
      </c>
      <c r="J13" s="12">
        <f t="shared" si="10"/>
        <v>191</v>
      </c>
      <c r="K13" s="12">
        <f t="shared" si="10"/>
        <v>-4362</v>
      </c>
      <c r="L13" s="12">
        <f t="shared" si="10"/>
        <v>2759</v>
      </c>
      <c r="M13" s="12">
        <f t="shared" si="10"/>
        <v>-365</v>
      </c>
      <c r="N13" s="12">
        <f t="shared" si="10"/>
        <v>-31305</v>
      </c>
      <c r="O13" s="13">
        <f t="shared" si="10"/>
        <v>53823</v>
      </c>
    </row>
    <row r="14" spans="1:15">
      <c r="A14" s="14" t="s">
        <v>9</v>
      </c>
      <c r="B14" s="12">
        <f t="shared" si="2"/>
        <v>-3930</v>
      </c>
      <c r="C14" s="12">
        <f t="shared" ref="C14:O14" si="11">ROUND(+C26*C37,0)</f>
        <v>-8</v>
      </c>
      <c r="D14" s="12">
        <f t="shared" si="11"/>
        <v>-16</v>
      </c>
      <c r="E14" s="12">
        <f t="shared" si="11"/>
        <v>-1535</v>
      </c>
      <c r="F14" s="12">
        <f t="shared" si="11"/>
        <v>-1372</v>
      </c>
      <c r="G14" s="12">
        <f t="shared" si="11"/>
        <v>-1524</v>
      </c>
      <c r="H14" s="12">
        <f t="shared" si="11"/>
        <v>278</v>
      </c>
      <c r="I14" s="12">
        <f t="shared" si="11"/>
        <v>0</v>
      </c>
      <c r="J14" s="12">
        <f t="shared" si="11"/>
        <v>0</v>
      </c>
      <c r="K14" s="12">
        <f t="shared" si="11"/>
        <v>0</v>
      </c>
      <c r="L14" s="12">
        <f t="shared" si="11"/>
        <v>0</v>
      </c>
      <c r="M14" s="12">
        <f t="shared" si="11"/>
        <v>-310</v>
      </c>
      <c r="N14" s="12">
        <f t="shared" si="11"/>
        <v>-1064</v>
      </c>
      <c r="O14" s="13">
        <f t="shared" si="11"/>
        <v>1621</v>
      </c>
    </row>
    <row r="15" spans="1:15">
      <c r="A15" s="8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>
      <c r="A16" s="8" t="s">
        <v>10</v>
      </c>
      <c r="B16" s="12">
        <f t="shared" ref="B16:O16" si="12">SUM(B8:B15)</f>
        <v>6938609</v>
      </c>
      <c r="C16" s="12">
        <f>SUM(C8:C15)</f>
        <v>-52622</v>
      </c>
      <c r="D16" s="12">
        <f>SUM(D8:D15)</f>
        <v>-121494</v>
      </c>
      <c r="E16" s="12">
        <f t="shared" si="12"/>
        <v>-5006171</v>
      </c>
      <c r="F16" s="12">
        <f t="shared" si="12"/>
        <v>-4567036</v>
      </c>
      <c r="G16" s="12">
        <f t="shared" si="12"/>
        <v>-4139986</v>
      </c>
      <c r="H16" s="12">
        <f t="shared" si="12"/>
        <v>-1138083</v>
      </c>
      <c r="I16" s="12">
        <f t="shared" si="12"/>
        <v>851476</v>
      </c>
      <c r="J16" s="12">
        <f t="shared" si="12"/>
        <v>162970</v>
      </c>
      <c r="K16" s="12">
        <f t="shared" si="12"/>
        <v>-1423899</v>
      </c>
      <c r="L16" s="12">
        <f t="shared" si="12"/>
        <v>1871555</v>
      </c>
      <c r="M16" s="12">
        <f t="shared" si="12"/>
        <v>4640517</v>
      </c>
      <c r="N16" s="12">
        <f t="shared" si="12"/>
        <v>3374121</v>
      </c>
      <c r="O16" s="13">
        <f t="shared" si="12"/>
        <v>12487261</v>
      </c>
    </row>
    <row r="17" spans="1:15" ht="12" thickBot="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1:15" s="4" customFormat="1">
      <c r="A18" s="18"/>
      <c r="B18" s="19"/>
      <c r="C18" s="4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</row>
    <row r="19" spans="1:15">
      <c r="A19" s="22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>
      <c r="A20" s="11" t="s">
        <v>1</v>
      </c>
      <c r="B20" s="23">
        <f>SUM(C20:O20)</f>
        <v>186793555.42884922</v>
      </c>
      <c r="C20" s="318">
        <f>'Temp Adj. by Schedule'!B9*10/31</f>
        <v>-1130860.9304299131</v>
      </c>
      <c r="D20" s="318">
        <f>'Temp Adj. by Schedule'!B9*21/31</f>
        <v>-2374807.9539028173</v>
      </c>
      <c r="E20" s="318">
        <f>'Temp Adj. by Schedule'!C9</f>
        <v>-88874573.833497167</v>
      </c>
      <c r="F20" s="318">
        <f>'Temp Adj. by Schedule'!D9</f>
        <v>-81327946.277374983</v>
      </c>
      <c r="G20" s="318">
        <f>'Temp Adj. by Schedule'!E9</f>
        <v>-71148638.044600859</v>
      </c>
      <c r="H20" s="318">
        <f>'Temp Adj. by Schedule'!F9</f>
        <v>-16136674.78955166</v>
      </c>
      <c r="I20" s="318">
        <f>'Temp Adj. by Schedule'!G9</f>
        <v>12368147.462381642</v>
      </c>
      <c r="J20" s="318">
        <f>'Temp Adj. by Schedule'!H9</f>
        <v>3085764.9283731608</v>
      </c>
      <c r="K20" s="318">
        <f>'Temp Adj. by Schedule'!I9</f>
        <v>-22986926.131784238</v>
      </c>
      <c r="L20" s="318">
        <f>'Temp Adj. by Schedule'!J9</f>
        <v>34577298.015643544</v>
      </c>
      <c r="M20" s="318">
        <f>'Temp Adj. by Schedule'!K9</f>
        <v>98661029.109609261</v>
      </c>
      <c r="N20" s="318">
        <f>'Temp Adj. by Schedule'!L9</f>
        <v>79974899.39521575</v>
      </c>
      <c r="O20" s="319">
        <f>'Temp Adj. by Schedule'!M9</f>
        <v>242106844.47876751</v>
      </c>
    </row>
    <row r="21" spans="1:15">
      <c r="A21" s="14" t="s">
        <v>123</v>
      </c>
      <c r="B21" s="23">
        <f t="shared" ref="B21:B26" si="13">SUM(C21:O21)</f>
        <v>-17608651.587222561</v>
      </c>
      <c r="C21" s="318">
        <f>'Temp Adj. by Schedule'!B13*10/31</f>
        <v>-30431.742369141077</v>
      </c>
      <c r="D21" s="318">
        <f>'Temp Adj. by Schedule'!B13*21/31</f>
        <v>-63906.658975196267</v>
      </c>
      <c r="E21" s="318">
        <f>'Temp Adj. by Schedule'!C13</f>
        <v>-5987916.7473781221</v>
      </c>
      <c r="F21" s="318">
        <f>'Temp Adj. by Schedule'!D13</f>
        <v>-5355237.8693619492</v>
      </c>
      <c r="G21" s="318">
        <f>'Temp Adj. by Schedule'!E13</f>
        <v>-5956895.7067191685</v>
      </c>
      <c r="H21" s="318">
        <f>'Temp Adj. by Schedule'!F13</f>
        <v>-2192338.6276594591</v>
      </c>
      <c r="I21" s="318">
        <f>'Temp Adj. by Schedule'!G13</f>
        <v>1664382.5768794999</v>
      </c>
      <c r="J21" s="318">
        <f>'Temp Adj. by Schedule'!H13</f>
        <v>89085.182248104742</v>
      </c>
      <c r="K21" s="318">
        <f>'Temp Adj. by Schedule'!I13</f>
        <v>-2037493.0343666447</v>
      </c>
      <c r="L21" s="318">
        <f>'Temp Adj. by Schedule'!J13</f>
        <v>1288006.4996351646</v>
      </c>
      <c r="M21" s="318">
        <f>'Temp Adj. by Schedule'!K13</f>
        <v>-1214936.9559025979</v>
      </c>
      <c r="N21" s="318">
        <f>'Temp Adj. by Schedule'!L13</f>
        <v>-4176897.5614303495</v>
      </c>
      <c r="O21" s="319">
        <f>'Temp Adj. by Schedule'!M13</f>
        <v>6365929.0581773017</v>
      </c>
    </row>
    <row r="22" spans="1:15">
      <c r="A22" s="14" t="s">
        <v>126</v>
      </c>
      <c r="B22" s="23">
        <f t="shared" si="13"/>
        <v>-14843757.532937866</v>
      </c>
      <c r="C22" s="318">
        <f>'Temp Adj. by Schedule'!B17*10/31</f>
        <v>-24344.216149355871</v>
      </c>
      <c r="D22" s="318">
        <f>'Temp Adj. by Schedule'!B17*21/31</f>
        <v>-51122.853913647326</v>
      </c>
      <c r="E22" s="318">
        <f>'Temp Adj. by Schedule'!C17</f>
        <v>-4806870.1248479905</v>
      </c>
      <c r="F22" s="318">
        <f>'Temp Adj. by Schedule'!D17</f>
        <v>-4312303.2088859985</v>
      </c>
      <c r="G22" s="318">
        <f>'Temp Adj. by Schedule'!E17</f>
        <v>-4823075.5707712509</v>
      </c>
      <c r="H22" s="318">
        <f>'Temp Adj. by Schedule'!F17</f>
        <v>-2778793.3224332095</v>
      </c>
      <c r="I22" s="318">
        <f>'Temp Adj. by Schedule'!G17</f>
        <v>1862985.6476140001</v>
      </c>
      <c r="J22" s="318">
        <f>'Temp Adj. by Schedule'!H17</f>
        <v>100298.30693164388</v>
      </c>
      <c r="K22" s="318">
        <f>'Temp Adj. by Schedule'!I17</f>
        <v>-2294601.0959999748</v>
      </c>
      <c r="L22" s="318">
        <f>'Temp Adj. by Schedule'!J17</f>
        <v>1458252.2017506645</v>
      </c>
      <c r="M22" s="318">
        <f>'Temp Adj. by Schedule'!K17</f>
        <v>-1000997.0522284979</v>
      </c>
      <c r="N22" s="318">
        <f>'Temp Adj. by Schedule'!L17</f>
        <v>-3444833.1737654991</v>
      </c>
      <c r="O22" s="319">
        <f>'Temp Adj. by Schedule'!M17</f>
        <v>5271646.9297612505</v>
      </c>
    </row>
    <row r="23" spans="1:15">
      <c r="A23" s="14" t="s">
        <v>124</v>
      </c>
      <c r="B23" s="23">
        <f t="shared" si="13"/>
        <v>-5004766.4042158304</v>
      </c>
      <c r="C23" s="318">
        <f>'Temp Adj. by Schedule'!B21*10/31</f>
        <v>-6906.3665689250238</v>
      </c>
      <c r="D23" s="318">
        <f>'Temp Adj. by Schedule'!B21*21/31</f>
        <v>-14503.36979474255</v>
      </c>
      <c r="E23" s="318">
        <f>'Temp Adj. by Schedule'!C21</f>
        <v>-1370452.2810586642</v>
      </c>
      <c r="F23" s="318">
        <f>'Temp Adj. by Schedule'!D21</f>
        <v>-1228973.9223804998</v>
      </c>
      <c r="G23" s="318">
        <f>'Temp Adj. by Schedule'!E21</f>
        <v>-1383838.8686663336</v>
      </c>
      <c r="H23" s="318">
        <f>'Temp Adj. by Schedule'!F21</f>
        <v>-1902351.7926616673</v>
      </c>
      <c r="I23" s="318">
        <f>'Temp Adj. by Schedule'!G21</f>
        <v>1104816.6021699999</v>
      </c>
      <c r="J23" s="318">
        <f>'Temp Adj. by Schedule'!H21</f>
        <v>59438.321949986486</v>
      </c>
      <c r="K23" s="318">
        <f>'Temp Adj. by Schedule'!I21</f>
        <v>-1369164.7659999852</v>
      </c>
      <c r="L23" s="318">
        <f>'Temp Adj. by Schedule'!J21</f>
        <v>874596.08961999859</v>
      </c>
      <c r="M23" s="318">
        <f>'Temp Adj. by Schedule'!K21</f>
        <v>-292792.32119149942</v>
      </c>
      <c r="N23" s="318">
        <f>'Temp Adj. by Schedule'!L21</f>
        <v>-1011078.9247755</v>
      </c>
      <c r="O23" s="319">
        <f>'Temp Adj. by Schedule'!M21</f>
        <v>1536445.1951420002</v>
      </c>
    </row>
    <row r="24" spans="1:15">
      <c r="A24" s="14" t="s">
        <v>125</v>
      </c>
      <c r="B24" s="23">
        <f t="shared" si="13"/>
        <v>-4186910.2181539983</v>
      </c>
      <c r="C24" s="318">
        <f>'Temp Adj. by Schedule'!B25*10/31</f>
        <v>-7091.0187224734182</v>
      </c>
      <c r="D24" s="318">
        <f>'Temp Adj. by Schedule'!B25*21/31</f>
        <v>-14891.139317194178</v>
      </c>
      <c r="E24" s="318">
        <f>'Temp Adj. by Schedule'!C25</f>
        <v>-1389511.6803919973</v>
      </c>
      <c r="F24" s="318">
        <f>'Temp Adj. by Schedule'!D25</f>
        <v>-1246465.0427957498</v>
      </c>
      <c r="G24" s="318">
        <f>'Temp Adj. by Schedule'!E25</f>
        <v>-1385131.5629878335</v>
      </c>
      <c r="H24" s="318">
        <f>'Temp Adj. by Schedule'!F25</f>
        <v>-648499.49741500022</v>
      </c>
      <c r="I24" s="318">
        <f>'Temp Adj. by Schedule'!G25</f>
        <v>454621.77500250004</v>
      </c>
      <c r="J24" s="318">
        <f>'Temp Adj. by Schedule'!H25</f>
        <v>24474.758349994434</v>
      </c>
      <c r="K24" s="318">
        <f>'Temp Adj. by Schedule'!I25</f>
        <v>-559423.0479999939</v>
      </c>
      <c r="L24" s="318">
        <f>'Temp Adj. by Schedule'!J25</f>
        <v>355231.12553499942</v>
      </c>
      <c r="M24" s="318">
        <f>'Temp Adj. by Schedule'!K25</f>
        <v>-283986.84828249941</v>
      </c>
      <c r="N24" s="318">
        <f>'Temp Adj. by Schedule'!L25</f>
        <v>-967342.75698974973</v>
      </c>
      <c r="O24" s="319">
        <f>'Temp Adj. by Schedule'!M25</f>
        <v>1481104.7178610002</v>
      </c>
    </row>
    <row r="25" spans="1:15">
      <c r="A25" s="11" t="s">
        <v>8</v>
      </c>
      <c r="B25" s="23">
        <f t="shared" si="13"/>
        <v>-1871524.5574263318</v>
      </c>
      <c r="C25" s="318">
        <f>'Temp Adj. by Schedule'!B27*10/31</f>
        <v>5200.6373620430759</v>
      </c>
      <c r="D25" s="318">
        <f>'Temp Adj. by Schedule'!B27*21/31</f>
        <v>10921.338460290459</v>
      </c>
      <c r="E25" s="318">
        <f>'Temp Adj. by Schedule'!C27</f>
        <v>-995945.85544025037</v>
      </c>
      <c r="F25" s="318">
        <f>'Temp Adj. by Schedule'!D27</f>
        <v>-880804.36589383334</v>
      </c>
      <c r="G25" s="318">
        <f>'Temp Adj. by Schedule'!E27</f>
        <v>-823808.00086108374</v>
      </c>
      <c r="H25" s="318">
        <f>'Temp Adj. by Schedule'!F27</f>
        <v>275256.90394583321</v>
      </c>
      <c r="I25" s="318">
        <f>'Temp Adj. by Schedule'!G27</f>
        <v>78882.962372499984</v>
      </c>
      <c r="J25" s="318">
        <f>'Temp Adj. by Schedule'!H27</f>
        <v>4221.5652645823729</v>
      </c>
      <c r="K25" s="318">
        <f>'Temp Adj. by Schedule'!I27</f>
        <v>-96492.920333332295</v>
      </c>
      <c r="L25" s="318">
        <f>'Temp Adj. by Schedule'!J27</f>
        <v>61031.772110833241</v>
      </c>
      <c r="M25" s="318">
        <f>'Temp Adj. by Schedule'!K27</f>
        <v>-8070.7323720859404</v>
      </c>
      <c r="N25" s="318">
        <f>'Temp Adj. by Schedule'!L27</f>
        <v>-692426.85999391403</v>
      </c>
      <c r="O25" s="319">
        <f>'Temp Adj. by Schedule'!M27</f>
        <v>1190508.9979520857</v>
      </c>
    </row>
    <row r="26" spans="1:15">
      <c r="A26" s="14" t="s">
        <v>9</v>
      </c>
      <c r="B26" s="23">
        <f t="shared" si="13"/>
        <v>-90707.305641999934</v>
      </c>
      <c r="C26" s="318">
        <f>'Temp Adj. by Schedule'!B28*10/31</f>
        <v>-180.07057290323345</v>
      </c>
      <c r="D26" s="318">
        <f>'Temp Adj. by Schedule'!B28*21/31</f>
        <v>-378.14820309679027</v>
      </c>
      <c r="E26" s="318">
        <f>'Temp Adj. by Schedule'!C28</f>
        <v>-35414.437695999935</v>
      </c>
      <c r="F26" s="318">
        <f>'Temp Adj. by Schedule'!D28</f>
        <v>-31652.951873999995</v>
      </c>
      <c r="G26" s="318">
        <f>'Temp Adj. by Schedule'!E28</f>
        <v>-35174.273804000011</v>
      </c>
      <c r="H26" s="318">
        <f>'Temp Adj. by Schedule'!F28</f>
        <v>6409.7795499999984</v>
      </c>
      <c r="I26" s="318">
        <f>'Temp Adj. by Schedule'!G28</f>
        <v>0</v>
      </c>
      <c r="J26" s="318">
        <f>'Temp Adj. by Schedule'!H28</f>
        <v>0</v>
      </c>
      <c r="K26" s="318">
        <f>'Temp Adj. by Schedule'!I28</f>
        <v>0</v>
      </c>
      <c r="L26" s="318">
        <f>'Temp Adj. by Schedule'!J28</f>
        <v>0</v>
      </c>
      <c r="M26" s="318">
        <f>'Temp Adj. by Schedule'!K28</f>
        <v>-7159.4803479999864</v>
      </c>
      <c r="N26" s="318">
        <f>'Temp Adj. by Schedule'!L28</f>
        <v>-24564.871601999996</v>
      </c>
      <c r="O26" s="319">
        <f>'Temp Adj. by Schedule'!M28</f>
        <v>37407.14890800001</v>
      </c>
    </row>
    <row r="27" spans="1:15">
      <c r="A27" s="8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>
      <c r="A28" s="8" t="s">
        <v>10</v>
      </c>
      <c r="B28" s="23">
        <f t="shared" ref="B28" si="14">SUM(B20:B27)</f>
        <v>143187237.82325059</v>
      </c>
      <c r="C28" s="9">
        <f t="shared" ref="C28:O28" si="15">SUM(C20:C27)</f>
        <v>-1194613.7074506686</v>
      </c>
      <c r="D28" s="9">
        <f t="shared" si="15"/>
        <v>-2508688.7856464037</v>
      </c>
      <c r="E28" s="9">
        <f t="shared" si="15"/>
        <v>-103460684.96031019</v>
      </c>
      <c r="F28" s="9">
        <f t="shared" si="15"/>
        <v>-94383383.638567016</v>
      </c>
      <c r="G28" s="9">
        <f t="shared" si="15"/>
        <v>-85556562.028410524</v>
      </c>
      <c r="H28" s="9">
        <f t="shared" si="15"/>
        <v>-23376991.346225161</v>
      </c>
      <c r="I28" s="9">
        <f t="shared" si="15"/>
        <v>17533837.026420143</v>
      </c>
      <c r="J28" s="9">
        <f t="shared" si="15"/>
        <v>3363283.0631174725</v>
      </c>
      <c r="K28" s="9">
        <f t="shared" si="15"/>
        <v>-29344100.996484168</v>
      </c>
      <c r="L28" s="9">
        <f t="shared" si="15"/>
        <v>38614415.704295211</v>
      </c>
      <c r="M28" s="9">
        <f t="shared" si="15"/>
        <v>95853085.719284073</v>
      </c>
      <c r="N28" s="9">
        <f t="shared" si="15"/>
        <v>69657755.246658742</v>
      </c>
      <c r="O28" s="10">
        <f t="shared" si="15"/>
        <v>257989886.52656913</v>
      </c>
    </row>
    <row r="29" spans="1:15" s="315" customFormat="1" ht="12" thickBot="1">
      <c r="A29" s="317" t="s">
        <v>175</v>
      </c>
      <c r="B29" s="314">
        <f>B28-'Temp Adj. by Schedule'!N30</f>
        <v>0</v>
      </c>
      <c r="C29" s="314">
        <f>C28+D28-'Temp Adj. by Schedule'!B30</f>
        <v>0</v>
      </c>
      <c r="D29" s="314"/>
      <c r="E29" s="314">
        <f>E28-'Temp Adj. by Schedule'!C30</f>
        <v>0</v>
      </c>
      <c r="F29" s="314">
        <f>F28-'Temp Adj. by Schedule'!D30</f>
        <v>0</v>
      </c>
      <c r="G29" s="314">
        <f>G28-'Temp Adj. by Schedule'!E30</f>
        <v>0</v>
      </c>
      <c r="H29" s="314">
        <f>H28-'Temp Adj. by Schedule'!F30</f>
        <v>0</v>
      </c>
      <c r="I29" s="314">
        <f>I28-'Temp Adj. by Schedule'!G30</f>
        <v>0</v>
      </c>
      <c r="J29" s="314">
        <f>J28-'Temp Adj. by Schedule'!H30</f>
        <v>0</v>
      </c>
      <c r="K29" s="314">
        <f>K28-'Temp Adj. by Schedule'!I30</f>
        <v>0</v>
      </c>
      <c r="L29" s="314">
        <f>L28-'Temp Adj. by Schedule'!J30</f>
        <v>0</v>
      </c>
      <c r="M29" s="314">
        <f>M28-'Temp Adj. by Schedule'!K30</f>
        <v>0</v>
      </c>
      <c r="N29" s="314">
        <f>N28-'Temp Adj. by Schedule'!L30</f>
        <v>0</v>
      </c>
      <c r="O29" s="316">
        <f>O28-'Temp Adj. by Schedule'!M30</f>
        <v>0</v>
      </c>
    </row>
    <row r="30" spans="1:15" s="3" customFormat="1" ht="61.5" customHeight="1" thickBot="1">
      <c r="A30" s="48" t="s">
        <v>73</v>
      </c>
      <c r="B30" s="49"/>
      <c r="C30" s="50"/>
      <c r="D30" s="51" t="s">
        <v>174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1:15" s="24" customFormat="1">
      <c r="A31" s="11" t="s">
        <v>1</v>
      </c>
      <c r="B31" s="23"/>
      <c r="C31" s="57">
        <v>4.3950000000000003E-2</v>
      </c>
      <c r="D31" s="57">
        <v>4.8413999999999999E-2</v>
      </c>
      <c r="E31" s="53">
        <f>+D31</f>
        <v>4.8413999999999999E-2</v>
      </c>
      <c r="F31" s="53">
        <f t="shared" ref="F31:O31" si="16">+E31</f>
        <v>4.8413999999999999E-2</v>
      </c>
      <c r="G31" s="53">
        <f t="shared" si="16"/>
        <v>4.8413999999999999E-2</v>
      </c>
      <c r="H31" s="53">
        <f t="shared" si="16"/>
        <v>4.8413999999999999E-2</v>
      </c>
      <c r="I31" s="53">
        <f t="shared" si="16"/>
        <v>4.8413999999999999E-2</v>
      </c>
      <c r="J31" s="53">
        <f t="shared" si="16"/>
        <v>4.8413999999999999E-2</v>
      </c>
      <c r="K31" s="53">
        <f t="shared" si="16"/>
        <v>4.8413999999999999E-2</v>
      </c>
      <c r="L31" s="53">
        <f t="shared" si="16"/>
        <v>4.8413999999999999E-2</v>
      </c>
      <c r="M31" s="53">
        <f t="shared" si="16"/>
        <v>4.8413999999999999E-2</v>
      </c>
      <c r="N31" s="53">
        <f t="shared" si="16"/>
        <v>4.8413999999999999E-2</v>
      </c>
      <c r="O31" s="54">
        <f t="shared" si="16"/>
        <v>4.8413999999999999E-2</v>
      </c>
    </row>
    <row r="32" spans="1:15" s="24" customFormat="1">
      <c r="A32" s="14" t="s">
        <v>123</v>
      </c>
      <c r="B32" s="23"/>
      <c r="C32" s="58">
        <v>4.5733000000000003E-2</v>
      </c>
      <c r="D32" s="58">
        <v>4.7826E-2</v>
      </c>
      <c r="E32" s="55">
        <f t="shared" ref="E32:O37" si="17">+D32</f>
        <v>4.7826E-2</v>
      </c>
      <c r="F32" s="55">
        <f t="shared" si="17"/>
        <v>4.7826E-2</v>
      </c>
      <c r="G32" s="55">
        <f t="shared" si="17"/>
        <v>4.7826E-2</v>
      </c>
      <c r="H32" s="55">
        <f t="shared" si="17"/>
        <v>4.7826E-2</v>
      </c>
      <c r="I32" s="55">
        <f t="shared" si="17"/>
        <v>4.7826E-2</v>
      </c>
      <c r="J32" s="55">
        <f t="shared" si="17"/>
        <v>4.7826E-2</v>
      </c>
      <c r="K32" s="55">
        <f t="shared" si="17"/>
        <v>4.7826E-2</v>
      </c>
      <c r="L32" s="55">
        <f t="shared" si="17"/>
        <v>4.7826E-2</v>
      </c>
      <c r="M32" s="55">
        <f t="shared" si="17"/>
        <v>4.7826E-2</v>
      </c>
      <c r="N32" s="55">
        <f t="shared" si="17"/>
        <v>4.7826E-2</v>
      </c>
      <c r="O32" s="56">
        <f t="shared" si="17"/>
        <v>4.7826E-2</v>
      </c>
    </row>
    <row r="33" spans="1:16" s="24" customFormat="1">
      <c r="A33" s="14" t="s">
        <v>126</v>
      </c>
      <c r="B33" s="23"/>
      <c r="C33" s="58">
        <v>4.4991999999999997E-2</v>
      </c>
      <c r="D33" s="58">
        <v>4.8523999999999998E-2</v>
      </c>
      <c r="E33" s="55">
        <f t="shared" si="17"/>
        <v>4.8523999999999998E-2</v>
      </c>
      <c r="F33" s="55">
        <f t="shared" si="17"/>
        <v>4.8523999999999998E-2</v>
      </c>
      <c r="G33" s="55">
        <f t="shared" si="17"/>
        <v>4.8523999999999998E-2</v>
      </c>
      <c r="H33" s="55">
        <f t="shared" si="17"/>
        <v>4.8523999999999998E-2</v>
      </c>
      <c r="I33" s="55">
        <f t="shared" si="17"/>
        <v>4.8523999999999998E-2</v>
      </c>
      <c r="J33" s="55">
        <f t="shared" si="17"/>
        <v>4.8523999999999998E-2</v>
      </c>
      <c r="K33" s="55">
        <f t="shared" si="17"/>
        <v>4.8523999999999998E-2</v>
      </c>
      <c r="L33" s="55">
        <f t="shared" si="17"/>
        <v>4.8523999999999998E-2</v>
      </c>
      <c r="M33" s="55">
        <f t="shared" si="17"/>
        <v>4.8523999999999998E-2</v>
      </c>
      <c r="N33" s="55">
        <f t="shared" si="17"/>
        <v>4.8523999999999998E-2</v>
      </c>
      <c r="O33" s="56">
        <f t="shared" si="17"/>
        <v>4.8523999999999998E-2</v>
      </c>
    </row>
    <row r="34" spans="1:16" s="24" customFormat="1">
      <c r="A34" s="14" t="s">
        <v>124</v>
      </c>
      <c r="B34" s="23"/>
      <c r="C34" s="58">
        <v>4.3603999999999997E-2</v>
      </c>
      <c r="D34" s="58">
        <v>5.2138999999999998E-2</v>
      </c>
      <c r="E34" s="55">
        <f t="shared" si="17"/>
        <v>5.2138999999999998E-2</v>
      </c>
      <c r="F34" s="55">
        <f t="shared" si="17"/>
        <v>5.2138999999999998E-2</v>
      </c>
      <c r="G34" s="55">
        <f t="shared" si="17"/>
        <v>5.2138999999999998E-2</v>
      </c>
      <c r="H34" s="55">
        <f t="shared" si="17"/>
        <v>5.2138999999999998E-2</v>
      </c>
      <c r="I34" s="55">
        <f t="shared" si="17"/>
        <v>5.2138999999999998E-2</v>
      </c>
      <c r="J34" s="55">
        <f t="shared" si="17"/>
        <v>5.2138999999999998E-2</v>
      </c>
      <c r="K34" s="55">
        <f t="shared" si="17"/>
        <v>5.2138999999999998E-2</v>
      </c>
      <c r="L34" s="55">
        <f t="shared" si="17"/>
        <v>5.2138999999999998E-2</v>
      </c>
      <c r="M34" s="55">
        <f t="shared" si="17"/>
        <v>5.2138999999999998E-2</v>
      </c>
      <c r="N34" s="55">
        <f t="shared" si="17"/>
        <v>5.2138999999999998E-2</v>
      </c>
      <c r="O34" s="56">
        <f t="shared" si="17"/>
        <v>5.2138999999999998E-2</v>
      </c>
    </row>
    <row r="35" spans="1:16" s="24" customFormat="1">
      <c r="A35" s="14" t="s">
        <v>125</v>
      </c>
      <c r="B35" s="23"/>
      <c r="C35" s="58">
        <v>4.1952000000000003E-2</v>
      </c>
      <c r="D35" s="58">
        <v>4.7322000000000003E-2</v>
      </c>
      <c r="E35" s="55">
        <f t="shared" si="17"/>
        <v>4.7322000000000003E-2</v>
      </c>
      <c r="F35" s="55">
        <f t="shared" si="17"/>
        <v>4.7322000000000003E-2</v>
      </c>
      <c r="G35" s="55">
        <f t="shared" si="17"/>
        <v>4.7322000000000003E-2</v>
      </c>
      <c r="H35" s="55">
        <f t="shared" si="17"/>
        <v>4.7322000000000003E-2</v>
      </c>
      <c r="I35" s="55">
        <f t="shared" si="17"/>
        <v>4.7322000000000003E-2</v>
      </c>
      <c r="J35" s="55">
        <f t="shared" si="17"/>
        <v>4.7322000000000003E-2</v>
      </c>
      <c r="K35" s="55">
        <f t="shared" si="17"/>
        <v>4.7322000000000003E-2</v>
      </c>
      <c r="L35" s="55">
        <f t="shared" si="17"/>
        <v>4.7322000000000003E-2</v>
      </c>
      <c r="M35" s="55">
        <f t="shared" si="17"/>
        <v>4.7322000000000003E-2</v>
      </c>
      <c r="N35" s="55">
        <f t="shared" si="17"/>
        <v>4.7322000000000003E-2</v>
      </c>
      <c r="O35" s="56">
        <f t="shared" si="17"/>
        <v>4.7322000000000003E-2</v>
      </c>
    </row>
    <row r="36" spans="1:16" s="24" customFormat="1">
      <c r="A36" s="11" t="s">
        <v>8</v>
      </c>
      <c r="B36" s="23"/>
      <c r="C36" s="58">
        <v>3.3161000000000003E-2</v>
      </c>
      <c r="D36" s="58">
        <v>4.521E-2</v>
      </c>
      <c r="E36" s="55">
        <f t="shared" si="17"/>
        <v>4.521E-2</v>
      </c>
      <c r="F36" s="55">
        <f t="shared" si="17"/>
        <v>4.521E-2</v>
      </c>
      <c r="G36" s="55">
        <f t="shared" si="17"/>
        <v>4.521E-2</v>
      </c>
      <c r="H36" s="55">
        <f t="shared" si="17"/>
        <v>4.521E-2</v>
      </c>
      <c r="I36" s="55">
        <f t="shared" si="17"/>
        <v>4.521E-2</v>
      </c>
      <c r="J36" s="55">
        <f t="shared" si="17"/>
        <v>4.521E-2</v>
      </c>
      <c r="K36" s="55">
        <f t="shared" si="17"/>
        <v>4.521E-2</v>
      </c>
      <c r="L36" s="55">
        <f t="shared" si="17"/>
        <v>4.521E-2</v>
      </c>
      <c r="M36" s="55">
        <f t="shared" si="17"/>
        <v>4.521E-2</v>
      </c>
      <c r="N36" s="55">
        <f t="shared" si="17"/>
        <v>4.521E-2</v>
      </c>
      <c r="O36" s="56">
        <f t="shared" si="17"/>
        <v>4.521E-2</v>
      </c>
    </row>
    <row r="37" spans="1:16" s="24" customFormat="1">
      <c r="A37" s="14" t="s">
        <v>9</v>
      </c>
      <c r="B37" s="23"/>
      <c r="C37" s="58">
        <v>4.1777000000000002E-2</v>
      </c>
      <c r="D37" s="58">
        <v>4.333E-2</v>
      </c>
      <c r="E37" s="55">
        <f t="shared" si="17"/>
        <v>4.333E-2</v>
      </c>
      <c r="F37" s="55">
        <f t="shared" si="17"/>
        <v>4.333E-2</v>
      </c>
      <c r="G37" s="55">
        <f t="shared" si="17"/>
        <v>4.333E-2</v>
      </c>
      <c r="H37" s="55">
        <f t="shared" si="17"/>
        <v>4.333E-2</v>
      </c>
      <c r="I37" s="55">
        <f t="shared" si="17"/>
        <v>4.333E-2</v>
      </c>
      <c r="J37" s="55">
        <f t="shared" si="17"/>
        <v>4.333E-2</v>
      </c>
      <c r="K37" s="55">
        <f t="shared" si="17"/>
        <v>4.333E-2</v>
      </c>
      <c r="L37" s="55">
        <f t="shared" si="17"/>
        <v>4.333E-2</v>
      </c>
      <c r="M37" s="55">
        <f t="shared" si="17"/>
        <v>4.333E-2</v>
      </c>
      <c r="N37" s="55">
        <f t="shared" si="17"/>
        <v>4.333E-2</v>
      </c>
      <c r="O37" s="56">
        <f t="shared" si="17"/>
        <v>4.333E-2</v>
      </c>
    </row>
    <row r="38" spans="1:16" ht="12" thickBot="1">
      <c r="A38" s="1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</row>
    <row r="39" spans="1:16">
      <c r="D39" s="28"/>
    </row>
    <row r="40" spans="1:16">
      <c r="A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6">
      <c r="A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6">
      <c r="A42" s="31"/>
      <c r="B42" s="32"/>
      <c r="C42" s="32"/>
      <c r="D42" s="33"/>
      <c r="E42" s="33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6">
      <c r="A43" s="31"/>
      <c r="B43" s="23"/>
      <c r="C43" s="2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>
      <c r="A44" s="34"/>
      <c r="B44" s="23"/>
      <c r="C44" s="23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>
      <c r="A45" s="34"/>
      <c r="B45" s="23"/>
      <c r="C45" s="2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>
      <c r="A46" s="35"/>
      <c r="B46" s="23"/>
      <c r="C46" s="2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>
      <c r="A47" s="34"/>
      <c r="B47" s="23"/>
      <c r="C47" s="2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>
      <c r="A48" s="34"/>
      <c r="B48" s="23"/>
      <c r="C48" s="2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>
      <c r="A49" s="35"/>
      <c r="B49" s="23"/>
      <c r="C49" s="2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>
      <c r="A50" s="35"/>
      <c r="B50" s="23"/>
      <c r="C50" s="2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>
      <c r="A51" s="35"/>
      <c r="B51" s="23"/>
      <c r="C51" s="2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>
      <c r="A52" s="34"/>
      <c r="B52" s="23"/>
      <c r="C52" s="2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</sheetData>
  <phoneticPr fontId="8" type="noConversion"/>
  <printOptions horizontalCentered="1"/>
  <pageMargins left="0.75" right="0.75" top="1" bottom="1" header="0.5" footer="0.5"/>
  <pageSetup scale="54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3"/>
  <sheetViews>
    <sheetView zoomScaleNormal="100" workbookViewId="0">
      <selection activeCell="N83" sqref="N83"/>
    </sheetView>
  </sheetViews>
  <sheetFormatPr defaultColWidth="9.140625" defaultRowHeight="11.25"/>
  <cols>
    <col min="1" max="1" width="28" style="61" customWidth="1"/>
    <col min="2" max="2" width="10" style="61" bestFit="1" customWidth="1"/>
    <col min="3" max="3" width="11.28515625" style="61" bestFit="1" customWidth="1"/>
    <col min="4" max="6" width="10.42578125" style="61" bestFit="1" customWidth="1"/>
    <col min="7" max="7" width="10.140625" style="61" customWidth="1"/>
    <col min="8" max="8" width="9" style="61" bestFit="1" customWidth="1"/>
    <col min="9" max="9" width="10.7109375" style="61" customWidth="1"/>
    <col min="10" max="11" width="9.85546875" style="61" bestFit="1" customWidth="1"/>
    <col min="12" max="12" width="10.42578125" style="61" bestFit="1" customWidth="1"/>
    <col min="13" max="14" width="10.7109375" style="61" bestFit="1" customWidth="1"/>
    <col min="15" max="15" width="7.28515625" style="232" bestFit="1" customWidth="1"/>
    <col min="16" max="16" width="12.28515625" style="61" customWidth="1"/>
    <col min="17" max="20" width="12.7109375" style="61" customWidth="1"/>
    <col min="21" max="16384" width="9.140625" style="61"/>
  </cols>
  <sheetData>
    <row r="1" spans="1:28">
      <c r="A1" s="198"/>
    </row>
    <row r="2" spans="1:28">
      <c r="A2" s="198"/>
    </row>
    <row r="3" spans="1:28">
      <c r="A3" s="199"/>
    </row>
    <row r="4" spans="1:28">
      <c r="A4" s="198" t="s">
        <v>131</v>
      </c>
    </row>
    <row r="5" spans="1:28">
      <c r="A5" s="198" t="s">
        <v>41</v>
      </c>
    </row>
    <row r="6" spans="1:28">
      <c r="A6" s="202" t="s">
        <v>24</v>
      </c>
      <c r="O6" s="233" t="s">
        <v>44</v>
      </c>
    </row>
    <row r="7" spans="1:28">
      <c r="A7" s="198" t="s">
        <v>25</v>
      </c>
      <c r="B7" s="219">
        <f>'Sales &amp; Revenue Adj.'!D5</f>
        <v>44927</v>
      </c>
      <c r="C7" s="219">
        <f>'Sales &amp; Revenue Adj.'!E5</f>
        <v>44958</v>
      </c>
      <c r="D7" s="219">
        <f>'Sales &amp; Revenue Adj.'!F5</f>
        <v>44986</v>
      </c>
      <c r="E7" s="219">
        <f>'Sales &amp; Revenue Adj.'!G5</f>
        <v>45017</v>
      </c>
      <c r="F7" s="219">
        <f>'Sales &amp; Revenue Adj.'!H5</f>
        <v>45047</v>
      </c>
      <c r="G7" s="219">
        <f>'Sales &amp; Revenue Adj.'!I5</f>
        <v>45078</v>
      </c>
      <c r="H7" s="219">
        <f>'Sales &amp; Revenue Adj.'!J5</f>
        <v>45108</v>
      </c>
      <c r="I7" s="219">
        <f>'Sales &amp; Revenue Adj.'!K5</f>
        <v>45139</v>
      </c>
      <c r="J7" s="219">
        <f>'Sales &amp; Revenue Adj.'!L5</f>
        <v>45170</v>
      </c>
      <c r="K7" s="219">
        <f>'Sales &amp; Revenue Adj.'!M5</f>
        <v>45200</v>
      </c>
      <c r="L7" s="219">
        <f>'Sales &amp; Revenue Adj.'!N5</f>
        <v>45231</v>
      </c>
      <c r="M7" s="219">
        <f>'Sales &amp; Revenue Adj.'!O5</f>
        <v>45261</v>
      </c>
      <c r="N7" s="220" t="s">
        <v>19</v>
      </c>
      <c r="O7" s="233" t="s">
        <v>45</v>
      </c>
    </row>
    <row r="8" spans="1:28">
      <c r="A8" s="221" t="s">
        <v>110</v>
      </c>
      <c r="B8" s="222">
        <f>($E37*J$60+$F37*J$56)*B67</f>
        <v>-3505668.8843327304</v>
      </c>
      <c r="C8" s="222">
        <f t="shared" ref="C8" si="0">($E37*K$60+$F37*K$56)*C67</f>
        <v>-88874573.833497167</v>
      </c>
      <c r="D8" s="222">
        <f t="shared" ref="D8" si="1">($E37*L$60+$F37*L$56)*D67</f>
        <v>-81327946.277374983</v>
      </c>
      <c r="E8" s="222">
        <f>($E37*M$60+$F37*M$56+$G37*M$60)*E67</f>
        <v>-71148638.044600859</v>
      </c>
      <c r="F8" s="222">
        <f t="shared" ref="F8:G8" si="2">($E37*N$60+$F37*N$56+$G37*N$60)*F67</f>
        <v>-16136674.78955166</v>
      </c>
      <c r="G8" s="222">
        <f t="shared" si="2"/>
        <v>12368147.462381642</v>
      </c>
      <c r="H8" s="222">
        <f t="shared" ref="H8" si="3">($E37*P$60+$F37*P$56+$G37*P$60)*H67</f>
        <v>3085764.9283731608</v>
      </c>
      <c r="I8" s="222">
        <f t="shared" ref="I8" si="4">($E37*Q$60+$F37*Q$56+$G37*Q$60)*I67</f>
        <v>-22986926.131784238</v>
      </c>
      <c r="J8" s="222">
        <f t="shared" ref="J8" si="5">($E37*R$60+$F37*R$56+$G37*R$60)*J67</f>
        <v>34577298.015643544</v>
      </c>
      <c r="K8" s="222">
        <f t="shared" ref="K8" si="6">($E37*S$60+$F37*S$56)*K67</f>
        <v>98661029.109609261</v>
      </c>
      <c r="L8" s="222">
        <f t="shared" ref="L8" si="7">($E37*T$60+$F37*T$56)*L67</f>
        <v>79974899.39521575</v>
      </c>
      <c r="M8" s="222">
        <f t="shared" ref="M8" si="8">($E37*U$60+$F37*U$56)*M67</f>
        <v>242106844.47876751</v>
      </c>
      <c r="N8" s="223">
        <f>SUM(B8:M8)</f>
        <v>186793555.42884922</v>
      </c>
      <c r="Q8" s="231"/>
    </row>
    <row r="9" spans="1:28">
      <c r="A9" s="210" t="s">
        <v>29</v>
      </c>
      <c r="B9" s="224">
        <f t="shared" ref="B9:M9" si="9">SUM(B8:B8)</f>
        <v>-3505668.8843327304</v>
      </c>
      <c r="C9" s="224">
        <f t="shared" si="9"/>
        <v>-88874573.833497167</v>
      </c>
      <c r="D9" s="224">
        <f t="shared" si="9"/>
        <v>-81327946.277374983</v>
      </c>
      <c r="E9" s="224">
        <f t="shared" si="9"/>
        <v>-71148638.044600859</v>
      </c>
      <c r="F9" s="224">
        <f t="shared" si="9"/>
        <v>-16136674.78955166</v>
      </c>
      <c r="G9" s="224">
        <f t="shared" si="9"/>
        <v>12368147.462381642</v>
      </c>
      <c r="H9" s="224">
        <f t="shared" si="9"/>
        <v>3085764.9283731608</v>
      </c>
      <c r="I9" s="224">
        <f t="shared" si="9"/>
        <v>-22986926.131784238</v>
      </c>
      <c r="J9" s="224">
        <f t="shared" si="9"/>
        <v>34577298.015643544</v>
      </c>
      <c r="K9" s="224">
        <f t="shared" si="9"/>
        <v>98661029.109609261</v>
      </c>
      <c r="L9" s="224">
        <f t="shared" si="9"/>
        <v>79974899.39521575</v>
      </c>
      <c r="M9" s="224">
        <f t="shared" si="9"/>
        <v>242106844.47876751</v>
      </c>
      <c r="N9" s="224">
        <f t="shared" ref="N9" si="10">SUM(B9:M9)</f>
        <v>186793555.42884922</v>
      </c>
      <c r="O9" s="234">
        <f>N9/N30</f>
        <v>1.3045405321626915</v>
      </c>
    </row>
    <row r="10" spans="1:28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</row>
    <row r="11" spans="1:28">
      <c r="A11" s="221" t="s">
        <v>35</v>
      </c>
      <c r="B11" s="235">
        <f t="shared" ref="B11:E12" si="11">($B38*J$40+$C38*J$44+$D38*J$48)*B68</f>
        <v>-9393.9942747337318</v>
      </c>
      <c r="C11" s="235">
        <f t="shared" si="11"/>
        <v>-596430.04906613228</v>
      </c>
      <c r="D11" s="235">
        <f t="shared" si="11"/>
        <v>-533234.58506179973</v>
      </c>
      <c r="E11" s="235">
        <f t="shared" si="11"/>
        <v>-593010.24285106675</v>
      </c>
      <c r="F11" s="222">
        <f>($B38*N$40+$C38*N$44+$D38*N$48+E$38*N$52+F$38*N$56)*F68</f>
        <v>9687.9594639582883</v>
      </c>
      <c r="G11" s="222">
        <f t="shared" ref="G11:J12" si="12">($E38*O$52+$F38*O$56)*G68</f>
        <v>50025.85931475</v>
      </c>
      <c r="H11" s="222">
        <f t="shared" si="12"/>
        <v>2678.0779681243907</v>
      </c>
      <c r="I11" s="222">
        <f t="shared" si="12"/>
        <v>-61242.459199999335</v>
      </c>
      <c r="J11" s="222">
        <f t="shared" si="12"/>
        <v>38780.254666999943</v>
      </c>
      <c r="K11" s="222">
        <f t="shared" ref="K11:M12" si="13">($B38*S$40+$C38*S$44+$D38*S$48)*K68</f>
        <v>-121169.51427209975</v>
      </c>
      <c r="L11" s="235">
        <f t="shared" si="13"/>
        <v>-415598.88638669992</v>
      </c>
      <c r="M11" s="235">
        <f t="shared" si="13"/>
        <v>633796.33220960014</v>
      </c>
      <c r="N11" s="223">
        <f>SUM(B11:M11)</f>
        <v>-1595111.2474890989</v>
      </c>
      <c r="Q11" s="231"/>
    </row>
    <row r="12" spans="1:28" s="225" customFormat="1">
      <c r="A12" s="221" t="s">
        <v>107</v>
      </c>
      <c r="B12" s="222">
        <f t="shared" si="11"/>
        <v>-84944.407069603607</v>
      </c>
      <c r="C12" s="222">
        <f t="shared" si="11"/>
        <v>-5391486.6983119901</v>
      </c>
      <c r="D12" s="222">
        <f t="shared" si="11"/>
        <v>-4822003.2843001494</v>
      </c>
      <c r="E12" s="222">
        <f t="shared" si="11"/>
        <v>-5363885.4638681021</v>
      </c>
      <c r="F12" s="222">
        <f>($B39*N$40+$C39*N$44+$D39*N$48+E$39*N$52+F$39*N$56)*F69</f>
        <v>-2202026.5871234173</v>
      </c>
      <c r="G12" s="222">
        <f t="shared" si="12"/>
        <v>1614356.71756475</v>
      </c>
      <c r="H12" s="222">
        <f t="shared" si="12"/>
        <v>86407.104279980354</v>
      </c>
      <c r="I12" s="222">
        <f t="shared" si="12"/>
        <v>-1976250.5751666455</v>
      </c>
      <c r="J12" s="222">
        <f t="shared" si="12"/>
        <v>1249226.2449681647</v>
      </c>
      <c r="K12" s="222">
        <f t="shared" si="13"/>
        <v>-1093767.441630498</v>
      </c>
      <c r="L12" s="222">
        <f t="shared" si="13"/>
        <v>-3761298.6750436495</v>
      </c>
      <c r="M12" s="222">
        <f t="shared" si="13"/>
        <v>5732132.7259677015</v>
      </c>
      <c r="N12" s="223">
        <f>SUM(B12:M12)</f>
        <v>-16013540.339733459</v>
      </c>
      <c r="O12" s="232"/>
      <c r="Q12" s="231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>
      <c r="A13" s="210" t="s">
        <v>30</v>
      </c>
      <c r="B13" s="224">
        <f t="shared" ref="B13:M13" si="14">SUM(B11:B12)</f>
        <v>-94338.401344337341</v>
      </c>
      <c r="C13" s="224">
        <f t="shared" si="14"/>
        <v>-5987916.7473781221</v>
      </c>
      <c r="D13" s="224">
        <f t="shared" si="14"/>
        <v>-5355237.8693619492</v>
      </c>
      <c r="E13" s="224">
        <f t="shared" si="14"/>
        <v>-5956895.7067191685</v>
      </c>
      <c r="F13" s="224">
        <f t="shared" si="14"/>
        <v>-2192338.6276594591</v>
      </c>
      <c r="G13" s="224">
        <f t="shared" si="14"/>
        <v>1664382.5768794999</v>
      </c>
      <c r="H13" s="224">
        <f t="shared" si="14"/>
        <v>89085.182248104742</v>
      </c>
      <c r="I13" s="224">
        <f t="shared" si="14"/>
        <v>-2037493.0343666447</v>
      </c>
      <c r="J13" s="224">
        <f t="shared" si="14"/>
        <v>1288006.4996351646</v>
      </c>
      <c r="K13" s="224">
        <f t="shared" si="14"/>
        <v>-1214936.9559025979</v>
      </c>
      <c r="L13" s="224">
        <f t="shared" si="14"/>
        <v>-4176897.5614303495</v>
      </c>
      <c r="M13" s="224">
        <f t="shared" si="14"/>
        <v>6365929.0581773017</v>
      </c>
      <c r="N13" s="224">
        <f>SUM(B13:M13)</f>
        <v>-17608651.587222561</v>
      </c>
      <c r="O13" s="234">
        <f>N13/N30</f>
        <v>-0.12297640386749106</v>
      </c>
      <c r="Q13" s="231"/>
    </row>
    <row r="14" spans="1:28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>
      <c r="A15" s="221" t="s">
        <v>36</v>
      </c>
      <c r="B15" s="222">
        <f t="shared" ref="B15:E16" si="15">($B40*J$40+$C40*J$44+$D40*J$48)*B70</f>
        <v>-5961.3056880002514</v>
      </c>
      <c r="C15" s="222">
        <f t="shared" si="15"/>
        <v>-378196.32364799926</v>
      </c>
      <c r="D15" s="222">
        <f t="shared" si="15"/>
        <v>-336943.40844224987</v>
      </c>
      <c r="E15" s="222">
        <f t="shared" si="15"/>
        <v>-379243.41792750009</v>
      </c>
      <c r="F15" s="222">
        <f>($B40*N$40+$C40*N$44+$D40*N$48+E40*N52+F40*N56)*F70</f>
        <v>-56902.464573416713</v>
      </c>
      <c r="G15" s="222">
        <f t="shared" ref="G15:J16" si="16">($E40*O$52+$F40*O$56)*G70</f>
        <v>63915.480603999997</v>
      </c>
      <c r="H15" s="222">
        <f t="shared" si="16"/>
        <v>3442.3402066658841</v>
      </c>
      <c r="I15" s="222">
        <f t="shared" si="16"/>
        <v>-77188.098666665828</v>
      </c>
      <c r="J15" s="222">
        <f t="shared" si="16"/>
        <v>48978.961027333251</v>
      </c>
      <c r="K15" s="222">
        <f t="shared" ref="K15:M16" si="17">($B40*S$40+$C40*S$44+$D40*S$48)*K70</f>
        <v>-75476.990665999852</v>
      </c>
      <c r="L15" s="222">
        <f t="shared" si="17"/>
        <v>-261491.30098424995</v>
      </c>
      <c r="M15" s="222">
        <f t="shared" si="17"/>
        <v>403317.92166750005</v>
      </c>
      <c r="N15" s="223">
        <f>SUM(B15:M15)</f>
        <v>-1051748.6070905826</v>
      </c>
      <c r="Q15" s="231"/>
    </row>
    <row r="16" spans="1:28" s="225" customFormat="1">
      <c r="A16" s="221" t="s">
        <v>108</v>
      </c>
      <c r="B16" s="222">
        <f t="shared" si="15"/>
        <v>-69505.764375002938</v>
      </c>
      <c r="C16" s="222">
        <f t="shared" si="15"/>
        <v>-4428673.8011999913</v>
      </c>
      <c r="D16" s="222">
        <f t="shared" si="15"/>
        <v>-3975359.8004437485</v>
      </c>
      <c r="E16" s="222">
        <f t="shared" si="15"/>
        <v>-4443832.152843751</v>
      </c>
      <c r="F16" s="222">
        <f>($B41*N$40+$C41*N$44+$D41*N$48+E41*N52+F41*N56)*F71</f>
        <v>-2721890.8578597927</v>
      </c>
      <c r="G16" s="222">
        <f t="shared" si="16"/>
        <v>1799070.1670100002</v>
      </c>
      <c r="H16" s="222">
        <f t="shared" si="16"/>
        <v>96855.966724977989</v>
      </c>
      <c r="I16" s="222">
        <f t="shared" si="16"/>
        <v>-2217412.9973333091</v>
      </c>
      <c r="J16" s="222">
        <f t="shared" si="16"/>
        <v>1409273.2407233312</v>
      </c>
      <c r="K16" s="222">
        <f t="shared" si="17"/>
        <v>-925520.0615624981</v>
      </c>
      <c r="L16" s="222">
        <f t="shared" si="17"/>
        <v>-3183341.8727812492</v>
      </c>
      <c r="M16" s="222">
        <f t="shared" si="17"/>
        <v>4868329.0080937501</v>
      </c>
      <c r="N16" s="223">
        <f>SUM(B16:M16)</f>
        <v>-13792008.925847283</v>
      </c>
      <c r="O16" s="232"/>
      <c r="Q16" s="231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>
      <c r="A17" s="210" t="s">
        <v>31</v>
      </c>
      <c r="B17" s="224">
        <f t="shared" ref="B17:M17" si="18">SUM(B15:B16)</f>
        <v>-75467.070063003193</v>
      </c>
      <c r="C17" s="224">
        <f t="shared" si="18"/>
        <v>-4806870.1248479905</v>
      </c>
      <c r="D17" s="224">
        <f t="shared" si="18"/>
        <v>-4312303.2088859985</v>
      </c>
      <c r="E17" s="224">
        <f t="shared" si="18"/>
        <v>-4823075.5707712509</v>
      </c>
      <c r="F17" s="224">
        <f t="shared" si="18"/>
        <v>-2778793.3224332095</v>
      </c>
      <c r="G17" s="224">
        <f t="shared" si="18"/>
        <v>1862985.6476140001</v>
      </c>
      <c r="H17" s="224">
        <f t="shared" si="18"/>
        <v>100298.30693164388</v>
      </c>
      <c r="I17" s="224">
        <f t="shared" si="18"/>
        <v>-2294601.0959999748</v>
      </c>
      <c r="J17" s="224">
        <f t="shared" si="18"/>
        <v>1458252.2017506645</v>
      </c>
      <c r="K17" s="224">
        <f t="shared" si="18"/>
        <v>-1000997.0522284979</v>
      </c>
      <c r="L17" s="224">
        <f t="shared" si="18"/>
        <v>-3444833.1737654991</v>
      </c>
      <c r="M17" s="224">
        <f t="shared" si="18"/>
        <v>5271646.9297612505</v>
      </c>
      <c r="N17" s="224">
        <f>SUM(B17:M17)</f>
        <v>-14843757.532937866</v>
      </c>
      <c r="O17" s="234">
        <f>N17/N30</f>
        <v>-0.10366676359286225</v>
      </c>
    </row>
    <row r="18" spans="1:28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3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</row>
    <row r="19" spans="1:28">
      <c r="A19" s="221" t="s">
        <v>37</v>
      </c>
      <c r="B19" s="222">
        <f t="shared" ref="B19:E20" si="19">($B42*J$40+$C42*J$44+$D42*J$48)*B72</f>
        <v>-1205.1590936667176</v>
      </c>
      <c r="C19" s="222">
        <f t="shared" si="19"/>
        <v>-76457.535058666515</v>
      </c>
      <c r="D19" s="222">
        <f t="shared" si="19"/>
        <v>-68336.724654249978</v>
      </c>
      <c r="E19" s="222">
        <f t="shared" si="19"/>
        <v>-75939.036378833349</v>
      </c>
      <c r="F19" s="222">
        <f>($B42*N$40+$C42*N$44+$D42*N$48+E42*N52+F42*N56)*F72</f>
        <v>-26615.211192916679</v>
      </c>
      <c r="G19" s="222">
        <f t="shared" ref="G19:J20" si="20">($E42*O$52+$F42*O$56)*G72</f>
        <v>20524.904919999997</v>
      </c>
      <c r="H19" s="222">
        <f t="shared" si="20"/>
        <v>1013.9331999997694</v>
      </c>
      <c r="I19" s="222">
        <f t="shared" si="20"/>
        <v>-23175.615999999747</v>
      </c>
      <c r="J19" s="222">
        <f t="shared" si="20"/>
        <v>14658.577119999976</v>
      </c>
      <c r="K19" s="222">
        <f t="shared" ref="K19:M20" si="21">($B42*S$40+$C42*S$44+$D42*S$48)*K72</f>
        <v>-14267.876353999971</v>
      </c>
      <c r="L19" s="235">
        <f t="shared" si="21"/>
        <v>-44874.928881749991</v>
      </c>
      <c r="M19" s="235">
        <f t="shared" si="21"/>
        <v>68335.107714500002</v>
      </c>
      <c r="N19" s="223">
        <f>SUM(B19:M19)</f>
        <v>-226339.56465958321</v>
      </c>
      <c r="Q19" s="231"/>
    </row>
    <row r="20" spans="1:28" s="225" customFormat="1">
      <c r="A20" s="221" t="s">
        <v>109</v>
      </c>
      <c r="B20" s="222">
        <f t="shared" si="19"/>
        <v>-20204.577270000857</v>
      </c>
      <c r="C20" s="222">
        <f t="shared" si="19"/>
        <v>-1293994.7459999977</v>
      </c>
      <c r="D20" s="222">
        <f t="shared" si="19"/>
        <v>-1160637.1977262497</v>
      </c>
      <c r="E20" s="222">
        <f t="shared" si="19"/>
        <v>-1307899.8322875004</v>
      </c>
      <c r="F20" s="222">
        <f>($B43*N$40+$C43*N$44+$D43*N$48+E43*N52+F43*N56)*F73</f>
        <v>-1875736.5814687507</v>
      </c>
      <c r="G20" s="222">
        <f t="shared" si="20"/>
        <v>1084291.69725</v>
      </c>
      <c r="H20" s="222">
        <f t="shared" si="20"/>
        <v>58424.38874998672</v>
      </c>
      <c r="I20" s="222">
        <f t="shared" si="20"/>
        <v>-1345989.1499999855</v>
      </c>
      <c r="J20" s="222">
        <f t="shared" si="20"/>
        <v>859937.51249999856</v>
      </c>
      <c r="K20" s="222">
        <f t="shared" si="21"/>
        <v>-278524.44483749947</v>
      </c>
      <c r="L20" s="222">
        <f t="shared" si="21"/>
        <v>-966203.99589374999</v>
      </c>
      <c r="M20" s="222">
        <f t="shared" si="21"/>
        <v>1468110.0874275002</v>
      </c>
      <c r="N20" s="223">
        <f>SUM(B20:M20)</f>
        <v>-4778426.8395562489</v>
      </c>
      <c r="O20" s="232"/>
      <c r="Q20" s="231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1:28">
      <c r="A21" s="210" t="s">
        <v>32</v>
      </c>
      <c r="B21" s="224">
        <f t="shared" ref="B21:M21" si="22">SUM(B19:B20)</f>
        <v>-21409.736363667573</v>
      </c>
      <c r="C21" s="224">
        <f t="shared" si="22"/>
        <v>-1370452.2810586642</v>
      </c>
      <c r="D21" s="224">
        <f t="shared" si="22"/>
        <v>-1228973.9223804998</v>
      </c>
      <c r="E21" s="224">
        <f t="shared" si="22"/>
        <v>-1383838.8686663336</v>
      </c>
      <c r="F21" s="224">
        <f t="shared" si="22"/>
        <v>-1902351.7926616673</v>
      </c>
      <c r="G21" s="224">
        <f t="shared" si="22"/>
        <v>1104816.6021699999</v>
      </c>
      <c r="H21" s="224">
        <f t="shared" si="22"/>
        <v>59438.321949986486</v>
      </c>
      <c r="I21" s="224">
        <f t="shared" si="22"/>
        <v>-1369164.7659999852</v>
      </c>
      <c r="J21" s="224">
        <f t="shared" si="22"/>
        <v>874596.08961999859</v>
      </c>
      <c r="K21" s="224">
        <f t="shared" si="22"/>
        <v>-292792.32119149942</v>
      </c>
      <c r="L21" s="224">
        <f t="shared" si="22"/>
        <v>-1011078.9247755</v>
      </c>
      <c r="M21" s="224">
        <f t="shared" si="22"/>
        <v>1536445.1951420002</v>
      </c>
      <c r="N21" s="224">
        <f>SUM(B21:M21)</f>
        <v>-5004766.4042158304</v>
      </c>
      <c r="O21" s="234">
        <f>N21/N30</f>
        <v>-3.4952601085815209E-2</v>
      </c>
    </row>
    <row r="22" spans="1:28"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>
      <c r="A23" s="221" t="s">
        <v>38</v>
      </c>
      <c r="B23" s="222">
        <f t="shared" ref="B23:E24" si="23">($B44*J$40+$C44*J$44+$D44*J$48)*B74</f>
        <v>-2334.519880000099</v>
      </c>
      <c r="C23" s="222">
        <f t="shared" si="23"/>
        <v>-148106.28447999974</v>
      </c>
      <c r="D23" s="222">
        <f t="shared" si="23"/>
        <v>-132375.42086999997</v>
      </c>
      <c r="E23" s="222">
        <f t="shared" si="23"/>
        <v>-147101.89802000005</v>
      </c>
      <c r="F23" s="222">
        <f>($B44*N$40+$C44*N$44+$D44*N$48+E44*N52+F44*N56)*F74</f>
        <v>294.25648499998715</v>
      </c>
      <c r="G23" s="222">
        <f t="shared" ref="G23:J24" si="24">($E44*O$52+$F44*O$56)*G74</f>
        <v>13451.396789999999</v>
      </c>
      <c r="H23" s="222">
        <f t="shared" si="24"/>
        <v>719.87597499983633</v>
      </c>
      <c r="I23" s="222">
        <f t="shared" si="24"/>
        <v>-16454.307999999823</v>
      </c>
      <c r="J23" s="222">
        <f t="shared" si="24"/>
        <v>10407.349809999983</v>
      </c>
      <c r="K23" s="222">
        <f t="shared" ref="K23:M24" si="25">($B44*S$40+$C44*S$44+$D44*S$48)*K74</f>
        <v>-29941.574739999945</v>
      </c>
      <c r="L23" s="222">
        <f t="shared" si="25"/>
        <v>-102732.44751</v>
      </c>
      <c r="M23" s="222">
        <f t="shared" si="25"/>
        <v>156439.97754000002</v>
      </c>
      <c r="N23" s="223">
        <f>SUM(B23:M23)</f>
        <v>-397733.59689999989</v>
      </c>
      <c r="Q23" s="231"/>
    </row>
    <row r="24" spans="1:28" s="225" customFormat="1">
      <c r="A24" s="221" t="s">
        <v>6</v>
      </c>
      <c r="B24" s="222">
        <f t="shared" si="23"/>
        <v>-19647.638159667498</v>
      </c>
      <c r="C24" s="222">
        <f t="shared" si="23"/>
        <v>-1241405.3959119976</v>
      </c>
      <c r="D24" s="222">
        <f t="shared" si="23"/>
        <v>-1114089.6219257498</v>
      </c>
      <c r="E24" s="222">
        <f t="shared" si="23"/>
        <v>-1238029.6649678336</v>
      </c>
      <c r="F24" s="235">
        <f>($B45*N$40+$C45*N$44+$D45*N$48+E45*N52+F45*N56)*F75</f>
        <v>-648793.75390000024</v>
      </c>
      <c r="G24" s="222">
        <f t="shared" si="24"/>
        <v>441170.37821250001</v>
      </c>
      <c r="H24" s="222">
        <f t="shared" si="24"/>
        <v>23754.882374994599</v>
      </c>
      <c r="I24" s="222">
        <f t="shared" si="24"/>
        <v>-542968.73999999405</v>
      </c>
      <c r="J24" s="222">
        <f t="shared" si="24"/>
        <v>344823.77572499943</v>
      </c>
      <c r="K24" s="222">
        <f t="shared" si="25"/>
        <v>-254045.27354249949</v>
      </c>
      <c r="L24" s="222">
        <f t="shared" si="25"/>
        <v>-864610.30947974976</v>
      </c>
      <c r="M24" s="222">
        <f t="shared" si="25"/>
        <v>1324664.7403210001</v>
      </c>
      <c r="N24" s="223">
        <f>SUM(B24:M24)</f>
        <v>-3789176.621253998</v>
      </c>
      <c r="O24" s="232"/>
      <c r="Q24" s="231"/>
    </row>
    <row r="25" spans="1:28">
      <c r="A25" s="210" t="s">
        <v>33</v>
      </c>
      <c r="B25" s="224">
        <f t="shared" ref="B25:N25" si="26">SUM(B23:B24)</f>
        <v>-21982.158039667596</v>
      </c>
      <c r="C25" s="224">
        <f t="shared" si="26"/>
        <v>-1389511.6803919973</v>
      </c>
      <c r="D25" s="224">
        <f t="shared" si="26"/>
        <v>-1246465.0427957498</v>
      </c>
      <c r="E25" s="224">
        <f t="shared" si="26"/>
        <v>-1385131.5629878335</v>
      </c>
      <c r="F25" s="224">
        <f t="shared" si="26"/>
        <v>-648499.49741500022</v>
      </c>
      <c r="G25" s="224">
        <f t="shared" si="26"/>
        <v>454621.77500250004</v>
      </c>
      <c r="H25" s="224">
        <f t="shared" si="26"/>
        <v>24474.758349994434</v>
      </c>
      <c r="I25" s="224">
        <f t="shared" si="26"/>
        <v>-559423.0479999939</v>
      </c>
      <c r="J25" s="224">
        <f t="shared" si="26"/>
        <v>355231.12553499942</v>
      </c>
      <c r="K25" s="224">
        <f t="shared" si="26"/>
        <v>-283986.84828249941</v>
      </c>
      <c r="L25" s="224">
        <f t="shared" si="26"/>
        <v>-967342.75698974973</v>
      </c>
      <c r="M25" s="224">
        <f t="shared" si="26"/>
        <v>1481104.7178610002</v>
      </c>
      <c r="N25" s="224">
        <f t="shared" si="26"/>
        <v>-4186910.2181539978</v>
      </c>
      <c r="O25" s="234">
        <f>N25/N30</f>
        <v>-2.9240805827418028E-2</v>
      </c>
    </row>
    <row r="26" spans="1:28"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</row>
    <row r="27" spans="1:28" s="218" customFormat="1">
      <c r="A27" s="236" t="s">
        <v>8</v>
      </c>
      <c r="B27" s="228">
        <f t="shared" ref="B27:E28" si="27">($B48*J$40+$C48*J$44+$D48*J$48)*B77</f>
        <v>16121.975822333534</v>
      </c>
      <c r="C27" s="228">
        <f t="shared" si="27"/>
        <v>-995945.85544025037</v>
      </c>
      <c r="D27" s="228">
        <f t="shared" si="27"/>
        <v>-880804.36589383334</v>
      </c>
      <c r="E27" s="228">
        <f t="shared" si="27"/>
        <v>-823808.00086108374</v>
      </c>
      <c r="F27" s="228">
        <f>($B48*N$40+$C48*N$44+$D48*N$48+E48*N52+F48*N56)*F77</f>
        <v>275256.90394583321</v>
      </c>
      <c r="G27" s="228">
        <f t="shared" ref="G27:J28" si="28">($E48*O$52+$F48*O$56)*G77</f>
        <v>78882.962372499984</v>
      </c>
      <c r="H27" s="228">
        <f t="shared" si="28"/>
        <v>4221.5652645823729</v>
      </c>
      <c r="I27" s="228">
        <f t="shared" si="28"/>
        <v>-96492.920333332295</v>
      </c>
      <c r="J27" s="228">
        <f t="shared" si="28"/>
        <v>61031.772110833241</v>
      </c>
      <c r="K27" s="228">
        <f t="shared" ref="K27:M28" si="29">($B48*S$40+$C48*S$44+$D48*S$48)*K77</f>
        <v>-8070.7323720859404</v>
      </c>
      <c r="L27" s="228">
        <f t="shared" si="29"/>
        <v>-692426.85999391403</v>
      </c>
      <c r="M27" s="228">
        <f t="shared" si="29"/>
        <v>1190508.9979520857</v>
      </c>
      <c r="N27" s="229">
        <f t="shared" ref="N27:N28" si="30">SUM(B27:M27)</f>
        <v>-1871524.5574263318</v>
      </c>
      <c r="O27" s="232">
        <f>N27/$N$30</f>
        <v>-1.30704704265371E-2</v>
      </c>
      <c r="Q27" s="231"/>
    </row>
    <row r="28" spans="1:28">
      <c r="A28" s="221" t="s">
        <v>50</v>
      </c>
      <c r="B28" s="222">
        <f t="shared" si="27"/>
        <v>-558.21877600002369</v>
      </c>
      <c r="C28" s="222">
        <f t="shared" si="27"/>
        <v>-35414.437695999935</v>
      </c>
      <c r="D28" s="222">
        <f t="shared" si="27"/>
        <v>-31652.951873999995</v>
      </c>
      <c r="E28" s="222">
        <f t="shared" si="27"/>
        <v>-35174.273804000011</v>
      </c>
      <c r="F28" s="222">
        <f>($B49*N$40+$C49*N$44+$D49*N$48+E49*N52+F49*N56)*F78</f>
        <v>6409.7795499999984</v>
      </c>
      <c r="G28" s="222">
        <f t="shared" si="28"/>
        <v>0</v>
      </c>
      <c r="H28" s="222">
        <f t="shared" si="28"/>
        <v>0</v>
      </c>
      <c r="I28" s="222">
        <f t="shared" si="28"/>
        <v>0</v>
      </c>
      <c r="J28" s="222">
        <f t="shared" si="28"/>
        <v>0</v>
      </c>
      <c r="K28" s="222">
        <f t="shared" si="29"/>
        <v>-7159.4803479999864</v>
      </c>
      <c r="L28" s="222">
        <f t="shared" si="29"/>
        <v>-24564.871601999996</v>
      </c>
      <c r="M28" s="222">
        <f t="shared" si="29"/>
        <v>37407.14890800001</v>
      </c>
      <c r="N28" s="223">
        <f t="shared" si="30"/>
        <v>-90707.305641999934</v>
      </c>
      <c r="O28" s="232">
        <f>N28/$N$30</f>
        <v>-6.3348736256766422E-4</v>
      </c>
      <c r="Q28" s="231"/>
    </row>
    <row r="29" spans="1:28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1:28">
      <c r="A30" s="210" t="s">
        <v>20</v>
      </c>
      <c r="B30" s="237">
        <f t="shared" ref="B30:O30" si="31">SUM(B9,B13,B17,B21,B25,B27:B28)</f>
        <v>-3703302.4930970729</v>
      </c>
      <c r="C30" s="237">
        <f t="shared" si="31"/>
        <v>-103460684.96031019</v>
      </c>
      <c r="D30" s="237">
        <f t="shared" si="31"/>
        <v>-94383383.638567016</v>
      </c>
      <c r="E30" s="237">
        <f t="shared" si="31"/>
        <v>-85556562.028410524</v>
      </c>
      <c r="F30" s="237">
        <f t="shared" si="31"/>
        <v>-23376991.346225161</v>
      </c>
      <c r="G30" s="237">
        <f t="shared" si="31"/>
        <v>17533837.026420143</v>
      </c>
      <c r="H30" s="237">
        <f t="shared" si="31"/>
        <v>3363283.0631174725</v>
      </c>
      <c r="I30" s="237">
        <f t="shared" si="31"/>
        <v>-29344100.996484168</v>
      </c>
      <c r="J30" s="237">
        <f t="shared" si="31"/>
        <v>38614415.704295211</v>
      </c>
      <c r="K30" s="237">
        <f t="shared" si="31"/>
        <v>95853085.719284073</v>
      </c>
      <c r="L30" s="237">
        <f t="shared" si="31"/>
        <v>69657755.246658742</v>
      </c>
      <c r="M30" s="237">
        <f t="shared" si="31"/>
        <v>257989886.52656913</v>
      </c>
      <c r="N30" s="237">
        <f t="shared" si="31"/>
        <v>143187237.82325062</v>
      </c>
      <c r="O30" s="238">
        <f t="shared" si="31"/>
        <v>1</v>
      </c>
      <c r="Q30" s="231"/>
    </row>
    <row r="31" spans="1:28">
      <c r="A31" s="210" t="s">
        <v>57</v>
      </c>
      <c r="B31" s="239">
        <f>IF('Actual Total Usage'!B30=0,0,B30/'Actual Total Usage'!B30)</f>
        <v>-1.7087757875552106E-3</v>
      </c>
      <c r="C31" s="239">
        <f>IF('Actual Total Usage'!C30=0,0,C30/'Actual Total Usage'!C30)</f>
        <v>-5.2434568955441033E-2</v>
      </c>
      <c r="D31" s="239">
        <f>IF('Actual Total Usage'!D30=0,0,D30/'Actual Total Usage'!D30)</f>
        <v>-4.6430642784922392E-2</v>
      </c>
      <c r="E31" s="239">
        <f>IF('Actual Total Usage'!E30=0,0,E30/'Actual Total Usage'!E30)</f>
        <v>-4.6361640070333276E-2</v>
      </c>
      <c r="F31" s="239">
        <f>IF('Actual Total Usage'!F30=0,0,F30/'Actual Total Usage'!F30)</f>
        <v>-1.5458580153226986E-2</v>
      </c>
      <c r="G31" s="239">
        <f>IF('Actual Total Usage'!G30=0,0,G30/'Actual Total Usage'!G30)</f>
        <v>1.1802621235411377E-2</v>
      </c>
      <c r="H31" s="239">
        <f>IF('Actual Total Usage'!H30=0,0,H30/'Actual Total Usage'!H30)</f>
        <v>2.2598628997325936E-3</v>
      </c>
      <c r="I31" s="239">
        <f>IF('Actual Total Usage'!I30=0,0,I30/'Actual Total Usage'!I30)</f>
        <v>-1.8177584203647731E-2</v>
      </c>
      <c r="J31" s="239">
        <f>IF('Actual Total Usage'!J30=0,0,J30/'Actual Total Usage'!J30)</f>
        <v>2.5233179559646261E-2</v>
      </c>
      <c r="K31" s="239">
        <f>IF('Actual Total Usage'!K30=0,0,K30/'Actual Total Usage'!K30)</f>
        <v>6.7343306917662812E-2</v>
      </c>
      <c r="L31" s="239">
        <f>IF('Actual Total Usage'!L30=0,0,L30/'Actual Total Usage'!L30)</f>
        <v>4.2446283041745539E-2</v>
      </c>
      <c r="M31" s="239">
        <f>IF('Actual Total Usage'!M30=0,0,M30/'Actual Total Usage'!M30)</f>
        <v>0.12829236338575095</v>
      </c>
      <c r="N31" s="239">
        <f>N30/'Actual Total Usage'!N30</f>
        <v>6.9090330328523929E-3</v>
      </c>
      <c r="O31" s="240"/>
    </row>
    <row r="35" spans="1:21">
      <c r="A35" s="198" t="s">
        <v>165</v>
      </c>
      <c r="I35" s="198" t="s">
        <v>74</v>
      </c>
      <c r="O35" s="61"/>
      <c r="Q35" s="232"/>
    </row>
    <row r="36" spans="1:21" ht="45">
      <c r="A36" s="111" t="s">
        <v>73</v>
      </c>
      <c r="B36" s="185" t="s">
        <v>54</v>
      </c>
      <c r="C36" s="185" t="s">
        <v>119</v>
      </c>
      <c r="D36" s="185" t="s">
        <v>55</v>
      </c>
      <c r="E36" s="185" t="s">
        <v>163</v>
      </c>
      <c r="F36" s="185" t="s">
        <v>56</v>
      </c>
      <c r="G36" s="241" t="s">
        <v>164</v>
      </c>
      <c r="O36" s="61"/>
      <c r="Q36" s="232"/>
    </row>
    <row r="37" spans="1:21">
      <c r="A37" s="242" t="s">
        <v>110</v>
      </c>
      <c r="B37" s="243"/>
      <c r="C37" s="244"/>
      <c r="D37" s="243"/>
      <c r="E37" s="245">
        <v>0.89966599999999997</v>
      </c>
      <c r="F37" s="243">
        <v>0.67004399999999997</v>
      </c>
      <c r="G37" s="246">
        <v>-0.22562499999999999</v>
      </c>
      <c r="J37" s="219">
        <f t="shared" ref="J37:U37" si="32">B7</f>
        <v>44927</v>
      </c>
      <c r="K37" s="219">
        <f t="shared" si="32"/>
        <v>44958</v>
      </c>
      <c r="L37" s="219">
        <f t="shared" si="32"/>
        <v>44986</v>
      </c>
      <c r="M37" s="219">
        <f t="shared" si="32"/>
        <v>45017</v>
      </c>
      <c r="N37" s="219">
        <f t="shared" si="32"/>
        <v>45047</v>
      </c>
      <c r="O37" s="219">
        <f t="shared" si="32"/>
        <v>45078</v>
      </c>
      <c r="P37" s="219">
        <f t="shared" si="32"/>
        <v>45108</v>
      </c>
      <c r="Q37" s="219">
        <f t="shared" si="32"/>
        <v>45139</v>
      </c>
      <c r="R37" s="219">
        <f t="shared" si="32"/>
        <v>45170</v>
      </c>
      <c r="S37" s="219">
        <f t="shared" si="32"/>
        <v>45200</v>
      </c>
      <c r="T37" s="219">
        <f t="shared" si="32"/>
        <v>45231</v>
      </c>
      <c r="U37" s="219">
        <f t="shared" si="32"/>
        <v>45261</v>
      </c>
    </row>
    <row r="38" spans="1:21">
      <c r="A38" s="242" t="s">
        <v>35</v>
      </c>
      <c r="B38" s="243"/>
      <c r="C38" s="247">
        <v>0.20966599999999999</v>
      </c>
      <c r="D38" s="243"/>
      <c r="E38" s="243"/>
      <c r="F38" s="243">
        <v>5.8497E-2</v>
      </c>
      <c r="G38" s="246"/>
      <c r="I38" s="61" t="s">
        <v>76</v>
      </c>
      <c r="J38" s="248">
        <v>667.3</v>
      </c>
      <c r="K38" s="248">
        <v>590.70000000000005</v>
      </c>
      <c r="L38" s="248">
        <v>563</v>
      </c>
      <c r="M38" s="248">
        <v>416.9</v>
      </c>
      <c r="N38" s="248">
        <v>246.8</v>
      </c>
      <c r="O38" s="248">
        <v>114.5</v>
      </c>
      <c r="P38" s="248">
        <v>31.2</v>
      </c>
      <c r="Q38" s="248">
        <v>24.2</v>
      </c>
      <c r="R38" s="248">
        <v>111.7</v>
      </c>
      <c r="S38" s="248">
        <v>350.8</v>
      </c>
      <c r="T38" s="248">
        <v>538.20000000000005</v>
      </c>
      <c r="U38" s="248">
        <v>707.1</v>
      </c>
    </row>
    <row r="39" spans="1:21">
      <c r="A39" s="242" t="s">
        <v>113</v>
      </c>
      <c r="B39" s="243"/>
      <c r="C39" s="247">
        <v>0.62797800000000004</v>
      </c>
      <c r="D39" s="243"/>
      <c r="E39" s="243"/>
      <c r="F39" s="243">
        <v>0.62595699999999999</v>
      </c>
      <c r="G39" s="246"/>
      <c r="I39" s="249" t="s">
        <v>77</v>
      </c>
      <c r="J39" s="250">
        <v>671.33333333333326</v>
      </c>
      <c r="K39" s="250">
        <v>682.83333333333337</v>
      </c>
      <c r="L39" s="250">
        <v>648.375</v>
      </c>
      <c r="M39" s="250">
        <v>511.45833333333337</v>
      </c>
      <c r="N39" s="250">
        <v>189.04166666666669</v>
      </c>
      <c r="O39" s="250">
        <v>135.41666666666669</v>
      </c>
      <c r="P39" s="250">
        <v>13.5</v>
      </c>
      <c r="Q39" s="251">
        <v>16.25</v>
      </c>
      <c r="R39" s="250">
        <v>133.041666666667</v>
      </c>
      <c r="S39" s="250">
        <v>345.66666666666703</v>
      </c>
      <c r="T39" s="250">
        <v>604.33333333333303</v>
      </c>
      <c r="U39" s="250">
        <v>609.20833333333303</v>
      </c>
    </row>
    <row r="40" spans="1:21">
      <c r="A40" s="242" t="s">
        <v>36</v>
      </c>
      <c r="B40" s="243"/>
      <c r="C40" s="247">
        <v>13.33029</v>
      </c>
      <c r="D40" s="243"/>
      <c r="E40" s="243"/>
      <c r="F40" s="243">
        <v>7.4698159999999998</v>
      </c>
      <c r="G40" s="246"/>
      <c r="I40" s="61" t="s">
        <v>75</v>
      </c>
      <c r="J40" s="248">
        <f t="shared" ref="J40:O40" si="33">J38-J39</f>
        <v>-4.033333333333303</v>
      </c>
      <c r="K40" s="248">
        <f t="shared" si="33"/>
        <v>-92.133333333333326</v>
      </c>
      <c r="L40" s="248">
        <f t="shared" si="33"/>
        <v>-85.375</v>
      </c>
      <c r="M40" s="248">
        <f t="shared" si="33"/>
        <v>-94.558333333333394</v>
      </c>
      <c r="N40" s="248">
        <f t="shared" si="33"/>
        <v>57.758333333333326</v>
      </c>
      <c r="O40" s="248">
        <f t="shared" si="33"/>
        <v>-20.916666666666686</v>
      </c>
      <c r="P40" s="248">
        <f t="shared" ref="P40:U40" si="34">P38-P39</f>
        <v>17.7</v>
      </c>
      <c r="Q40" s="248">
        <f t="shared" si="34"/>
        <v>7.9499999999999993</v>
      </c>
      <c r="R40" s="248">
        <f t="shared" si="34"/>
        <v>-21.341666666666995</v>
      </c>
      <c r="S40" s="248">
        <f t="shared" si="34"/>
        <v>5.1333333333329847</v>
      </c>
      <c r="T40" s="248">
        <f t="shared" si="34"/>
        <v>-66.133333333332985</v>
      </c>
      <c r="U40" s="248">
        <f t="shared" si="34"/>
        <v>97.891666666666993</v>
      </c>
    </row>
    <row r="41" spans="1:21">
      <c r="A41" s="242" t="s">
        <v>3</v>
      </c>
      <c r="B41" s="243"/>
      <c r="C41" s="243">
        <v>6.1773749999999996</v>
      </c>
      <c r="D41" s="243"/>
      <c r="E41" s="243"/>
      <c r="F41" s="243">
        <v>8.2207600000000003</v>
      </c>
      <c r="G41" s="246"/>
      <c r="J41" s="209"/>
      <c r="K41" s="209"/>
      <c r="L41" s="209"/>
      <c r="M41" s="209"/>
      <c r="N41" s="209"/>
      <c r="O41" s="209"/>
      <c r="P41" s="209"/>
      <c r="Q41" s="252"/>
      <c r="R41" s="209"/>
      <c r="S41" s="209"/>
      <c r="T41" s="209"/>
      <c r="U41" s="209"/>
    </row>
    <row r="42" spans="1:21">
      <c r="A42" s="242" t="s">
        <v>37</v>
      </c>
      <c r="B42" s="243"/>
      <c r="C42" s="247">
        <v>64.677589999999995</v>
      </c>
      <c r="D42" s="243"/>
      <c r="E42" s="243"/>
      <c r="F42" s="243">
        <v>57.939039999999999</v>
      </c>
      <c r="G42" s="246"/>
      <c r="I42" s="61" t="s">
        <v>120</v>
      </c>
      <c r="J42" s="248">
        <v>359.9</v>
      </c>
      <c r="K42" s="248">
        <v>311.89999999999998</v>
      </c>
      <c r="L42" s="248">
        <v>257.10000000000002</v>
      </c>
      <c r="M42" s="248">
        <v>140.6</v>
      </c>
      <c r="N42" s="248">
        <v>34.5</v>
      </c>
      <c r="O42" s="248">
        <v>3.6</v>
      </c>
      <c r="P42" s="248">
        <v>0</v>
      </c>
      <c r="Q42" s="248">
        <v>0</v>
      </c>
      <c r="R42" s="248">
        <v>3.5</v>
      </c>
      <c r="S42" s="248">
        <v>79.2</v>
      </c>
      <c r="T42" s="248">
        <v>243.3</v>
      </c>
      <c r="U42" s="248">
        <v>397.8</v>
      </c>
    </row>
    <row r="43" spans="1:21">
      <c r="A43" s="242" t="s">
        <v>4</v>
      </c>
      <c r="B43" s="243"/>
      <c r="C43" s="247">
        <v>16.741350000000001</v>
      </c>
      <c r="D43" s="243"/>
      <c r="E43" s="243"/>
      <c r="F43" s="243">
        <v>45.319499999999998</v>
      </c>
      <c r="G43" s="246"/>
      <c r="I43" s="249" t="s">
        <v>121</v>
      </c>
      <c r="J43" s="250">
        <v>361.33333333333337</v>
      </c>
      <c r="K43" s="250">
        <v>402.83333333333314</v>
      </c>
      <c r="L43" s="250">
        <v>338.375</v>
      </c>
      <c r="M43" s="250">
        <v>230.91666666666669</v>
      </c>
      <c r="N43" s="250">
        <v>18.041666666666671</v>
      </c>
      <c r="O43" s="250">
        <v>5.75</v>
      </c>
      <c r="P43" s="250">
        <v>0</v>
      </c>
      <c r="Q43" s="251">
        <v>0</v>
      </c>
      <c r="R43" s="250">
        <v>3.8333333333333299</v>
      </c>
      <c r="S43" s="250">
        <v>97.5833333333333</v>
      </c>
      <c r="T43" s="250">
        <v>306.375</v>
      </c>
      <c r="U43" s="250">
        <v>301.75</v>
      </c>
    </row>
    <row r="44" spans="1:21">
      <c r="A44" s="242" t="s">
        <v>38</v>
      </c>
      <c r="B44" s="243"/>
      <c r="C44" s="247">
        <v>135.72790000000001</v>
      </c>
      <c r="D44" s="243"/>
      <c r="E44" s="243"/>
      <c r="F44" s="243">
        <v>41.135770000000001</v>
      </c>
      <c r="G44" s="246"/>
      <c r="I44" s="61" t="s">
        <v>75</v>
      </c>
      <c r="J44" s="248">
        <f t="shared" ref="J44:O44" si="35">J42-J43</f>
        <v>-1.433333333333394</v>
      </c>
      <c r="K44" s="248">
        <f t="shared" si="35"/>
        <v>-90.933333333333167</v>
      </c>
      <c r="L44" s="248">
        <f t="shared" si="35"/>
        <v>-81.274999999999977</v>
      </c>
      <c r="M44" s="248">
        <f t="shared" si="35"/>
        <v>-90.316666666666691</v>
      </c>
      <c r="N44" s="248">
        <f t="shared" si="35"/>
        <v>16.458333333333329</v>
      </c>
      <c r="O44" s="248">
        <f t="shared" si="35"/>
        <v>-2.15</v>
      </c>
      <c r="P44" s="248">
        <f t="shared" ref="P44:U44" si="36">P42-P43</f>
        <v>0</v>
      </c>
      <c r="Q44" s="248">
        <f t="shared" si="36"/>
        <v>0</v>
      </c>
      <c r="R44" s="248">
        <f t="shared" si="36"/>
        <v>-0.33333333333332993</v>
      </c>
      <c r="S44" s="248">
        <f t="shared" si="36"/>
        <v>-18.383333333333297</v>
      </c>
      <c r="T44" s="248">
        <f t="shared" si="36"/>
        <v>-63.074999999999989</v>
      </c>
      <c r="U44" s="248">
        <f t="shared" si="36"/>
        <v>96.050000000000011</v>
      </c>
    </row>
    <row r="45" spans="1:21">
      <c r="A45" s="242" t="s">
        <v>6</v>
      </c>
      <c r="B45" s="247"/>
      <c r="C45" s="247">
        <v>27.917829999999999</v>
      </c>
      <c r="D45" s="247"/>
      <c r="E45" s="247"/>
      <c r="F45" s="247">
        <v>33.107849999999999</v>
      </c>
      <c r="G45" s="253"/>
      <c r="O45" s="61"/>
      <c r="P45" s="232"/>
    </row>
    <row r="46" spans="1:21">
      <c r="A46" s="242" t="s">
        <v>5</v>
      </c>
      <c r="B46" s="247"/>
      <c r="C46" s="247"/>
      <c r="D46" s="247"/>
      <c r="E46" s="247"/>
      <c r="F46" s="247"/>
      <c r="G46" s="253"/>
      <c r="I46" s="61" t="s">
        <v>78</v>
      </c>
      <c r="J46" s="248">
        <v>99.6</v>
      </c>
      <c r="K46" s="248">
        <v>78.900000000000006</v>
      </c>
      <c r="L46" s="248">
        <v>36.799999999999997</v>
      </c>
      <c r="M46" s="248">
        <v>7.4</v>
      </c>
      <c r="N46" s="248">
        <v>0</v>
      </c>
      <c r="O46" s="248">
        <v>0</v>
      </c>
      <c r="P46" s="248">
        <v>0</v>
      </c>
      <c r="Q46" s="254">
        <v>0</v>
      </c>
      <c r="R46" s="248">
        <v>0</v>
      </c>
      <c r="S46" s="248">
        <v>1.5</v>
      </c>
      <c r="T46" s="248">
        <v>41.6</v>
      </c>
      <c r="U46" s="248">
        <v>126.5</v>
      </c>
    </row>
    <row r="47" spans="1:21">
      <c r="A47" s="242" t="s">
        <v>23</v>
      </c>
      <c r="B47" s="247"/>
      <c r="C47" s="247"/>
      <c r="D47" s="247"/>
      <c r="E47" s="247"/>
      <c r="F47" s="247"/>
      <c r="G47" s="253"/>
      <c r="I47" s="249" t="s">
        <v>79</v>
      </c>
      <c r="J47" s="250">
        <v>92</v>
      </c>
      <c r="K47" s="250">
        <v>129.7083333333334</v>
      </c>
      <c r="L47" s="250">
        <v>76.958333333333343</v>
      </c>
      <c r="M47" s="250">
        <v>26.916666666666664</v>
      </c>
      <c r="N47" s="250">
        <v>0</v>
      </c>
      <c r="O47" s="250">
        <v>0</v>
      </c>
      <c r="P47" s="250">
        <v>0</v>
      </c>
      <c r="Q47" s="251">
        <v>0</v>
      </c>
      <c r="R47" s="250">
        <v>0</v>
      </c>
      <c r="S47" s="250">
        <v>9.125</v>
      </c>
      <c r="T47" s="250">
        <v>74.375</v>
      </c>
      <c r="U47" s="250">
        <v>50.75</v>
      </c>
    </row>
    <row r="48" spans="1:21">
      <c r="A48" s="255" t="s">
        <v>8</v>
      </c>
      <c r="B48" s="247">
        <v>52.150149999999996</v>
      </c>
      <c r="C48" s="247"/>
      <c r="D48" s="247">
        <v>42.510530000000003</v>
      </c>
      <c r="E48" s="247"/>
      <c r="F48" s="247">
        <v>20.243269999999999</v>
      </c>
      <c r="G48" s="253"/>
      <c r="I48" s="61" t="s">
        <v>75</v>
      </c>
      <c r="J48" s="248">
        <f>J46-J47</f>
        <v>7.5999999999999943</v>
      </c>
      <c r="K48" s="248">
        <f t="shared" ref="K48:O48" si="37">K46-K47</f>
        <v>-50.808333333333394</v>
      </c>
      <c r="L48" s="248">
        <f t="shared" si="37"/>
        <v>-40.158333333333346</v>
      </c>
      <c r="M48" s="248">
        <f t="shared" si="37"/>
        <v>-19.516666666666666</v>
      </c>
      <c r="N48" s="248">
        <f t="shared" si="37"/>
        <v>0</v>
      </c>
      <c r="O48" s="248">
        <f t="shared" si="37"/>
        <v>0</v>
      </c>
      <c r="P48" s="248">
        <f t="shared" ref="P48:U48" si="38">P46-P47</f>
        <v>0</v>
      </c>
      <c r="Q48" s="248">
        <f t="shared" si="38"/>
        <v>0</v>
      </c>
      <c r="R48" s="248">
        <f t="shared" si="38"/>
        <v>0</v>
      </c>
      <c r="S48" s="248">
        <f t="shared" si="38"/>
        <v>-7.625</v>
      </c>
      <c r="T48" s="248">
        <f t="shared" si="38"/>
        <v>-32.774999999999999</v>
      </c>
      <c r="U48" s="248">
        <f t="shared" si="38"/>
        <v>75.75</v>
      </c>
    </row>
    <row r="49" spans="1:21">
      <c r="A49" s="256" t="s">
        <v>50</v>
      </c>
      <c r="B49" s="257"/>
      <c r="C49" s="257">
        <v>48.681870000000004</v>
      </c>
      <c r="D49" s="257"/>
      <c r="E49" s="257"/>
      <c r="F49" s="257"/>
      <c r="G49" s="253"/>
      <c r="J49" s="209"/>
      <c r="K49" s="209"/>
      <c r="L49" s="209"/>
      <c r="M49" s="209"/>
      <c r="N49" s="209"/>
      <c r="O49" s="209"/>
      <c r="P49" s="209"/>
      <c r="Q49" s="252"/>
      <c r="R49" s="209"/>
      <c r="S49" s="209"/>
      <c r="T49" s="209"/>
      <c r="U49" s="209"/>
    </row>
    <row r="50" spans="1:21">
      <c r="I50" s="61" t="s">
        <v>80</v>
      </c>
      <c r="J50" s="248">
        <v>0</v>
      </c>
      <c r="K50" s="248">
        <v>0</v>
      </c>
      <c r="L50" s="248">
        <v>0.2</v>
      </c>
      <c r="M50" s="248">
        <v>1.3</v>
      </c>
      <c r="N50" s="248">
        <v>9.9</v>
      </c>
      <c r="O50" s="248">
        <v>37.799999999999997</v>
      </c>
      <c r="P50" s="248">
        <v>111.2</v>
      </c>
      <c r="Q50" s="254">
        <v>115.1</v>
      </c>
      <c r="R50" s="248">
        <v>26.1</v>
      </c>
      <c r="S50" s="248">
        <v>0.3</v>
      </c>
      <c r="T50" s="248">
        <v>0</v>
      </c>
      <c r="U50" s="248">
        <v>0</v>
      </c>
    </row>
    <row r="51" spans="1:21">
      <c r="I51" s="249" t="s">
        <v>81</v>
      </c>
      <c r="J51" s="250">
        <v>0</v>
      </c>
      <c r="K51" s="250">
        <v>0</v>
      </c>
      <c r="L51" s="250">
        <v>0</v>
      </c>
      <c r="M51" s="250">
        <v>0</v>
      </c>
      <c r="N51" s="250">
        <v>37.083333333333343</v>
      </c>
      <c r="O51" s="250">
        <v>21.125</v>
      </c>
      <c r="P51" s="250">
        <v>95.0416666666667</v>
      </c>
      <c r="Q51" s="251">
        <v>141.375</v>
      </c>
      <c r="R51" s="250">
        <v>16.0833333333333</v>
      </c>
      <c r="S51" s="250">
        <v>0</v>
      </c>
      <c r="T51" s="250">
        <v>0</v>
      </c>
      <c r="U51" s="250">
        <v>0</v>
      </c>
    </row>
    <row r="52" spans="1:21">
      <c r="A52" s="1"/>
      <c r="B52" s="258"/>
      <c r="C52" s="258"/>
      <c r="D52" s="258"/>
      <c r="E52" s="258"/>
      <c r="F52" s="258"/>
      <c r="G52" s="258"/>
      <c r="I52" s="61" t="s">
        <v>75</v>
      </c>
      <c r="J52" s="248">
        <f>J50-J51</f>
        <v>0</v>
      </c>
      <c r="K52" s="248">
        <f t="shared" ref="K52:O52" si="39">K50-K51</f>
        <v>0</v>
      </c>
      <c r="L52" s="248">
        <f t="shared" si="39"/>
        <v>0.2</v>
      </c>
      <c r="M52" s="248">
        <f t="shared" si="39"/>
        <v>1.3</v>
      </c>
      <c r="N52" s="248">
        <f t="shared" si="39"/>
        <v>-27.183333333333344</v>
      </c>
      <c r="O52" s="248">
        <f t="shared" si="39"/>
        <v>16.674999999999997</v>
      </c>
      <c r="P52" s="248">
        <f t="shared" ref="P52:U52" si="40">P50-P51</f>
        <v>16.158333333333303</v>
      </c>
      <c r="Q52" s="248">
        <f t="shared" si="40"/>
        <v>-26.275000000000006</v>
      </c>
      <c r="R52" s="248">
        <f t="shared" si="40"/>
        <v>10.016666666666701</v>
      </c>
      <c r="S52" s="248">
        <f t="shared" si="40"/>
        <v>0.3</v>
      </c>
      <c r="T52" s="248">
        <f t="shared" si="40"/>
        <v>0</v>
      </c>
      <c r="U52" s="248">
        <f t="shared" si="40"/>
        <v>0</v>
      </c>
    </row>
    <row r="53" spans="1:21">
      <c r="J53" s="209"/>
      <c r="K53" s="209"/>
      <c r="L53" s="209"/>
      <c r="M53" s="209"/>
      <c r="N53" s="209"/>
      <c r="O53" s="209"/>
      <c r="P53" s="209"/>
      <c r="Q53" s="252"/>
      <c r="R53" s="209"/>
      <c r="S53" s="209"/>
      <c r="T53" s="209"/>
      <c r="U53" s="209"/>
    </row>
    <row r="54" spans="1:21">
      <c r="I54" s="61" t="s">
        <v>82</v>
      </c>
      <c r="J54" s="248">
        <v>0</v>
      </c>
      <c r="K54" s="248">
        <v>0</v>
      </c>
      <c r="L54" s="248">
        <v>1</v>
      </c>
      <c r="M54" s="248">
        <v>6</v>
      </c>
      <c r="N54" s="248">
        <v>37</v>
      </c>
      <c r="O54" s="248">
        <v>105</v>
      </c>
      <c r="P54" s="248">
        <v>238</v>
      </c>
      <c r="Q54" s="254">
        <v>247</v>
      </c>
      <c r="R54" s="248">
        <v>95</v>
      </c>
      <c r="S54" s="248">
        <v>6</v>
      </c>
      <c r="T54" s="248">
        <v>0</v>
      </c>
      <c r="U54" s="248">
        <v>0</v>
      </c>
    </row>
    <row r="55" spans="1:21">
      <c r="I55" s="249" t="s">
        <v>83</v>
      </c>
      <c r="J55" s="250">
        <v>0</v>
      </c>
      <c r="K55" s="250">
        <v>0</v>
      </c>
      <c r="L55" s="250">
        <v>0</v>
      </c>
      <c r="M55" s="250">
        <v>7.4166666666666643</v>
      </c>
      <c r="N55" s="250">
        <v>90.708333333333343</v>
      </c>
      <c r="O55" s="250">
        <v>77.75</v>
      </c>
      <c r="P55" s="250">
        <v>236.541666666667</v>
      </c>
      <c r="Q55" s="251">
        <v>280.33333333333297</v>
      </c>
      <c r="R55" s="250">
        <v>73.9166666666667</v>
      </c>
      <c r="S55" s="250">
        <v>8.7499999999999893</v>
      </c>
      <c r="T55" s="250">
        <v>0</v>
      </c>
      <c r="U55" s="250">
        <v>0</v>
      </c>
    </row>
    <row r="56" spans="1:21">
      <c r="I56" s="61" t="s">
        <v>75</v>
      </c>
      <c r="J56" s="248">
        <f>J54-J55</f>
        <v>0</v>
      </c>
      <c r="K56" s="248">
        <f t="shared" ref="K56:O56" si="41">K54-K55</f>
        <v>0</v>
      </c>
      <c r="L56" s="248">
        <f t="shared" si="41"/>
        <v>1</v>
      </c>
      <c r="M56" s="248">
        <f t="shared" si="41"/>
        <v>-1.4166666666666643</v>
      </c>
      <c r="N56" s="248">
        <f t="shared" si="41"/>
        <v>-53.708333333333343</v>
      </c>
      <c r="O56" s="248">
        <f t="shared" si="41"/>
        <v>27.25</v>
      </c>
      <c r="P56" s="248">
        <f t="shared" ref="P56:U56" si="42">P54-P55</f>
        <v>1.4583333333330017</v>
      </c>
      <c r="Q56" s="248">
        <f t="shared" si="42"/>
        <v>-33.333333333332973</v>
      </c>
      <c r="R56" s="248">
        <f t="shared" si="42"/>
        <v>21.0833333333333</v>
      </c>
      <c r="S56" s="248">
        <f t="shared" si="42"/>
        <v>-2.7499999999999893</v>
      </c>
      <c r="T56" s="248">
        <f t="shared" si="42"/>
        <v>0</v>
      </c>
      <c r="U56" s="248">
        <f t="shared" si="42"/>
        <v>0</v>
      </c>
    </row>
    <row r="57" spans="1:21">
      <c r="J57" s="209"/>
      <c r="K57" s="209"/>
      <c r="L57" s="209"/>
      <c r="M57" s="209"/>
      <c r="N57" s="209"/>
      <c r="O57" s="209"/>
      <c r="P57" s="232"/>
    </row>
    <row r="58" spans="1:21">
      <c r="I58" s="61" t="s">
        <v>166</v>
      </c>
      <c r="J58" s="248">
        <v>512.70000000000005</v>
      </c>
      <c r="K58" s="248">
        <v>450.8</v>
      </c>
      <c r="L58" s="248">
        <v>408.5</v>
      </c>
      <c r="M58" s="248">
        <v>272.10000000000002</v>
      </c>
      <c r="N58" s="248">
        <v>118.8</v>
      </c>
      <c r="O58" s="248">
        <v>32</v>
      </c>
      <c r="P58" s="248">
        <v>2.8</v>
      </c>
      <c r="Q58" s="61">
        <v>1.5</v>
      </c>
      <c r="R58" s="61">
        <v>30.4</v>
      </c>
      <c r="S58" s="61">
        <v>201.1</v>
      </c>
      <c r="T58" s="61">
        <v>388.5</v>
      </c>
      <c r="U58" s="61">
        <v>552.1</v>
      </c>
    </row>
    <row r="59" spans="1:21">
      <c r="I59" s="249" t="s">
        <v>167</v>
      </c>
      <c r="J59" s="250">
        <v>516.33333333333303</v>
      </c>
      <c r="K59" s="250">
        <v>542.83333333333303</v>
      </c>
      <c r="L59" s="250">
        <v>493.375</v>
      </c>
      <c r="M59" s="250">
        <v>368.875</v>
      </c>
      <c r="N59" s="250">
        <v>87.6666666666667</v>
      </c>
      <c r="O59" s="250">
        <v>42.0416666666667</v>
      </c>
      <c r="P59" s="250">
        <v>0</v>
      </c>
      <c r="Q59" s="251">
        <v>0</v>
      </c>
      <c r="R59" s="250">
        <v>3.8333333333333299</v>
      </c>
      <c r="S59" s="250">
        <v>97.5833333333333</v>
      </c>
      <c r="T59" s="250">
        <v>306.375</v>
      </c>
      <c r="U59" s="250">
        <v>301.75</v>
      </c>
    </row>
    <row r="60" spans="1:21">
      <c r="I60" s="61" t="s">
        <v>75</v>
      </c>
      <c r="J60" s="248">
        <f>J58-J59</f>
        <v>-3.6333333333329847</v>
      </c>
      <c r="K60" s="248">
        <f t="shared" ref="K60:U60" si="43">K58-K59</f>
        <v>-92.033333333333019</v>
      </c>
      <c r="L60" s="248">
        <f t="shared" si="43"/>
        <v>-84.875</v>
      </c>
      <c r="M60" s="248">
        <f t="shared" si="43"/>
        <v>-96.774999999999977</v>
      </c>
      <c r="N60" s="248">
        <f t="shared" si="43"/>
        <v>31.133333333333297</v>
      </c>
      <c r="O60" s="248">
        <f t="shared" si="43"/>
        <v>-10.0416666666667</v>
      </c>
      <c r="P60" s="248">
        <f t="shared" si="43"/>
        <v>2.8</v>
      </c>
      <c r="Q60" s="248">
        <f t="shared" si="43"/>
        <v>1.5</v>
      </c>
      <c r="R60" s="248">
        <f t="shared" si="43"/>
        <v>26.56666666666667</v>
      </c>
      <c r="S60" s="248">
        <f t="shared" si="43"/>
        <v>103.51666666666669</v>
      </c>
      <c r="T60" s="248">
        <f t="shared" si="43"/>
        <v>82.125</v>
      </c>
      <c r="U60" s="248">
        <f t="shared" si="43"/>
        <v>250.35000000000002</v>
      </c>
    </row>
    <row r="62" spans="1:21">
      <c r="I62" s="259" t="s">
        <v>171</v>
      </c>
    </row>
    <row r="63" spans="1:21">
      <c r="I63" s="259"/>
    </row>
    <row r="64" spans="1:21">
      <c r="I64" s="259"/>
    </row>
    <row r="65" spans="1:13">
      <c r="A65" s="198" t="s">
        <v>168</v>
      </c>
      <c r="I65" s="259"/>
    </row>
    <row r="66" spans="1:13">
      <c r="A66" s="260" t="s">
        <v>73</v>
      </c>
      <c r="B66" s="261">
        <f t="shared" ref="B66:M66" si="44">B7</f>
        <v>44927</v>
      </c>
      <c r="C66" s="261">
        <f t="shared" si="44"/>
        <v>44958</v>
      </c>
      <c r="D66" s="261">
        <f t="shared" si="44"/>
        <v>44986</v>
      </c>
      <c r="E66" s="261">
        <f t="shared" si="44"/>
        <v>45017</v>
      </c>
      <c r="F66" s="261">
        <f t="shared" si="44"/>
        <v>45047</v>
      </c>
      <c r="G66" s="261">
        <f t="shared" si="44"/>
        <v>45078</v>
      </c>
      <c r="H66" s="261">
        <f t="shared" si="44"/>
        <v>45108</v>
      </c>
      <c r="I66" s="261">
        <f t="shared" si="44"/>
        <v>45139</v>
      </c>
      <c r="J66" s="261">
        <f t="shared" si="44"/>
        <v>45170</v>
      </c>
      <c r="K66" s="261">
        <f t="shared" si="44"/>
        <v>45200</v>
      </c>
      <c r="L66" s="261">
        <f t="shared" si="44"/>
        <v>45231</v>
      </c>
      <c r="M66" s="261">
        <f t="shared" si="44"/>
        <v>45261</v>
      </c>
    </row>
    <row r="67" spans="1:13">
      <c r="A67" s="242" t="s">
        <v>110</v>
      </c>
      <c r="B67" s="231">
        <f>'SAP BW Actual Usage'!C33</f>
        <v>1072468</v>
      </c>
      <c r="C67" s="231">
        <f>'SAP BW Actual Usage'!D33</f>
        <v>1073374</v>
      </c>
      <c r="D67" s="231">
        <f>'SAP BW Actual Usage'!E33</f>
        <v>1074500</v>
      </c>
      <c r="E67" s="231">
        <f>'SAP BW Actual Usage'!F33</f>
        <v>1075085</v>
      </c>
      <c r="F67" s="231">
        <f>'SAP BW Actual Usage'!G33</f>
        <v>1075649</v>
      </c>
      <c r="G67" s="231">
        <f>'SAP BW Actual Usage'!H33</f>
        <v>1076408</v>
      </c>
      <c r="H67" s="231">
        <f>'SAP BW Actual Usage'!I33</f>
        <v>1077258</v>
      </c>
      <c r="I67" s="231">
        <f>'SAP BW Actual Usage'!J33</f>
        <v>1077997</v>
      </c>
      <c r="J67" s="231">
        <f>'SAP BW Actual Usage'!K33</f>
        <v>1079401</v>
      </c>
      <c r="K67" s="231">
        <f>'SAP BW Actual Usage'!L33</f>
        <v>1080769</v>
      </c>
      <c r="L67" s="231">
        <f>'SAP BW Actual Usage'!M33</f>
        <v>1082423</v>
      </c>
      <c r="M67" s="231">
        <f>'SAP BW Actual Usage'!N33</f>
        <v>1074925</v>
      </c>
    </row>
    <row r="68" spans="1:13">
      <c r="A68" s="242" t="s">
        <v>35</v>
      </c>
      <c r="B68" s="231">
        <f>'SAP BW Actual Usage'!C34</f>
        <v>31259</v>
      </c>
      <c r="C68" s="231">
        <f>'SAP BW Actual Usage'!D34</f>
        <v>31283</v>
      </c>
      <c r="D68" s="231">
        <f>'SAP BW Actual Usage'!E34</f>
        <v>31292</v>
      </c>
      <c r="E68" s="231">
        <f>'SAP BW Actual Usage'!F34</f>
        <v>31316</v>
      </c>
      <c r="F68" s="231">
        <f>'SAP BW Actual Usage'!G34</f>
        <v>31355</v>
      </c>
      <c r="G68" s="231">
        <f>'SAP BW Actual Usage'!H34</f>
        <v>31383</v>
      </c>
      <c r="H68" s="231">
        <f>'SAP BW Actual Usage'!I34</f>
        <v>31393</v>
      </c>
      <c r="I68" s="231">
        <f>'SAP BW Actual Usage'!J34</f>
        <v>31408</v>
      </c>
      <c r="J68" s="231">
        <f>'SAP BW Actual Usage'!K34</f>
        <v>31444</v>
      </c>
      <c r="K68" s="231">
        <f>'SAP BW Actual Usage'!L34</f>
        <v>31437</v>
      </c>
      <c r="L68" s="231">
        <f>'SAP BW Actual Usage'!M34</f>
        <v>31426</v>
      </c>
      <c r="M68" s="231">
        <f>'SAP BW Actual Usage'!N34</f>
        <v>31472</v>
      </c>
    </row>
    <row r="69" spans="1:13">
      <c r="A69" s="242" t="s">
        <v>107</v>
      </c>
      <c r="B69" s="231">
        <f>'SAP BW Actual Usage'!C38</f>
        <v>94372</v>
      </c>
      <c r="C69" s="231">
        <f>'SAP BW Actual Usage'!D38</f>
        <v>94415</v>
      </c>
      <c r="D69" s="231">
        <f>'SAP BW Actual Usage'!E38</f>
        <v>94477</v>
      </c>
      <c r="E69" s="231">
        <f>'SAP BW Actual Usage'!F38</f>
        <v>94573</v>
      </c>
      <c r="F69" s="231">
        <f>'SAP BW Actual Usage'!G38</f>
        <v>94574</v>
      </c>
      <c r="G69" s="231">
        <f>'SAP BW Actual Usage'!H38</f>
        <v>94643</v>
      </c>
      <c r="H69" s="231">
        <f>'SAP BW Actual Usage'!I38</f>
        <v>94656</v>
      </c>
      <c r="I69" s="231">
        <f>'SAP BW Actual Usage'!J38</f>
        <v>94715</v>
      </c>
      <c r="J69" s="231">
        <f>'SAP BW Actual Usage'!K38</f>
        <v>94658</v>
      </c>
      <c r="K69" s="231">
        <f>'SAP BW Actual Usage'!L38</f>
        <v>94745</v>
      </c>
      <c r="L69" s="231">
        <f>'SAP BW Actual Usage'!M38</f>
        <v>94959</v>
      </c>
      <c r="M69" s="231">
        <f>'SAP BW Actual Usage'!N38</f>
        <v>95033</v>
      </c>
    </row>
    <row r="70" spans="1:13">
      <c r="A70" s="242" t="s">
        <v>36</v>
      </c>
      <c r="B70" s="231">
        <f>'SAP BW Actual Usage'!C36</f>
        <v>312</v>
      </c>
      <c r="C70" s="231">
        <f>'SAP BW Actual Usage'!D36</f>
        <v>312</v>
      </c>
      <c r="D70" s="231">
        <f>'SAP BW Actual Usage'!E36</f>
        <v>311</v>
      </c>
      <c r="E70" s="231">
        <f>'SAP BW Actual Usage'!F36</f>
        <v>315</v>
      </c>
      <c r="F70" s="231">
        <f>'SAP BW Actual Usage'!G36</f>
        <v>313</v>
      </c>
      <c r="G70" s="231">
        <f>'SAP BW Actual Usage'!H36</f>
        <v>314</v>
      </c>
      <c r="H70" s="231">
        <f>'SAP BW Actual Usage'!I36</f>
        <v>316</v>
      </c>
      <c r="I70" s="231">
        <f>'SAP BW Actual Usage'!J36</f>
        <v>310</v>
      </c>
      <c r="J70" s="231">
        <f>'SAP BW Actual Usage'!K36</f>
        <v>311</v>
      </c>
      <c r="K70" s="231">
        <f>'SAP BW Actual Usage'!L36</f>
        <v>308</v>
      </c>
      <c r="L70" s="231">
        <f>'SAP BW Actual Usage'!M36</f>
        <v>311</v>
      </c>
      <c r="M70" s="231">
        <f>'SAP BW Actual Usage'!N36</f>
        <v>315</v>
      </c>
    </row>
    <row r="71" spans="1:13">
      <c r="A71" s="242" t="s">
        <v>108</v>
      </c>
      <c r="B71" s="231">
        <f>'SAP BW Actual Usage'!C39</f>
        <v>7850</v>
      </c>
      <c r="C71" s="231">
        <f>'SAP BW Actual Usage'!D39</f>
        <v>7884</v>
      </c>
      <c r="D71" s="231">
        <f>'SAP BW Actual Usage'!E39</f>
        <v>7918</v>
      </c>
      <c r="E71" s="231">
        <f>'SAP BW Actual Usage'!F39</f>
        <v>7965</v>
      </c>
      <c r="F71" s="231">
        <f>'SAP BW Actual Usage'!G39</f>
        <v>8009</v>
      </c>
      <c r="G71" s="231">
        <f>'SAP BW Actual Usage'!H39</f>
        <v>8031</v>
      </c>
      <c r="H71" s="231">
        <f>'SAP BW Actual Usage'!I39</f>
        <v>8079</v>
      </c>
      <c r="I71" s="231">
        <f>'SAP BW Actual Usage'!J39</f>
        <v>8092</v>
      </c>
      <c r="J71" s="231">
        <f>'SAP BW Actual Usage'!K39</f>
        <v>8131</v>
      </c>
      <c r="K71" s="231">
        <f>'SAP BW Actual Usage'!L39</f>
        <v>8150</v>
      </c>
      <c r="L71" s="231">
        <f>'SAP BW Actual Usage'!M39</f>
        <v>8170</v>
      </c>
      <c r="M71" s="231">
        <f>'SAP BW Actual Usage'!N39</f>
        <v>8205</v>
      </c>
    </row>
    <row r="72" spans="1:13">
      <c r="A72" s="242" t="s">
        <v>37</v>
      </c>
      <c r="B72" s="231">
        <f>'SAP BW Actual Usage'!C37</f>
        <v>13</v>
      </c>
      <c r="C72" s="231">
        <f>'SAP BW Actual Usage'!D37</f>
        <v>13</v>
      </c>
      <c r="D72" s="231">
        <f>'SAP BW Actual Usage'!E37</f>
        <v>13</v>
      </c>
      <c r="E72" s="231">
        <f>'SAP BW Actual Usage'!F37</f>
        <v>13</v>
      </c>
      <c r="F72" s="231">
        <f>'SAP BW Actual Usage'!G37</f>
        <v>13</v>
      </c>
      <c r="G72" s="231">
        <f>'SAP BW Actual Usage'!H37</f>
        <v>13</v>
      </c>
      <c r="H72" s="231">
        <f>'SAP BW Actual Usage'!I37</f>
        <v>12</v>
      </c>
      <c r="I72" s="231">
        <f>'SAP BW Actual Usage'!J37</f>
        <v>12</v>
      </c>
      <c r="J72" s="231">
        <f>'SAP BW Actual Usage'!K37</f>
        <v>12</v>
      </c>
      <c r="K72" s="231">
        <f>'SAP BW Actual Usage'!L37</f>
        <v>12</v>
      </c>
      <c r="L72" s="231">
        <f>'SAP BW Actual Usage'!M37</f>
        <v>11</v>
      </c>
      <c r="M72" s="231">
        <f>'SAP BW Actual Usage'!N37</f>
        <v>11</v>
      </c>
    </row>
    <row r="73" spans="1:13">
      <c r="A73" s="242" t="s">
        <v>109</v>
      </c>
      <c r="B73" s="231">
        <f>'SAP BW Actual Usage'!C40</f>
        <v>842</v>
      </c>
      <c r="C73" s="231">
        <f>'SAP BW Actual Usage'!D40</f>
        <v>850</v>
      </c>
      <c r="D73" s="231">
        <f>'SAP BW Actual Usage'!E40</f>
        <v>853</v>
      </c>
      <c r="E73" s="231">
        <f>'SAP BW Actual Usage'!F40</f>
        <v>865</v>
      </c>
      <c r="F73" s="231">
        <f>'SAP BW Actual Usage'!G40</f>
        <v>869</v>
      </c>
      <c r="G73" s="231">
        <f>'SAP BW Actual Usage'!H40</f>
        <v>878</v>
      </c>
      <c r="H73" s="231">
        <f>'SAP BW Actual Usage'!I40</f>
        <v>884</v>
      </c>
      <c r="I73" s="231">
        <f>'SAP BW Actual Usage'!J40</f>
        <v>891</v>
      </c>
      <c r="J73" s="231">
        <f>'SAP BW Actual Usage'!K40</f>
        <v>900</v>
      </c>
      <c r="K73" s="231">
        <f>'SAP BW Actual Usage'!L40</f>
        <v>905</v>
      </c>
      <c r="L73" s="231">
        <f>'SAP BW Actual Usage'!M40</f>
        <v>915</v>
      </c>
      <c r="M73" s="231">
        <f>'SAP BW Actual Usage'!N40</f>
        <v>913</v>
      </c>
    </row>
    <row r="74" spans="1:13">
      <c r="A74" s="242" t="s">
        <v>38</v>
      </c>
      <c r="B74" s="231">
        <f>'SAP BW Actual Usage'!C35</f>
        <v>12</v>
      </c>
      <c r="C74" s="231">
        <f>'SAP BW Actual Usage'!D35</f>
        <v>12</v>
      </c>
      <c r="D74" s="231">
        <f>'SAP BW Actual Usage'!E35</f>
        <v>12</v>
      </c>
      <c r="E74" s="231">
        <f>'SAP BW Actual Usage'!F35</f>
        <v>12</v>
      </c>
      <c r="F74" s="231">
        <f>'SAP BW Actual Usage'!G35</f>
        <v>12</v>
      </c>
      <c r="G74" s="231">
        <f>'SAP BW Actual Usage'!H35</f>
        <v>12</v>
      </c>
      <c r="H74" s="231">
        <f>'SAP BW Actual Usage'!I35</f>
        <v>12</v>
      </c>
      <c r="I74" s="231">
        <f>'SAP BW Actual Usage'!J35</f>
        <v>12</v>
      </c>
      <c r="J74" s="231">
        <f>'SAP BW Actual Usage'!K35</f>
        <v>12</v>
      </c>
      <c r="K74" s="231">
        <f>'SAP BW Actual Usage'!L35</f>
        <v>12</v>
      </c>
      <c r="L74" s="231">
        <f>'SAP BW Actual Usage'!M35</f>
        <v>12</v>
      </c>
      <c r="M74" s="231">
        <f>'SAP BW Actual Usage'!N35</f>
        <v>12</v>
      </c>
    </row>
    <row r="75" spans="1:13">
      <c r="A75" s="242" t="s">
        <v>6</v>
      </c>
      <c r="B75" s="231">
        <f>'SAP BW Actual Usage'!C42</f>
        <v>491</v>
      </c>
      <c r="C75" s="231">
        <f>'SAP BW Actual Usage'!D42</f>
        <v>489</v>
      </c>
      <c r="D75" s="231">
        <f>'SAP BW Actual Usage'!E42</f>
        <v>491</v>
      </c>
      <c r="E75" s="231">
        <f>'SAP BW Actual Usage'!F42</f>
        <v>491</v>
      </c>
      <c r="F75" s="231">
        <f>'SAP BW Actual Usage'!G42</f>
        <v>492</v>
      </c>
      <c r="G75" s="231">
        <f>'SAP BW Actual Usage'!H42</f>
        <v>489</v>
      </c>
      <c r="H75" s="231">
        <f>'SAP BW Actual Usage'!I42</f>
        <v>492</v>
      </c>
      <c r="I75" s="231">
        <f>'SAP BW Actual Usage'!J42</f>
        <v>492</v>
      </c>
      <c r="J75" s="231">
        <f>'SAP BW Actual Usage'!K42</f>
        <v>494</v>
      </c>
      <c r="K75" s="231">
        <f>'SAP BW Actual Usage'!L42</f>
        <v>495</v>
      </c>
      <c r="L75" s="231">
        <f>'SAP BW Actual Usage'!M42</f>
        <v>491</v>
      </c>
      <c r="M75" s="231">
        <f>'SAP BW Actual Usage'!N42</f>
        <v>494</v>
      </c>
    </row>
    <row r="76" spans="1:13">
      <c r="A76" s="242" t="s">
        <v>5</v>
      </c>
      <c r="B76" s="231">
        <f>'SAP BW Actual Usage'!C41</f>
        <v>589</v>
      </c>
      <c r="C76" s="231">
        <f>'SAP BW Actual Usage'!D41</f>
        <v>574</v>
      </c>
      <c r="D76" s="231">
        <f>'SAP BW Actual Usage'!E41</f>
        <v>578</v>
      </c>
      <c r="E76" s="231">
        <f>'SAP BW Actual Usage'!F41</f>
        <v>598</v>
      </c>
      <c r="F76" s="231">
        <f>'SAP BW Actual Usage'!G41</f>
        <v>634</v>
      </c>
      <c r="G76" s="231">
        <f>'SAP BW Actual Usage'!H41</f>
        <v>657</v>
      </c>
      <c r="H76" s="231">
        <f>'SAP BW Actual Usage'!I41</f>
        <v>673</v>
      </c>
      <c r="I76" s="231">
        <f>'SAP BW Actual Usage'!J41</f>
        <v>678</v>
      </c>
      <c r="J76" s="231">
        <f>'SAP BW Actual Usage'!K41</f>
        <v>666</v>
      </c>
      <c r="K76" s="231">
        <f>'SAP BW Actual Usage'!L41</f>
        <v>640</v>
      </c>
      <c r="L76" s="231">
        <f>'SAP BW Actual Usage'!M41</f>
        <v>585</v>
      </c>
      <c r="M76" s="231">
        <f>'SAP BW Actual Usage'!N41</f>
        <v>570</v>
      </c>
    </row>
    <row r="77" spans="1:13">
      <c r="A77" s="255" t="s">
        <v>8</v>
      </c>
      <c r="B77" s="231">
        <f>'SAP BW Actual Usage'!C44</f>
        <v>143</v>
      </c>
      <c r="C77" s="231">
        <f>'SAP BW Actual Usage'!D44</f>
        <v>143</v>
      </c>
      <c r="D77" s="231">
        <f>'SAP BW Actual Usage'!E44</f>
        <v>143</v>
      </c>
      <c r="E77" s="231">
        <f>'SAP BW Actual Usage'!F44</f>
        <v>143</v>
      </c>
      <c r="F77" s="231">
        <f>'SAP BW Actual Usage'!G44</f>
        <v>143</v>
      </c>
      <c r="G77" s="231">
        <f>'SAP BW Actual Usage'!H44</f>
        <v>143</v>
      </c>
      <c r="H77" s="231">
        <f>'SAP BW Actual Usage'!I44</f>
        <v>143</v>
      </c>
      <c r="I77" s="231">
        <f>'SAP BW Actual Usage'!J44</f>
        <v>143</v>
      </c>
      <c r="J77" s="231">
        <f>'SAP BW Actual Usage'!K44</f>
        <v>143</v>
      </c>
      <c r="K77" s="231">
        <f>'SAP BW Actual Usage'!L44</f>
        <v>143</v>
      </c>
      <c r="L77" s="231">
        <f>'SAP BW Actual Usage'!M44</f>
        <v>143</v>
      </c>
      <c r="M77" s="231">
        <f>'SAP BW Actual Usage'!N44</f>
        <v>143</v>
      </c>
    </row>
    <row r="78" spans="1:13">
      <c r="A78" s="262" t="s">
        <v>26</v>
      </c>
      <c r="B78" s="231">
        <f>'SAP BW Actual Usage'!C32</f>
        <v>8</v>
      </c>
      <c r="C78" s="231">
        <f>'SAP BW Actual Usage'!D32</f>
        <v>8</v>
      </c>
      <c r="D78" s="231">
        <f>'SAP BW Actual Usage'!E32</f>
        <v>8</v>
      </c>
      <c r="E78" s="231">
        <f>'SAP BW Actual Usage'!F32</f>
        <v>8</v>
      </c>
      <c r="F78" s="231">
        <f>'SAP BW Actual Usage'!G32</f>
        <v>8</v>
      </c>
      <c r="G78" s="231">
        <f>'SAP BW Actual Usage'!H32</f>
        <v>8</v>
      </c>
      <c r="H78" s="231">
        <f>'SAP BW Actual Usage'!I32</f>
        <v>8</v>
      </c>
      <c r="I78" s="231">
        <f>'SAP BW Actual Usage'!J32</f>
        <v>8</v>
      </c>
      <c r="J78" s="231">
        <f>'SAP BW Actual Usage'!K32</f>
        <v>8</v>
      </c>
      <c r="K78" s="231">
        <f>'SAP BW Actual Usage'!L32</f>
        <v>8</v>
      </c>
      <c r="L78" s="231">
        <f>'SAP BW Actual Usage'!M32</f>
        <v>8</v>
      </c>
      <c r="M78" s="231">
        <f>'SAP BW Actual Usage'!N32</f>
        <v>8</v>
      </c>
    </row>
    <row r="79" spans="1:13"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</row>
    <row r="80" spans="1:13"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</row>
    <row r="81" spans="1:15">
      <c r="A81" s="198" t="s">
        <v>130</v>
      </c>
      <c r="O81" s="233" t="s">
        <v>44</v>
      </c>
    </row>
    <row r="82" spans="1:15">
      <c r="A82" s="198" t="s">
        <v>73</v>
      </c>
      <c r="B82" s="219">
        <f t="shared" ref="B82:M82" si="45">B7</f>
        <v>44927</v>
      </c>
      <c r="C82" s="219">
        <f t="shared" si="45"/>
        <v>44958</v>
      </c>
      <c r="D82" s="219">
        <f t="shared" si="45"/>
        <v>44986</v>
      </c>
      <c r="E82" s="219">
        <f t="shared" si="45"/>
        <v>45017</v>
      </c>
      <c r="F82" s="219">
        <f t="shared" si="45"/>
        <v>45047</v>
      </c>
      <c r="G82" s="219">
        <f t="shared" si="45"/>
        <v>45078</v>
      </c>
      <c r="H82" s="219">
        <f t="shared" si="45"/>
        <v>45108</v>
      </c>
      <c r="I82" s="219">
        <f t="shared" si="45"/>
        <v>45139</v>
      </c>
      <c r="J82" s="219">
        <f t="shared" si="45"/>
        <v>45170</v>
      </c>
      <c r="K82" s="219">
        <f t="shared" si="45"/>
        <v>45200</v>
      </c>
      <c r="L82" s="219">
        <f t="shared" si="45"/>
        <v>45231</v>
      </c>
      <c r="M82" s="219">
        <f t="shared" si="45"/>
        <v>45261</v>
      </c>
      <c r="N82" s="220" t="s">
        <v>19</v>
      </c>
      <c r="O82" s="233" t="s">
        <v>45</v>
      </c>
    </row>
    <row r="83" spans="1:15">
      <c r="A83" s="210" t="s">
        <v>1</v>
      </c>
      <c r="B83" s="222">
        <f t="shared" ref="B83:M83" si="46">B8</f>
        <v>-3505668.8843327304</v>
      </c>
      <c r="C83" s="222">
        <f t="shared" si="46"/>
        <v>-88874573.833497167</v>
      </c>
      <c r="D83" s="222">
        <f t="shared" si="46"/>
        <v>-81327946.277374983</v>
      </c>
      <c r="E83" s="222">
        <f t="shared" si="46"/>
        <v>-71148638.044600859</v>
      </c>
      <c r="F83" s="222">
        <f t="shared" si="46"/>
        <v>-16136674.78955166</v>
      </c>
      <c r="G83" s="222">
        <f t="shared" si="46"/>
        <v>12368147.462381642</v>
      </c>
      <c r="H83" s="222">
        <f t="shared" si="46"/>
        <v>3085764.9283731608</v>
      </c>
      <c r="I83" s="222">
        <f t="shared" si="46"/>
        <v>-22986926.131784238</v>
      </c>
      <c r="J83" s="222">
        <f t="shared" si="46"/>
        <v>34577298.015643544</v>
      </c>
      <c r="K83" s="222">
        <f t="shared" si="46"/>
        <v>98661029.109609261</v>
      </c>
      <c r="L83" s="222">
        <f t="shared" si="46"/>
        <v>79974899.39521575</v>
      </c>
      <c r="M83" s="222">
        <f t="shared" si="46"/>
        <v>242106844.47876751</v>
      </c>
      <c r="N83" s="222">
        <f>SUM(B83:M83)</f>
        <v>186793555.42884922</v>
      </c>
      <c r="O83" s="124">
        <f t="shared" ref="O83:O93" si="47">N83/N$95</f>
        <v>1.3045405321626915</v>
      </c>
    </row>
    <row r="84" spans="1:15">
      <c r="A84" s="210" t="s">
        <v>35</v>
      </c>
      <c r="B84" s="222">
        <f t="shared" ref="B84:M84" si="48">B11</f>
        <v>-9393.9942747337318</v>
      </c>
      <c r="C84" s="222">
        <f t="shared" si="48"/>
        <v>-596430.04906613228</v>
      </c>
      <c r="D84" s="222">
        <f t="shared" si="48"/>
        <v>-533234.58506179973</v>
      </c>
      <c r="E84" s="222">
        <f t="shared" si="48"/>
        <v>-593010.24285106675</v>
      </c>
      <c r="F84" s="222">
        <f t="shared" si="48"/>
        <v>9687.9594639582883</v>
      </c>
      <c r="G84" s="222">
        <f t="shared" si="48"/>
        <v>50025.85931475</v>
      </c>
      <c r="H84" s="222">
        <f t="shared" si="48"/>
        <v>2678.0779681243907</v>
      </c>
      <c r="I84" s="222">
        <f t="shared" si="48"/>
        <v>-61242.459199999335</v>
      </c>
      <c r="J84" s="222">
        <f t="shared" si="48"/>
        <v>38780.254666999943</v>
      </c>
      <c r="K84" s="222">
        <f t="shared" si="48"/>
        <v>-121169.51427209975</v>
      </c>
      <c r="L84" s="222">
        <f t="shared" si="48"/>
        <v>-415598.88638669992</v>
      </c>
      <c r="M84" s="222">
        <f t="shared" si="48"/>
        <v>633796.33220960014</v>
      </c>
      <c r="N84" s="222">
        <f>SUM(B84:M84)</f>
        <v>-1595111.2474890989</v>
      </c>
      <c r="O84" s="124">
        <f t="shared" si="47"/>
        <v>-1.1140037839532135E-2</v>
      </c>
    </row>
    <row r="85" spans="1:15">
      <c r="A85" s="210" t="s">
        <v>115</v>
      </c>
      <c r="B85" s="222">
        <f t="shared" ref="B85:M85" si="49">B12</f>
        <v>-84944.407069603607</v>
      </c>
      <c r="C85" s="222">
        <f t="shared" si="49"/>
        <v>-5391486.6983119901</v>
      </c>
      <c r="D85" s="222">
        <f t="shared" si="49"/>
        <v>-4822003.2843001494</v>
      </c>
      <c r="E85" s="222">
        <f t="shared" si="49"/>
        <v>-5363885.4638681021</v>
      </c>
      <c r="F85" s="222">
        <f t="shared" si="49"/>
        <v>-2202026.5871234173</v>
      </c>
      <c r="G85" s="222">
        <f t="shared" si="49"/>
        <v>1614356.71756475</v>
      </c>
      <c r="H85" s="222">
        <f t="shared" si="49"/>
        <v>86407.104279980354</v>
      </c>
      <c r="I85" s="222">
        <f t="shared" si="49"/>
        <v>-1976250.5751666455</v>
      </c>
      <c r="J85" s="222">
        <f t="shared" si="49"/>
        <v>1249226.2449681647</v>
      </c>
      <c r="K85" s="222">
        <f t="shared" si="49"/>
        <v>-1093767.441630498</v>
      </c>
      <c r="L85" s="222">
        <f t="shared" si="49"/>
        <v>-3761298.6750436495</v>
      </c>
      <c r="M85" s="222">
        <f t="shared" si="49"/>
        <v>5732132.7259677015</v>
      </c>
      <c r="N85" s="222">
        <f t="shared" ref="N85:N93" si="50">SUM(B85:M85)</f>
        <v>-16013540.339733459</v>
      </c>
      <c r="O85" s="124">
        <f t="shared" si="47"/>
        <v>-0.11183636602795891</v>
      </c>
    </row>
    <row r="86" spans="1:15">
      <c r="A86" s="210" t="s">
        <v>36</v>
      </c>
      <c r="B86" s="222">
        <f t="shared" ref="B86:M86" si="51">B15</f>
        <v>-5961.3056880002514</v>
      </c>
      <c r="C86" s="222">
        <f t="shared" si="51"/>
        <v>-378196.32364799926</v>
      </c>
      <c r="D86" s="222">
        <f t="shared" si="51"/>
        <v>-336943.40844224987</v>
      </c>
      <c r="E86" s="222">
        <f t="shared" si="51"/>
        <v>-379243.41792750009</v>
      </c>
      <c r="F86" s="222">
        <f t="shared" si="51"/>
        <v>-56902.464573416713</v>
      </c>
      <c r="G86" s="222">
        <f t="shared" si="51"/>
        <v>63915.480603999997</v>
      </c>
      <c r="H86" s="222">
        <f t="shared" si="51"/>
        <v>3442.3402066658841</v>
      </c>
      <c r="I86" s="222">
        <f t="shared" si="51"/>
        <v>-77188.098666665828</v>
      </c>
      <c r="J86" s="222">
        <f t="shared" si="51"/>
        <v>48978.961027333251</v>
      </c>
      <c r="K86" s="222">
        <f t="shared" si="51"/>
        <v>-75476.990665999852</v>
      </c>
      <c r="L86" s="222">
        <f t="shared" si="51"/>
        <v>-261491.30098424995</v>
      </c>
      <c r="M86" s="222">
        <f t="shared" si="51"/>
        <v>403317.92166750005</v>
      </c>
      <c r="N86" s="222">
        <f t="shared" si="50"/>
        <v>-1051748.6070905826</v>
      </c>
      <c r="O86" s="124">
        <f t="shared" si="47"/>
        <v>-7.3452677981598758E-3</v>
      </c>
    </row>
    <row r="87" spans="1:15">
      <c r="A87" s="210" t="s">
        <v>108</v>
      </c>
      <c r="B87" s="222">
        <f t="shared" ref="B87:M87" si="52">B16</f>
        <v>-69505.764375002938</v>
      </c>
      <c r="C87" s="222">
        <f t="shared" si="52"/>
        <v>-4428673.8011999913</v>
      </c>
      <c r="D87" s="222">
        <f t="shared" si="52"/>
        <v>-3975359.8004437485</v>
      </c>
      <c r="E87" s="222">
        <f t="shared" si="52"/>
        <v>-4443832.152843751</v>
      </c>
      <c r="F87" s="222">
        <f t="shared" si="52"/>
        <v>-2721890.8578597927</v>
      </c>
      <c r="G87" s="222">
        <f t="shared" si="52"/>
        <v>1799070.1670100002</v>
      </c>
      <c r="H87" s="222">
        <f t="shared" si="52"/>
        <v>96855.966724977989</v>
      </c>
      <c r="I87" s="222">
        <f t="shared" si="52"/>
        <v>-2217412.9973333091</v>
      </c>
      <c r="J87" s="222">
        <f t="shared" si="52"/>
        <v>1409273.2407233312</v>
      </c>
      <c r="K87" s="222">
        <f t="shared" si="52"/>
        <v>-925520.0615624981</v>
      </c>
      <c r="L87" s="222">
        <f t="shared" si="52"/>
        <v>-3183341.8727812492</v>
      </c>
      <c r="M87" s="222">
        <f t="shared" si="52"/>
        <v>4868329.0080937501</v>
      </c>
      <c r="N87" s="222">
        <f t="shared" si="50"/>
        <v>-13792008.925847283</v>
      </c>
      <c r="O87" s="124">
        <f t="shared" si="47"/>
        <v>-9.6321495794702366E-2</v>
      </c>
    </row>
    <row r="88" spans="1:15">
      <c r="A88" s="210" t="s">
        <v>37</v>
      </c>
      <c r="B88" s="222">
        <f t="shared" ref="B88:M88" si="53">B19</f>
        <v>-1205.1590936667176</v>
      </c>
      <c r="C88" s="222">
        <f t="shared" si="53"/>
        <v>-76457.535058666515</v>
      </c>
      <c r="D88" s="222">
        <f t="shared" si="53"/>
        <v>-68336.724654249978</v>
      </c>
      <c r="E88" s="222">
        <f t="shared" si="53"/>
        <v>-75939.036378833349</v>
      </c>
      <c r="F88" s="222">
        <f t="shared" si="53"/>
        <v>-26615.211192916679</v>
      </c>
      <c r="G88" s="222">
        <f t="shared" si="53"/>
        <v>20524.904919999997</v>
      </c>
      <c r="H88" s="222">
        <f t="shared" si="53"/>
        <v>1013.9331999997694</v>
      </c>
      <c r="I88" s="222">
        <f t="shared" si="53"/>
        <v>-23175.615999999747</v>
      </c>
      <c r="J88" s="222">
        <f t="shared" si="53"/>
        <v>14658.577119999976</v>
      </c>
      <c r="K88" s="222">
        <f t="shared" si="53"/>
        <v>-14267.876353999971</v>
      </c>
      <c r="L88" s="222">
        <f t="shared" si="53"/>
        <v>-44874.928881749991</v>
      </c>
      <c r="M88" s="222">
        <f t="shared" si="53"/>
        <v>68335.107714500002</v>
      </c>
      <c r="N88" s="222">
        <f t="shared" si="50"/>
        <v>-226339.56465958321</v>
      </c>
      <c r="O88" s="124">
        <f t="shared" si="47"/>
        <v>-1.580724428380798E-3</v>
      </c>
    </row>
    <row r="89" spans="1:15">
      <c r="A89" s="210" t="s">
        <v>109</v>
      </c>
      <c r="B89" s="222">
        <f t="shared" ref="B89:M89" si="54">B20</f>
        <v>-20204.577270000857</v>
      </c>
      <c r="C89" s="222">
        <f t="shared" si="54"/>
        <v>-1293994.7459999977</v>
      </c>
      <c r="D89" s="222">
        <f t="shared" si="54"/>
        <v>-1160637.1977262497</v>
      </c>
      <c r="E89" s="222">
        <f t="shared" si="54"/>
        <v>-1307899.8322875004</v>
      </c>
      <c r="F89" s="222">
        <f t="shared" si="54"/>
        <v>-1875736.5814687507</v>
      </c>
      <c r="G89" s="222">
        <f t="shared" si="54"/>
        <v>1084291.69725</v>
      </c>
      <c r="H89" s="222">
        <f t="shared" si="54"/>
        <v>58424.38874998672</v>
      </c>
      <c r="I89" s="222">
        <f t="shared" si="54"/>
        <v>-1345989.1499999855</v>
      </c>
      <c r="J89" s="222">
        <f t="shared" si="54"/>
        <v>859937.51249999856</v>
      </c>
      <c r="K89" s="222">
        <f t="shared" si="54"/>
        <v>-278524.44483749947</v>
      </c>
      <c r="L89" s="222">
        <f t="shared" si="54"/>
        <v>-966203.99589374999</v>
      </c>
      <c r="M89" s="222">
        <f t="shared" si="54"/>
        <v>1468110.0874275002</v>
      </c>
      <c r="N89" s="222">
        <f t="shared" si="50"/>
        <v>-4778426.8395562489</v>
      </c>
      <c r="O89" s="124">
        <f t="shared" si="47"/>
        <v>-3.3371876657434421E-2</v>
      </c>
    </row>
    <row r="90" spans="1:15">
      <c r="A90" s="210" t="s">
        <v>38</v>
      </c>
      <c r="B90" s="222">
        <f t="shared" ref="B90:M90" si="55">B23</f>
        <v>-2334.519880000099</v>
      </c>
      <c r="C90" s="222">
        <f t="shared" si="55"/>
        <v>-148106.28447999974</v>
      </c>
      <c r="D90" s="222">
        <f t="shared" si="55"/>
        <v>-132375.42086999997</v>
      </c>
      <c r="E90" s="222">
        <f t="shared" si="55"/>
        <v>-147101.89802000005</v>
      </c>
      <c r="F90" s="222">
        <f t="shared" si="55"/>
        <v>294.25648499998715</v>
      </c>
      <c r="G90" s="222">
        <f t="shared" si="55"/>
        <v>13451.396789999999</v>
      </c>
      <c r="H90" s="222">
        <f t="shared" si="55"/>
        <v>719.87597499983633</v>
      </c>
      <c r="I90" s="222">
        <f t="shared" si="55"/>
        <v>-16454.307999999823</v>
      </c>
      <c r="J90" s="222">
        <f t="shared" si="55"/>
        <v>10407.349809999983</v>
      </c>
      <c r="K90" s="222">
        <f t="shared" si="55"/>
        <v>-29941.574739999945</v>
      </c>
      <c r="L90" s="222">
        <f t="shared" si="55"/>
        <v>-102732.44751</v>
      </c>
      <c r="M90" s="222">
        <f t="shared" si="55"/>
        <v>156439.97754000002</v>
      </c>
      <c r="N90" s="222">
        <f t="shared" si="50"/>
        <v>-397733.59689999989</v>
      </c>
      <c r="O90" s="124">
        <f t="shared" si="47"/>
        <v>-2.777716805955567E-3</v>
      </c>
    </row>
    <row r="91" spans="1:15">
      <c r="A91" s="210" t="s">
        <v>6</v>
      </c>
      <c r="B91" s="222">
        <f t="shared" ref="B91:M91" si="56">B24</f>
        <v>-19647.638159667498</v>
      </c>
      <c r="C91" s="222">
        <f t="shared" si="56"/>
        <v>-1241405.3959119976</v>
      </c>
      <c r="D91" s="222">
        <f t="shared" si="56"/>
        <v>-1114089.6219257498</v>
      </c>
      <c r="E91" s="222">
        <f t="shared" si="56"/>
        <v>-1238029.6649678336</v>
      </c>
      <c r="F91" s="222">
        <f t="shared" si="56"/>
        <v>-648793.75390000024</v>
      </c>
      <c r="G91" s="222">
        <f t="shared" si="56"/>
        <v>441170.37821250001</v>
      </c>
      <c r="H91" s="222">
        <f t="shared" si="56"/>
        <v>23754.882374994599</v>
      </c>
      <c r="I91" s="222">
        <f t="shared" si="56"/>
        <v>-542968.73999999405</v>
      </c>
      <c r="J91" s="222">
        <f t="shared" si="56"/>
        <v>344823.77572499943</v>
      </c>
      <c r="K91" s="222">
        <f t="shared" si="56"/>
        <v>-254045.27354249949</v>
      </c>
      <c r="L91" s="222">
        <f t="shared" si="56"/>
        <v>-864610.30947974976</v>
      </c>
      <c r="M91" s="222">
        <f t="shared" si="56"/>
        <v>1324664.7403210001</v>
      </c>
      <c r="N91" s="222">
        <f t="shared" si="50"/>
        <v>-3789176.621253998</v>
      </c>
      <c r="O91" s="124">
        <f t="shared" si="47"/>
        <v>-2.6463089021462462E-2</v>
      </c>
    </row>
    <row r="92" spans="1:15" s="218" customFormat="1">
      <c r="A92" s="227" t="s">
        <v>8</v>
      </c>
      <c r="B92" s="222">
        <f t="shared" ref="B92:M92" si="57">B27</f>
        <v>16121.975822333534</v>
      </c>
      <c r="C92" s="222">
        <f t="shared" si="57"/>
        <v>-995945.85544025037</v>
      </c>
      <c r="D92" s="222">
        <f t="shared" si="57"/>
        <v>-880804.36589383334</v>
      </c>
      <c r="E92" s="222">
        <f t="shared" si="57"/>
        <v>-823808.00086108374</v>
      </c>
      <c r="F92" s="222">
        <f t="shared" si="57"/>
        <v>275256.90394583321</v>
      </c>
      <c r="G92" s="222">
        <f t="shared" si="57"/>
        <v>78882.962372499984</v>
      </c>
      <c r="H92" s="222">
        <f t="shared" si="57"/>
        <v>4221.5652645823729</v>
      </c>
      <c r="I92" s="222">
        <f t="shared" si="57"/>
        <v>-96492.920333332295</v>
      </c>
      <c r="J92" s="222">
        <f t="shared" si="57"/>
        <v>61031.772110833241</v>
      </c>
      <c r="K92" s="222">
        <f t="shared" si="57"/>
        <v>-8070.7323720859404</v>
      </c>
      <c r="L92" s="222">
        <f t="shared" si="57"/>
        <v>-692426.85999391403</v>
      </c>
      <c r="M92" s="222">
        <f t="shared" si="57"/>
        <v>1190508.9979520857</v>
      </c>
      <c r="N92" s="222">
        <f t="shared" si="50"/>
        <v>-1871524.5574263318</v>
      </c>
      <c r="O92" s="124">
        <f t="shared" si="47"/>
        <v>-1.30704704265371E-2</v>
      </c>
    </row>
    <row r="93" spans="1:15">
      <c r="A93" s="210" t="s">
        <v>50</v>
      </c>
      <c r="B93" s="222">
        <f t="shared" ref="B93:M93" si="58">B28</f>
        <v>-558.21877600002369</v>
      </c>
      <c r="C93" s="222">
        <f t="shared" si="58"/>
        <v>-35414.437695999935</v>
      </c>
      <c r="D93" s="222">
        <f t="shared" si="58"/>
        <v>-31652.951873999995</v>
      </c>
      <c r="E93" s="222">
        <f t="shared" si="58"/>
        <v>-35174.273804000011</v>
      </c>
      <c r="F93" s="222">
        <f t="shared" si="58"/>
        <v>6409.7795499999984</v>
      </c>
      <c r="G93" s="222">
        <f t="shared" si="58"/>
        <v>0</v>
      </c>
      <c r="H93" s="222">
        <f t="shared" si="58"/>
        <v>0</v>
      </c>
      <c r="I93" s="222">
        <f t="shared" si="58"/>
        <v>0</v>
      </c>
      <c r="J93" s="222">
        <f t="shared" si="58"/>
        <v>0</v>
      </c>
      <c r="K93" s="222">
        <f t="shared" si="58"/>
        <v>-7159.4803479999864</v>
      </c>
      <c r="L93" s="222">
        <f t="shared" si="58"/>
        <v>-24564.871601999996</v>
      </c>
      <c r="M93" s="222">
        <f t="shared" si="58"/>
        <v>37407.14890800001</v>
      </c>
      <c r="N93" s="222">
        <f t="shared" si="50"/>
        <v>-90707.305641999934</v>
      </c>
      <c r="O93" s="124">
        <f t="shared" si="47"/>
        <v>-6.3348736256766422E-4</v>
      </c>
    </row>
    <row r="94" spans="1:15"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124"/>
    </row>
    <row r="95" spans="1:15">
      <c r="A95" s="210" t="s">
        <v>20</v>
      </c>
      <c r="B95" s="222">
        <f t="shared" ref="B95:O95" si="59">SUM(B83:B93)</f>
        <v>-3703302.4930970725</v>
      </c>
      <c r="C95" s="222">
        <f t="shared" si="59"/>
        <v>-103460684.96031016</v>
      </c>
      <c r="D95" s="222">
        <f t="shared" si="59"/>
        <v>-94383383.638567045</v>
      </c>
      <c r="E95" s="222">
        <f t="shared" si="59"/>
        <v>-85556562.028410524</v>
      </c>
      <c r="F95" s="222">
        <f t="shared" si="59"/>
        <v>-23376991.346225161</v>
      </c>
      <c r="G95" s="222">
        <f t="shared" si="59"/>
        <v>17533837.026420146</v>
      </c>
      <c r="H95" s="222">
        <f t="shared" si="59"/>
        <v>3363283.0631174725</v>
      </c>
      <c r="I95" s="222">
        <f t="shared" si="59"/>
        <v>-29344100.996484168</v>
      </c>
      <c r="J95" s="222">
        <f t="shared" si="59"/>
        <v>38614415.704295203</v>
      </c>
      <c r="K95" s="222">
        <f t="shared" si="59"/>
        <v>95853085.719284102</v>
      </c>
      <c r="L95" s="222">
        <f t="shared" si="59"/>
        <v>69657755.246658757</v>
      </c>
      <c r="M95" s="222">
        <f t="shared" si="59"/>
        <v>257989886.5265691</v>
      </c>
      <c r="N95" s="222">
        <f t="shared" si="59"/>
        <v>143187237.82325062</v>
      </c>
      <c r="O95" s="124">
        <f t="shared" si="59"/>
        <v>1.0000000000000002</v>
      </c>
    </row>
    <row r="97" spans="1:15">
      <c r="A97" s="210" t="s">
        <v>43</v>
      </c>
      <c r="B97" s="222">
        <f t="shared" ref="B97:O97" si="60">B30-B95</f>
        <v>0</v>
      </c>
      <c r="C97" s="222">
        <f t="shared" si="60"/>
        <v>0</v>
      </c>
      <c r="D97" s="222">
        <f t="shared" si="60"/>
        <v>0</v>
      </c>
      <c r="E97" s="222">
        <f t="shared" si="60"/>
        <v>0</v>
      </c>
      <c r="F97" s="222">
        <f t="shared" si="60"/>
        <v>0</v>
      </c>
      <c r="G97" s="222">
        <f t="shared" si="60"/>
        <v>0</v>
      </c>
      <c r="H97" s="222">
        <f t="shared" si="60"/>
        <v>0</v>
      </c>
      <c r="I97" s="222">
        <f t="shared" si="60"/>
        <v>0</v>
      </c>
      <c r="J97" s="222">
        <f t="shared" si="60"/>
        <v>0</v>
      </c>
      <c r="K97" s="222">
        <f t="shared" si="60"/>
        <v>0</v>
      </c>
      <c r="L97" s="222">
        <f t="shared" si="60"/>
        <v>0</v>
      </c>
      <c r="M97" s="222">
        <f t="shared" si="60"/>
        <v>0</v>
      </c>
      <c r="N97" s="222">
        <f t="shared" si="60"/>
        <v>0</v>
      </c>
      <c r="O97" s="222">
        <f t="shared" si="60"/>
        <v>0</v>
      </c>
    </row>
    <row r="98" spans="1:15">
      <c r="A98" s="34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</row>
    <row r="99" spans="1:15">
      <c r="A99" s="34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</row>
    <row r="100" spans="1:15">
      <c r="A100" s="34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</row>
    <row r="101" spans="1:15">
      <c r="A101" s="34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</row>
    <row r="102" spans="1:15"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</row>
    <row r="103" spans="1:15"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</row>
    <row r="104" spans="1:15"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</row>
    <row r="105" spans="1:15"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</row>
    <row r="106" spans="1:15"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</row>
    <row r="107" spans="1:15"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</row>
    <row r="108" spans="1:15"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</row>
    <row r="109" spans="1:15"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</row>
    <row r="110" spans="1:15"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</row>
    <row r="111" spans="1:15"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</row>
    <row r="112" spans="1:15"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</row>
    <row r="113" spans="2:13"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</row>
    <row r="114" spans="2:13"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</row>
    <row r="115" spans="2:13"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</row>
    <row r="116" spans="2:13"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</row>
    <row r="117" spans="2:13"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</row>
    <row r="118" spans="2:13"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</row>
    <row r="119" spans="2:13"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</row>
    <row r="120" spans="2:13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</row>
    <row r="121" spans="2:13"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</row>
    <row r="122" spans="2:13"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</row>
    <row r="123" spans="2:13"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</row>
    <row r="124" spans="2:13"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</row>
    <row r="125" spans="2:13"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</row>
    <row r="126" spans="2:13"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</row>
    <row r="127" spans="2:13"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</row>
    <row r="128" spans="2:13"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</row>
    <row r="129" spans="2:13"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</row>
    <row r="130" spans="2:13"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</row>
    <row r="131" spans="2:13"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</row>
    <row r="132" spans="2:13"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</row>
    <row r="133" spans="2:13"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Normal="100" workbookViewId="0">
      <selection activeCell="N13" sqref="N13:N15"/>
    </sheetView>
  </sheetViews>
  <sheetFormatPr defaultColWidth="9.140625" defaultRowHeight="11.25"/>
  <cols>
    <col min="1" max="1" width="27.7109375" style="61" customWidth="1"/>
    <col min="2" max="14" width="16" style="61" customWidth="1"/>
    <col min="15" max="15" width="9.140625" style="61"/>
    <col min="16" max="16" width="14.28515625" style="61" customWidth="1"/>
    <col min="17" max="17" width="12.28515625" style="61" customWidth="1"/>
    <col min="18" max="16384" width="9.140625" style="61"/>
  </cols>
  <sheetData>
    <row r="1" spans="1:28">
      <c r="A1" s="198" t="s">
        <v>40</v>
      </c>
    </row>
    <row r="2" spans="1:28">
      <c r="A2" s="198" t="s">
        <v>27</v>
      </c>
    </row>
    <row r="4" spans="1:28">
      <c r="A4" s="199"/>
    </row>
    <row r="5" spans="1:28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28" ht="12.75">
      <c r="A6" s="202" t="s">
        <v>24</v>
      </c>
      <c r="P6"/>
      <c r="Q6"/>
    </row>
    <row r="7" spans="1:28" ht="12.75">
      <c r="A7" s="198" t="s">
        <v>25</v>
      </c>
      <c r="B7" s="219">
        <f>'Sales &amp; Revenue Adj.'!D5</f>
        <v>44927</v>
      </c>
      <c r="C7" s="219">
        <f>'Sales &amp; Revenue Adj.'!E5</f>
        <v>44958</v>
      </c>
      <c r="D7" s="219">
        <f>'Sales &amp; Revenue Adj.'!F5</f>
        <v>44986</v>
      </c>
      <c r="E7" s="219">
        <f>'Sales &amp; Revenue Adj.'!G5</f>
        <v>45017</v>
      </c>
      <c r="F7" s="219">
        <f>'Sales &amp; Revenue Adj.'!H5</f>
        <v>45047</v>
      </c>
      <c r="G7" s="219">
        <f>'Sales &amp; Revenue Adj.'!I5</f>
        <v>45078</v>
      </c>
      <c r="H7" s="219">
        <f>'Sales &amp; Revenue Adj.'!J5</f>
        <v>45108</v>
      </c>
      <c r="I7" s="219">
        <f>'Sales &amp; Revenue Adj.'!K5</f>
        <v>45139</v>
      </c>
      <c r="J7" s="219">
        <f>'Sales &amp; Revenue Adj.'!L5</f>
        <v>45170</v>
      </c>
      <c r="K7" s="219">
        <f>'Sales &amp; Revenue Adj.'!M5</f>
        <v>45200</v>
      </c>
      <c r="L7" s="219">
        <f>'Sales &amp; Revenue Adj.'!N5</f>
        <v>45231</v>
      </c>
      <c r="M7" s="219">
        <f>'Sales &amp; Revenue Adj.'!O5</f>
        <v>45261</v>
      </c>
      <c r="N7" s="220" t="s">
        <v>19</v>
      </c>
      <c r="P7"/>
      <c r="Q7"/>
    </row>
    <row r="8" spans="1:28" ht="12.75">
      <c r="A8" s="221" t="s">
        <v>110</v>
      </c>
      <c r="B8" s="222">
        <f>'Actual Total Usage'!B8+'Temp Adj. by Schedule'!B83</f>
        <v>1330449225.8396673</v>
      </c>
      <c r="C8" s="222">
        <f>'Actual Total Usage'!C8+'Temp Adj. by Schedule'!C83</f>
        <v>1115575410.7595029</v>
      </c>
      <c r="D8" s="222">
        <f>'Actual Total Usage'!D8+'Temp Adj. by Schedule'!D83</f>
        <v>1135888720.3696251</v>
      </c>
      <c r="E8" s="222">
        <f>'Actual Total Usage'!E8+'Temp Adj. by Schedule'!E83</f>
        <v>1003767886.1563991</v>
      </c>
      <c r="F8" s="222">
        <f>'Actual Total Usage'!F8+'Temp Adj. by Schedule'!F83</f>
        <v>822358534.51644838</v>
      </c>
      <c r="G8" s="222">
        <f>'Actual Total Usage'!G8+'Temp Adj. by Schedule'!G83</f>
        <v>753135460.45238161</v>
      </c>
      <c r="H8" s="222">
        <f>'Actual Total Usage'!H8+'Temp Adj. by Schedule'!H83</f>
        <v>752894705.02737319</v>
      </c>
      <c r="I8" s="222">
        <f>'Actual Total Usage'!I8+'Temp Adj. by Schedule'!I83</f>
        <v>766886073.46621585</v>
      </c>
      <c r="J8" s="222">
        <f>'Actual Total Usage'!J8+'Temp Adj. by Schedule'!J83</f>
        <v>798615583.08364356</v>
      </c>
      <c r="K8" s="222">
        <f>'Actual Total Usage'!K8+'Temp Adj. by Schedule'!K83</f>
        <v>814890700.16960931</v>
      </c>
      <c r="L8" s="222">
        <f>'Actual Total Usage'!L8+'Temp Adj. by Schedule'!L83</f>
        <v>1015347374.9392158</v>
      </c>
      <c r="M8" s="222">
        <f>'Actual Total Usage'!M8+'Temp Adj. by Schedule'!M83</f>
        <v>1437810051.7607675</v>
      </c>
      <c r="N8" s="223">
        <f>SUM(B8:M8)</f>
        <v>11747619726.540852</v>
      </c>
      <c r="P8"/>
      <c r="Q8"/>
    </row>
    <row r="9" spans="1:28" ht="12.75">
      <c r="A9" s="210" t="s">
        <v>29</v>
      </c>
      <c r="B9" s="224">
        <f t="shared" ref="B9:I9" si="0">SUM(B8:B8)</f>
        <v>1330449225.8396673</v>
      </c>
      <c r="C9" s="224">
        <f t="shared" si="0"/>
        <v>1115575410.7595029</v>
      </c>
      <c r="D9" s="224">
        <f t="shared" si="0"/>
        <v>1135888720.3696251</v>
      </c>
      <c r="E9" s="224">
        <f t="shared" si="0"/>
        <v>1003767886.1563991</v>
      </c>
      <c r="F9" s="224">
        <f t="shared" si="0"/>
        <v>822358534.51644838</v>
      </c>
      <c r="G9" s="224">
        <f t="shared" si="0"/>
        <v>753135460.45238161</v>
      </c>
      <c r="H9" s="224">
        <f t="shared" si="0"/>
        <v>752894705.02737319</v>
      </c>
      <c r="I9" s="224">
        <f t="shared" si="0"/>
        <v>766886073.46621585</v>
      </c>
      <c r="J9" s="224">
        <f t="shared" ref="J9:M9" si="1">SUM(J8:J8)</f>
        <v>798615583.08364356</v>
      </c>
      <c r="K9" s="224">
        <f t="shared" si="1"/>
        <v>814890700.16960931</v>
      </c>
      <c r="L9" s="224">
        <f t="shared" si="1"/>
        <v>1015347374.9392158</v>
      </c>
      <c r="M9" s="224">
        <f t="shared" si="1"/>
        <v>1437810051.7607675</v>
      </c>
      <c r="N9" s="224">
        <f>SUM(B9:M9)</f>
        <v>11747619726.540852</v>
      </c>
      <c r="P9"/>
      <c r="Q9"/>
    </row>
    <row r="10" spans="1:28" ht="12.75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P10"/>
      <c r="Q10"/>
    </row>
    <row r="11" spans="1:28" ht="12.75">
      <c r="A11" s="221" t="s">
        <v>35</v>
      </c>
      <c r="B11" s="222">
        <f>'Actual Total Usage'!B11+'Temp Adj. by Schedule'!B84</f>
        <v>30384077.873725265</v>
      </c>
      <c r="C11" s="222">
        <f>'Actual Total Usage'!C11+'Temp Adj. by Schedule'!C84</f>
        <v>25933778.162933867</v>
      </c>
      <c r="D11" s="222">
        <f>'Actual Total Usage'!D11+'Temp Adj. by Schedule'!D84</f>
        <v>26072179.676938199</v>
      </c>
      <c r="E11" s="222">
        <f>'Actual Total Usage'!E11+'Temp Adj. by Schedule'!E84</f>
        <v>24154385.396148931</v>
      </c>
      <c r="F11" s="222">
        <f>'Actual Total Usage'!F11+'Temp Adj. by Schedule'!F84</f>
        <v>19132625.078463957</v>
      </c>
      <c r="G11" s="222">
        <f>'Actual Total Usage'!G11+'Temp Adj. by Schedule'!G84</f>
        <v>18235871.028314751</v>
      </c>
      <c r="H11" s="222">
        <f>'Actual Total Usage'!H11+'Temp Adj. by Schedule'!H84</f>
        <v>17398300.974968124</v>
      </c>
      <c r="I11" s="222">
        <f>'Actual Total Usage'!I11+'Temp Adj. by Schedule'!I84</f>
        <v>20428541.6908</v>
      </c>
      <c r="J11" s="222">
        <f>'Actual Total Usage'!J11+'Temp Adj. by Schedule'!J84</f>
        <v>18110151.230666999</v>
      </c>
      <c r="K11" s="222">
        <f>'Actual Total Usage'!K11+'Temp Adj. by Schedule'!K84</f>
        <v>17248677.939727899</v>
      </c>
      <c r="L11" s="222">
        <f>'Actual Total Usage'!L11+'Temp Adj. by Schedule'!L84</f>
        <v>19666609.400613301</v>
      </c>
      <c r="M11" s="222">
        <f>'Actual Total Usage'!M11+'Temp Adj. by Schedule'!M84</f>
        <v>26406113.459209599</v>
      </c>
      <c r="N11" s="223">
        <f>SUM(B11:M11)</f>
        <v>263171311.9125109</v>
      </c>
      <c r="P11"/>
      <c r="Q11"/>
    </row>
    <row r="12" spans="1:28" s="225" customFormat="1" ht="12.75">
      <c r="A12" s="221" t="s">
        <v>107</v>
      </c>
      <c r="B12" s="2">
        <f>'Actual Total Usage'!B12+'Temp Adj. by Schedule'!B85</f>
        <v>241226236.48793042</v>
      </c>
      <c r="C12" s="2">
        <f>'Actual Total Usage'!C12+'Temp Adj. by Schedule'!C85</f>
        <v>210045999.62468803</v>
      </c>
      <c r="D12" s="2">
        <f>'Actual Total Usage'!D12+'Temp Adj. by Schedule'!D85</f>
        <v>222017483.83569986</v>
      </c>
      <c r="E12" s="2">
        <f>'Actual Total Usage'!E12+'Temp Adj. by Schedule'!E85</f>
        <v>210654741.46713188</v>
      </c>
      <c r="F12" s="2">
        <f>'Actual Total Usage'!F12+'Temp Adj. by Schedule'!F85</f>
        <v>186215467.93587658</v>
      </c>
      <c r="G12" s="2">
        <f>'Actual Total Usage'!G12+'Temp Adj. by Schedule'!G85</f>
        <v>189908522.64256477</v>
      </c>
      <c r="H12" s="2">
        <f>'Actual Total Usage'!H12+'Temp Adj. by Schedule'!H85</f>
        <v>189620650.22127998</v>
      </c>
      <c r="I12" s="2">
        <f>'Actual Total Usage'!I12+'Temp Adj. by Schedule'!I85</f>
        <v>199948288.05583334</v>
      </c>
      <c r="J12" s="2">
        <f>'Actual Total Usage'!J12+'Temp Adj. by Schedule'!J85</f>
        <v>196059608.46296814</v>
      </c>
      <c r="K12" s="2">
        <f>'Actual Total Usage'!K12+'Temp Adj. by Schedule'!K85</f>
        <v>173461793.0943695</v>
      </c>
      <c r="L12" s="2">
        <f>'Actual Total Usage'!L12+'Temp Adj. by Schedule'!L85</f>
        <v>183786662.60695636</v>
      </c>
      <c r="M12" s="2">
        <f>'Actual Total Usage'!M12+'Temp Adj. by Schedule'!M85</f>
        <v>220328713.02796769</v>
      </c>
      <c r="N12" s="2">
        <f>SUM(B12:M12)</f>
        <v>2423274167.4632664</v>
      </c>
      <c r="P12"/>
      <c r="Q12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 ht="12.75">
      <c r="A13" s="210" t="s">
        <v>30</v>
      </c>
      <c r="B13" s="224">
        <f t="shared" ref="B13:I13" si="2">SUM(B11:B12)</f>
        <v>271610314.36165571</v>
      </c>
      <c r="C13" s="224">
        <f t="shared" si="2"/>
        <v>235979777.78762189</v>
      </c>
      <c r="D13" s="224">
        <f t="shared" si="2"/>
        <v>248089663.51263806</v>
      </c>
      <c r="E13" s="224">
        <f t="shared" si="2"/>
        <v>234809126.8632808</v>
      </c>
      <c r="F13" s="224">
        <f t="shared" si="2"/>
        <v>205348093.01434052</v>
      </c>
      <c r="G13" s="224">
        <f t="shared" si="2"/>
        <v>208144393.67087951</v>
      </c>
      <c r="H13" s="224">
        <f t="shared" si="2"/>
        <v>207018951.19624811</v>
      </c>
      <c r="I13" s="224">
        <f t="shared" si="2"/>
        <v>220376829.74663335</v>
      </c>
      <c r="J13" s="224">
        <f t="shared" ref="J13:M13" si="3">SUM(J11:J12)</f>
        <v>214169759.69363514</v>
      </c>
      <c r="K13" s="224">
        <f t="shared" si="3"/>
        <v>190710471.0340974</v>
      </c>
      <c r="L13" s="224">
        <f t="shared" si="3"/>
        <v>203453272.00756967</v>
      </c>
      <c r="M13" s="224">
        <f t="shared" si="3"/>
        <v>246734826.48717728</v>
      </c>
      <c r="N13" s="224">
        <f>SUM(B13:M13)</f>
        <v>2686445479.3757777</v>
      </c>
      <c r="P13"/>
      <c r="Q13"/>
    </row>
    <row r="14" spans="1:28" ht="12.75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  <c r="P14"/>
      <c r="Q14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 ht="12.75">
      <c r="A15" s="221" t="s">
        <v>36</v>
      </c>
      <c r="B15" s="222">
        <f>'Actual Total Usage'!B15+'Temp Adj. by Schedule'!B86</f>
        <v>13119284.113312</v>
      </c>
      <c r="C15" s="222">
        <f>'Actual Total Usage'!C15+'Temp Adj. by Schedule'!C86</f>
        <v>11017958.999352001</v>
      </c>
      <c r="D15" s="222">
        <f>'Actual Total Usage'!D15+'Temp Adj. by Schedule'!D86</f>
        <v>12321349.43955775</v>
      </c>
      <c r="E15" s="222">
        <f>'Actual Total Usage'!E15+'Temp Adj. by Schedule'!E86</f>
        <v>12380076.575072501</v>
      </c>
      <c r="F15" s="222">
        <f>'Actual Total Usage'!F15+'Temp Adj. by Schedule'!F86</f>
        <v>9731970.8144265823</v>
      </c>
      <c r="G15" s="222">
        <f>'Actual Total Usage'!G15+'Temp Adj. by Schedule'!G86</f>
        <v>9075651.6106040012</v>
      </c>
      <c r="H15" s="222">
        <f>'Actual Total Usage'!H15+'Temp Adj. by Schedule'!H86</f>
        <v>9538653.9602066651</v>
      </c>
      <c r="I15" s="222">
        <f>'Actual Total Usage'!I15+'Temp Adj. by Schedule'!I86</f>
        <v>9877673.3883333337</v>
      </c>
      <c r="J15" s="222">
        <f>'Actual Total Usage'!J15+'Temp Adj. by Schedule'!J86</f>
        <v>9553935.3400273342</v>
      </c>
      <c r="K15" s="222">
        <f>'Actual Total Usage'!K15+'Temp Adj. by Schedule'!K86</f>
        <v>9156983.0743339993</v>
      </c>
      <c r="L15" s="222">
        <f>'Actual Total Usage'!L15+'Temp Adj. by Schedule'!L86</f>
        <v>10246104.239015749</v>
      </c>
      <c r="M15" s="222">
        <f>'Actual Total Usage'!M15+'Temp Adj. by Schedule'!M86</f>
        <v>12978660.624667499</v>
      </c>
      <c r="N15" s="223">
        <f>SUM(B15:M15)</f>
        <v>128998302.17890939</v>
      </c>
      <c r="P15"/>
      <c r="Q15"/>
    </row>
    <row r="16" spans="1:28" s="225" customFormat="1" ht="12.75">
      <c r="A16" s="221" t="s">
        <v>108</v>
      </c>
      <c r="B16" s="2">
        <f>'Actual Total Usage'!B16+'Temp Adj. by Schedule'!B87</f>
        <v>259732497.307625</v>
      </c>
      <c r="C16" s="2">
        <f>'Actual Total Usage'!C16+'Temp Adj. by Schedule'!C87</f>
        <v>236841871.92679998</v>
      </c>
      <c r="D16" s="2">
        <f>'Actual Total Usage'!D16+'Temp Adj. by Schedule'!D87</f>
        <v>249042946.98355627</v>
      </c>
      <c r="E16" s="2">
        <f>'Actual Total Usage'!E16+'Temp Adj. by Schedule'!E87</f>
        <v>242994482.87915626</v>
      </c>
      <c r="F16" s="2">
        <f>'Actual Total Usage'!F16+'Temp Adj. by Schedule'!F87</f>
        <v>209550402.26414022</v>
      </c>
      <c r="G16" s="2">
        <f>'Actual Total Usage'!G16+'Temp Adj. by Schedule'!G87</f>
        <v>247715329.77201</v>
      </c>
      <c r="H16" s="2">
        <f>'Actual Total Usage'!H16+'Temp Adj. by Schedule'!H87</f>
        <v>239598405.11372501</v>
      </c>
      <c r="I16" s="2">
        <f>'Actual Total Usage'!I16+'Temp Adj. by Schedule'!I87</f>
        <v>261385321.87466669</v>
      </c>
      <c r="J16" s="2">
        <f>'Actual Total Usage'!J16+'Temp Adj. by Schedule'!J87</f>
        <v>245646877.79772332</v>
      </c>
      <c r="K16" s="2">
        <f>'Actual Total Usage'!K16+'Temp Adj. by Schedule'!K87</f>
        <v>223363497.31843749</v>
      </c>
      <c r="L16" s="2">
        <f>'Actual Total Usage'!L16+'Temp Adj. by Schedule'!L87</f>
        <v>220027939.68121874</v>
      </c>
      <c r="M16" s="2">
        <f>'Actual Total Usage'!M16+'Temp Adj. by Schedule'!M87</f>
        <v>258847500.65609375</v>
      </c>
      <c r="N16" s="2">
        <f>SUM(B16:M16)</f>
        <v>2894747073.5751524</v>
      </c>
      <c r="P16"/>
      <c r="Q1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 ht="12.75">
      <c r="A17" s="210" t="s">
        <v>31</v>
      </c>
      <c r="B17" s="224">
        <f t="shared" ref="B17:I17" si="4">SUM(B15:B16)</f>
        <v>272851781.420937</v>
      </c>
      <c r="C17" s="224">
        <f t="shared" si="4"/>
        <v>247859830.92615199</v>
      </c>
      <c r="D17" s="224">
        <f t="shared" si="4"/>
        <v>261364296.42311403</v>
      </c>
      <c r="E17" s="224">
        <f t="shared" si="4"/>
        <v>255374559.45422876</v>
      </c>
      <c r="F17" s="224">
        <f t="shared" si="4"/>
        <v>219282373.07856679</v>
      </c>
      <c r="G17" s="224">
        <f t="shared" si="4"/>
        <v>256790981.38261399</v>
      </c>
      <c r="H17" s="224">
        <f t="shared" si="4"/>
        <v>249137059.07393166</v>
      </c>
      <c r="I17" s="224">
        <f t="shared" si="4"/>
        <v>271262995.26300001</v>
      </c>
      <c r="J17" s="224">
        <f t="shared" ref="J17:M17" si="5">SUM(J15:J16)</f>
        <v>255200813.13775066</v>
      </c>
      <c r="K17" s="224">
        <f t="shared" si="5"/>
        <v>232520480.39277148</v>
      </c>
      <c r="L17" s="224">
        <f t="shared" si="5"/>
        <v>230274043.9202345</v>
      </c>
      <c r="M17" s="224">
        <f t="shared" si="5"/>
        <v>271826161.28076124</v>
      </c>
      <c r="N17" s="224">
        <f>SUM(B17:M17)</f>
        <v>3023745375.7540622</v>
      </c>
      <c r="P17"/>
      <c r="Q17"/>
    </row>
    <row r="18" spans="1:28" ht="12.75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3"/>
      <c r="P18"/>
      <c r="Q18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</row>
    <row r="19" spans="1:28" ht="12.75">
      <c r="A19" s="221" t="s">
        <v>37</v>
      </c>
      <c r="B19" s="222">
        <f>'Actual Total Usage'!B19+'Temp Adj. by Schedule'!B88</f>
        <v>1575234.8409063332</v>
      </c>
      <c r="C19" s="222">
        <f>'Actual Total Usage'!C19+'Temp Adj. by Schedule'!C88</f>
        <v>1416562.4649413335</v>
      </c>
      <c r="D19" s="222">
        <f>'Actual Total Usage'!D19+'Temp Adj. by Schedule'!D88</f>
        <v>1983923.2753457499</v>
      </c>
      <c r="E19" s="222">
        <f>'Actual Total Usage'!E19+'Temp Adj. by Schedule'!E88</f>
        <v>1114320.9636211665</v>
      </c>
      <c r="F19" s="222">
        <f>'Actual Total Usage'!F19+'Temp Adj. by Schedule'!F88</f>
        <v>939164.78880708327</v>
      </c>
      <c r="G19" s="222">
        <f>'Actual Total Usage'!G19+'Temp Adj. by Schedule'!G88</f>
        <v>1397544.9049199999</v>
      </c>
      <c r="H19" s="222">
        <f>'Actual Total Usage'!H19+'Temp Adj. by Schedule'!H88</f>
        <v>1571973.9331999999</v>
      </c>
      <c r="I19" s="222">
        <f>'Actual Total Usage'!I19+'Temp Adj. by Schedule'!I88</f>
        <v>1518344.3840000003</v>
      </c>
      <c r="J19" s="222">
        <f>'Actual Total Usage'!J19+'Temp Adj. by Schedule'!J88</f>
        <v>1418784.1771200001</v>
      </c>
      <c r="K19" s="222">
        <f>'Actual Total Usage'!K19+'Temp Adj. by Schedule'!K88</f>
        <v>973486.52364600007</v>
      </c>
      <c r="L19" s="222">
        <f>'Actual Total Usage'!L19+'Temp Adj. by Schedule'!L88</f>
        <v>1153545.07111825</v>
      </c>
      <c r="M19" s="222">
        <f>'Actual Total Usage'!M19+'Temp Adj. by Schedule'!M88</f>
        <v>1514775.1077145</v>
      </c>
      <c r="N19" s="223">
        <f>SUM(B19:M19)</f>
        <v>16577660.435340418</v>
      </c>
      <c r="P19"/>
      <c r="Q19"/>
    </row>
    <row r="20" spans="1:28" s="225" customFormat="1" ht="12.75">
      <c r="A20" s="221" t="s">
        <v>109</v>
      </c>
      <c r="B20" s="2">
        <f>'Actual Total Usage'!B20+'Temp Adj. by Schedule'!B89</f>
        <v>152876112.72373</v>
      </c>
      <c r="C20" s="2">
        <f>'Actual Total Usage'!C20+'Temp Adj. by Schedule'!C89</f>
        <v>139632670.99000001</v>
      </c>
      <c r="D20" s="2">
        <f>'Actual Total Usage'!D20+'Temp Adj. by Schedule'!D89</f>
        <v>147798527.87827376</v>
      </c>
      <c r="E20" s="2">
        <f>'Actual Total Usage'!E20+'Temp Adj. by Schedule'!E89</f>
        <v>151537072.74371248</v>
      </c>
      <c r="F20" s="2">
        <f>'Actual Total Usage'!F20+'Temp Adj. by Schedule'!F89</f>
        <v>137195907.36753124</v>
      </c>
      <c r="G20" s="2">
        <f>'Actual Total Usage'!G20+'Temp Adj. by Schedule'!G89</f>
        <v>146383068.55925</v>
      </c>
      <c r="H20" s="2">
        <f>'Actual Total Usage'!H20+'Temp Adj. by Schedule'!H89</f>
        <v>163977961.97574997</v>
      </c>
      <c r="I20" s="2">
        <f>'Actual Total Usage'!I20+'Temp Adj. by Schedule'!I89</f>
        <v>173245186.64600003</v>
      </c>
      <c r="J20" s="2">
        <f>'Actual Total Usage'!J20+'Temp Adj. by Schedule'!J89</f>
        <v>163800067.68149999</v>
      </c>
      <c r="K20" s="2">
        <f>'Actual Total Usage'!K20+'Temp Adj. by Schedule'!K89</f>
        <v>162218433.5011625</v>
      </c>
      <c r="L20" s="2">
        <f>'Actual Total Usage'!L20+'Temp Adj. by Schedule'!L89</f>
        <v>146916908.72110626</v>
      </c>
      <c r="M20" s="2">
        <f>'Actual Total Usage'!M20+'Temp Adj. by Schedule'!M89</f>
        <v>160949108.17742747</v>
      </c>
      <c r="N20" s="2">
        <f>SUM(B20:M20)</f>
        <v>1846531026.9654438</v>
      </c>
      <c r="P20"/>
      <c r="Q20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1:28" ht="12.75">
      <c r="A21" s="210" t="s">
        <v>32</v>
      </c>
      <c r="B21" s="224">
        <f t="shared" ref="B21:I21" si="6">SUM(B19:B20)</f>
        <v>154451347.56463632</v>
      </c>
      <c r="C21" s="224">
        <f t="shared" si="6"/>
        <v>141049233.45494133</v>
      </c>
      <c r="D21" s="224">
        <f t="shared" si="6"/>
        <v>149782451.1536195</v>
      </c>
      <c r="E21" s="224">
        <f t="shared" si="6"/>
        <v>152651393.70733365</v>
      </c>
      <c r="F21" s="224">
        <f t="shared" si="6"/>
        <v>138135072.15633833</v>
      </c>
      <c r="G21" s="224">
        <f t="shared" si="6"/>
        <v>147780613.46417001</v>
      </c>
      <c r="H21" s="224">
        <f t="shared" si="6"/>
        <v>165549935.90894997</v>
      </c>
      <c r="I21" s="224">
        <f t="shared" si="6"/>
        <v>174763531.03000003</v>
      </c>
      <c r="J21" s="224">
        <f t="shared" ref="J21:M21" si="7">SUM(J19:J20)</f>
        <v>165218851.85861999</v>
      </c>
      <c r="K21" s="224">
        <f t="shared" si="7"/>
        <v>163191920.0248085</v>
      </c>
      <c r="L21" s="224">
        <f t="shared" si="7"/>
        <v>148070453.7922245</v>
      </c>
      <c r="M21" s="224">
        <f t="shared" si="7"/>
        <v>162463883.28514197</v>
      </c>
      <c r="N21" s="224">
        <f>SUM(B21:M21)</f>
        <v>1863108687.4007838</v>
      </c>
      <c r="P21"/>
      <c r="Q21"/>
    </row>
    <row r="22" spans="1:28" ht="12.75"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P22"/>
      <c r="Q22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 ht="12.75">
      <c r="A23" s="221" t="s">
        <v>38</v>
      </c>
      <c r="B23" s="222">
        <f>'Actual Total Usage'!B23+'Temp Adj. by Schedule'!B90</f>
        <v>2792287.4001199999</v>
      </c>
      <c r="C23" s="222">
        <f>'Actual Total Usage'!C23+'Temp Adj. by Schedule'!C90</f>
        <v>2488824.2955200002</v>
      </c>
      <c r="D23" s="222">
        <f>'Actual Total Usage'!D23+'Temp Adj. by Schedule'!D90</f>
        <v>2015984.57913</v>
      </c>
      <c r="E23" s="222">
        <f>'Actual Total Usage'!E23+'Temp Adj. by Schedule'!E90</f>
        <v>1819038.10198</v>
      </c>
      <c r="F23" s="222">
        <f>'Actual Total Usage'!F23+'Temp Adj. by Schedule'!F90</f>
        <v>1691874.256485</v>
      </c>
      <c r="G23" s="222">
        <f>'Actual Total Usage'!G23+'Temp Adj. by Schedule'!G90</f>
        <v>1815251.3967899999</v>
      </c>
      <c r="H23" s="222">
        <f>'Actual Total Usage'!H23+'Temp Adj. by Schedule'!H90</f>
        <v>1582919.8759749997</v>
      </c>
      <c r="I23" s="222">
        <f>'Actual Total Usage'!I23+'Temp Adj. by Schedule'!I90</f>
        <v>1444725.6920000003</v>
      </c>
      <c r="J23" s="222">
        <f>'Actual Total Usage'!J23+'Temp Adj. by Schedule'!J90</f>
        <v>1700127.34981</v>
      </c>
      <c r="K23" s="222">
        <f>'Actual Total Usage'!K23+'Temp Adj. by Schedule'!K90</f>
        <v>1443598.4252600002</v>
      </c>
      <c r="L23" s="222">
        <f>'Actual Total Usage'!L23+'Temp Adj. by Schedule'!L90</f>
        <v>1560227.5524899999</v>
      </c>
      <c r="M23" s="222">
        <f>'Actual Total Usage'!M23+'Temp Adj. by Schedule'!M90</f>
        <v>2289439.9775399999</v>
      </c>
      <c r="N23" s="223">
        <f>SUM(B23:M23)</f>
        <v>22644298.903099999</v>
      </c>
      <c r="P23"/>
      <c r="Q23"/>
    </row>
    <row r="24" spans="1:28" s="225" customFormat="1" ht="12.75">
      <c r="A24" s="221" t="s">
        <v>6</v>
      </c>
      <c r="B24" s="2">
        <f>'Actual Total Usage'!B24+'Temp Adj. by Schedule'!B91</f>
        <v>114933039.75684035</v>
      </c>
      <c r="C24" s="2">
        <f>'Actual Total Usage'!C24+'Temp Adj. by Schedule'!C91</f>
        <v>115780664.95508802</v>
      </c>
      <c r="D24" s="2">
        <f>'Actual Total Usage'!D24+'Temp Adj. by Schedule'!D91</f>
        <v>125636031.61307423</v>
      </c>
      <c r="E24" s="2">
        <f>'Actual Total Usage'!E24+'Temp Adj. by Schedule'!E91</f>
        <v>97778197.254032165</v>
      </c>
      <c r="F24" s="2">
        <f>'Actual Total Usage'!F24+'Temp Adj. by Schedule'!F91</f>
        <v>91104166.561099991</v>
      </c>
      <c r="G24" s="2">
        <f>'Actual Total Usage'!G24+'Temp Adj. by Schedule'!G91</f>
        <v>124657575.32621251</v>
      </c>
      <c r="H24" s="2">
        <f>'Actual Total Usage'!H24+'Temp Adj. by Schedule'!H91</f>
        <v>108404034.850375</v>
      </c>
      <c r="I24" s="2">
        <f>'Actual Total Usage'!I24+'Temp Adj. by Schedule'!I91</f>
        <v>144274007.73900002</v>
      </c>
      <c r="J24" s="2">
        <f>'Actual Total Usage'!J24+'Temp Adj. by Schedule'!J91</f>
        <v>127570967.18572499</v>
      </c>
      <c r="K24" s="2">
        <f>'Actual Total Usage'!K24+'Temp Adj. by Schedule'!K91</f>
        <v>108861302.9904575</v>
      </c>
      <c r="L24" s="2">
        <f>'Actual Total Usage'!L24+'Temp Adj. by Schedule'!L91</f>
        <v>103350287.33252026</v>
      </c>
      <c r="M24" s="2">
        <f>'Actual Total Usage'!M24+'Temp Adj. by Schedule'!M91</f>
        <v>132916369.37032099</v>
      </c>
      <c r="N24" s="2">
        <f>SUM(B24:M24)</f>
        <v>1395266644.9347463</v>
      </c>
      <c r="P24"/>
      <c r="Q24"/>
    </row>
    <row r="25" spans="1:28" ht="12.75">
      <c r="A25" s="210" t="s">
        <v>33</v>
      </c>
      <c r="B25" s="224">
        <f t="shared" ref="B25:I25" si="8">SUM(B23:B24)</f>
        <v>117725327.15696035</v>
      </c>
      <c r="C25" s="224">
        <f t="shared" si="8"/>
        <v>118269489.25060803</v>
      </c>
      <c r="D25" s="224">
        <f t="shared" si="8"/>
        <v>127652016.19220422</v>
      </c>
      <c r="E25" s="224">
        <f t="shared" si="8"/>
        <v>99597235.356012166</v>
      </c>
      <c r="F25" s="224">
        <f t="shared" si="8"/>
        <v>92796040.817584991</v>
      </c>
      <c r="G25" s="224">
        <f t="shared" si="8"/>
        <v>126472826.72300251</v>
      </c>
      <c r="H25" s="224">
        <f t="shared" si="8"/>
        <v>109986954.72634999</v>
      </c>
      <c r="I25" s="224">
        <f t="shared" si="8"/>
        <v>145718733.43100002</v>
      </c>
      <c r="J25" s="224">
        <f t="shared" ref="J25:M25" si="9">SUM(J23:J24)</f>
        <v>129271094.53553499</v>
      </c>
      <c r="K25" s="224">
        <f t="shared" si="9"/>
        <v>110304901.41571751</v>
      </c>
      <c r="L25" s="224">
        <f t="shared" si="9"/>
        <v>104910514.88501026</v>
      </c>
      <c r="M25" s="224">
        <f t="shared" si="9"/>
        <v>135205809.34786099</v>
      </c>
      <c r="N25" s="224">
        <f>SUM(N23:N24)</f>
        <v>1417910943.8378463</v>
      </c>
      <c r="P25"/>
      <c r="Q25"/>
    </row>
    <row r="26" spans="1:28" ht="12.75"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  <c r="P26"/>
      <c r="Q26"/>
    </row>
    <row r="27" spans="1:28" s="218" customFormat="1" ht="12.75">
      <c r="A27" s="227" t="s">
        <v>8</v>
      </c>
      <c r="B27" s="222">
        <f>'Actual Total Usage'!B27+'Temp Adj. by Schedule'!B92</f>
        <v>15554998.415822333</v>
      </c>
      <c r="C27" s="222">
        <f>'Actual Total Usage'!C27+'Temp Adj. by Schedule'!C92</f>
        <v>9986294.8445597496</v>
      </c>
      <c r="D27" s="222">
        <f>'Actual Total Usage'!D27+'Temp Adj. by Schedule'!D92</f>
        <v>14741629.834106166</v>
      </c>
      <c r="E27" s="222">
        <f>'Actual Total Usage'!E27+'Temp Adj. by Schedule'!E92</f>
        <v>12875152.974138916</v>
      </c>
      <c r="F27" s="222">
        <f>'Actual Total Usage'!F27+'Temp Adj. by Schedule'!F92</f>
        <v>10432800.068945833</v>
      </c>
      <c r="G27" s="222">
        <f>'Actual Total Usage'!G27+'Temp Adj. by Schedule'!G92</f>
        <v>10243895.6873725</v>
      </c>
      <c r="H27" s="222">
        <f>'Actual Total Usage'!H27+'Temp Adj. by Schedule'!H92</f>
        <v>6772927.7252645828</v>
      </c>
      <c r="I27" s="222">
        <f>'Actual Total Usage'!I27+'Temp Adj. by Schedule'!I92</f>
        <v>5653031.3196666678</v>
      </c>
      <c r="J27" s="222">
        <f>'Actual Total Usage'!J27+'Temp Adj. by Schedule'!J92</f>
        <v>6197624.4121108325</v>
      </c>
      <c r="K27" s="222">
        <f>'Actual Total Usage'!K27+'Temp Adj. by Schedule'!K92</f>
        <v>7292060.9676279146</v>
      </c>
      <c r="L27" s="222">
        <f>'Actual Total Usage'!L27+'Temp Adj. by Schedule'!L92</f>
        <v>8286674.3150060866</v>
      </c>
      <c r="M27" s="222">
        <f>'Actual Total Usage'!M27+'Temp Adj. by Schedule'!M92</f>
        <v>14176060.647952085</v>
      </c>
      <c r="N27" s="229">
        <f t="shared" ref="N27:N28" si="10">SUM(B27:M27)</f>
        <v>122213151.21257366</v>
      </c>
      <c r="P27"/>
      <c r="Q27"/>
    </row>
    <row r="28" spans="1:28" ht="12.75">
      <c r="A28" s="210" t="s">
        <v>50</v>
      </c>
      <c r="B28" s="222">
        <f>'Actual Total Usage'!B28+'Temp Adj. by Schedule'!B93</f>
        <v>879221.78122399992</v>
      </c>
      <c r="C28" s="222">
        <f>'Actual Total Usage'!C28+'Temp Adj. by Schedule'!C93</f>
        <v>958125.56230400002</v>
      </c>
      <c r="D28" s="222">
        <f>'Actual Total Usage'!D28+'Temp Adj. by Schedule'!D93</f>
        <v>880027.04812599998</v>
      </c>
      <c r="E28" s="222">
        <f>'Actual Total Usage'!E28+'Temp Adj. by Schedule'!E93</f>
        <v>785154.52619600005</v>
      </c>
      <c r="F28" s="222">
        <f>'Actual Total Usage'!F28+'Temp Adj. by Schedule'!F93</f>
        <v>504149.77954999998</v>
      </c>
      <c r="G28" s="222">
        <f>'Actual Total Usage'!G28+'Temp Adj. by Schedule'!G93</f>
        <v>554051.19999999995</v>
      </c>
      <c r="H28" s="222">
        <f>'Actual Total Usage'!H28+'Temp Adj. by Schedule'!H93</f>
        <v>271380</v>
      </c>
      <c r="I28" s="222">
        <f>'Actual Total Usage'!I28+'Temp Adj. by Schedule'!I93</f>
        <v>296180</v>
      </c>
      <c r="J28" s="222">
        <f>'Actual Total Usage'!J28+'Temp Adj. by Schedule'!J93</f>
        <v>243900</v>
      </c>
      <c r="K28" s="222">
        <f>'Actual Total Usage'!K28+'Temp Adj. by Schedule'!K93</f>
        <v>292400.51965199999</v>
      </c>
      <c r="L28" s="222">
        <f>'Actual Total Usage'!L28+'Temp Adj. by Schedule'!L93</f>
        <v>395635.12839800003</v>
      </c>
      <c r="M28" s="222">
        <f>'Actual Total Usage'!M28+'Temp Adj. by Schedule'!M93</f>
        <v>725887.14890799997</v>
      </c>
      <c r="N28" s="223">
        <f t="shared" si="10"/>
        <v>6786112.6943580005</v>
      </c>
      <c r="P28"/>
      <c r="Q28"/>
    </row>
    <row r="29" spans="1:28" ht="12.75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P29"/>
      <c r="Q29"/>
    </row>
    <row r="30" spans="1:28" ht="12.75">
      <c r="A30" s="210" t="s">
        <v>20</v>
      </c>
      <c r="B30" s="224">
        <f t="shared" ref="B30:N30" si="11">SUM(B9,B13,B17,B21,B25,B27:B28)</f>
        <v>2163522216.5409026</v>
      </c>
      <c r="C30" s="224">
        <f t="shared" si="11"/>
        <v>1869678162.5856898</v>
      </c>
      <c r="D30" s="224">
        <f t="shared" si="11"/>
        <v>1938398804.5334332</v>
      </c>
      <c r="E30" s="224">
        <f t="shared" si="11"/>
        <v>1759860509.0375896</v>
      </c>
      <c r="F30" s="224">
        <f t="shared" si="11"/>
        <v>1488857063.4317751</v>
      </c>
      <c r="G30" s="224">
        <f t="shared" si="11"/>
        <v>1503122222.58042</v>
      </c>
      <c r="H30" s="224">
        <f t="shared" si="11"/>
        <v>1491631913.6581175</v>
      </c>
      <c r="I30" s="224">
        <f t="shared" si="11"/>
        <v>1584957374.2565157</v>
      </c>
      <c r="J30" s="224">
        <f t="shared" si="11"/>
        <v>1568917626.7212951</v>
      </c>
      <c r="K30" s="224">
        <f t="shared" si="11"/>
        <v>1519202934.5242841</v>
      </c>
      <c r="L30" s="224">
        <f t="shared" si="11"/>
        <v>1710737968.9876585</v>
      </c>
      <c r="M30" s="224">
        <f t="shared" si="11"/>
        <v>2268942679.958569</v>
      </c>
      <c r="N30" s="224">
        <f t="shared" si="11"/>
        <v>20867829476.816254</v>
      </c>
      <c r="O30" s="222"/>
      <c r="P30"/>
      <c r="Q30"/>
    </row>
    <row r="31" spans="1:28" ht="12.75">
      <c r="A31" s="210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/>
      <c r="Q31"/>
    </row>
    <row r="32" spans="1:28" ht="12.75">
      <c r="A32" s="61" t="s">
        <v>42</v>
      </c>
      <c r="B32" s="124">
        <f>IF(B30=0,0,B30/'Actual Total Usage'!B30-1)</f>
        <v>-1.70877578755535E-3</v>
      </c>
      <c r="C32" s="124">
        <f>IF(C30=0,0,C30/'Actual Total Usage'!C30-1)</f>
        <v>-5.2434568955441074E-2</v>
      </c>
      <c r="D32" s="124">
        <f>IF(D30=0,0,D30/'Actual Total Usage'!D30-1)</f>
        <v>-4.643064278492226E-2</v>
      </c>
      <c r="E32" s="124">
        <f>IF(E30=0,0,E30/'Actual Total Usage'!E30-1)</f>
        <v>-4.6361640070333054E-2</v>
      </c>
      <c r="F32" s="124">
        <f>IF(F30=0,0,F30/'Actual Total Usage'!F30-1)</f>
        <v>-1.5458580153226764E-2</v>
      </c>
      <c r="G32" s="124">
        <f>IF(G30=0,0,G30/'Actual Total Usage'!G30-1)</f>
        <v>1.1802621235411426E-2</v>
      </c>
      <c r="H32" s="124">
        <f>IF(H30=0,0,H30/'Actual Total Usage'!H30-1)</f>
        <v>2.2598628997327896E-3</v>
      </c>
      <c r="I32" s="124">
        <f>IF(I30=0,0,I30/'Actual Total Usage'!I30-1)</f>
        <v>-1.8177584203647901E-2</v>
      </c>
      <c r="J32" s="124">
        <f>IF(J30=0,0,J30/'Actual Total Usage'!J30-1)</f>
        <v>2.5233179559646102E-2</v>
      </c>
      <c r="K32" s="124">
        <f>IF(K30=0,0,K30/'Actual Total Usage'!K30-1)</f>
        <v>6.7343306917662771E-2</v>
      </c>
      <c r="L32" s="124">
        <f>IF(L30=0,0,L30/'Actual Total Usage'!L30-1)</f>
        <v>4.2446283041745581E-2</v>
      </c>
      <c r="M32" s="124">
        <f>IF(M30=0,0,M30/'Actual Total Usage'!M30-1)</f>
        <v>0.1282923633857509</v>
      </c>
      <c r="N32" s="124">
        <f>N30/'Actual Total Usage'!N30-1</f>
        <v>6.9090330328525074E-3</v>
      </c>
      <c r="P32"/>
      <c r="Q32"/>
    </row>
    <row r="33" spans="1:17" ht="12.75"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P33"/>
      <c r="Q33"/>
    </row>
    <row r="34" spans="1:17" ht="12.75">
      <c r="A34" s="202" t="s">
        <v>34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P34"/>
      <c r="Q34"/>
    </row>
    <row r="35" spans="1:17" ht="12.75">
      <c r="A35" s="198" t="s">
        <v>25</v>
      </c>
      <c r="B35" s="219">
        <f t="shared" ref="B35:M35" si="12">B7</f>
        <v>44927</v>
      </c>
      <c r="C35" s="219">
        <f t="shared" si="12"/>
        <v>44958</v>
      </c>
      <c r="D35" s="219">
        <f t="shared" si="12"/>
        <v>44986</v>
      </c>
      <c r="E35" s="219">
        <f t="shared" si="12"/>
        <v>45017</v>
      </c>
      <c r="F35" s="219">
        <f t="shared" si="12"/>
        <v>45047</v>
      </c>
      <c r="G35" s="219">
        <f t="shared" si="12"/>
        <v>45078</v>
      </c>
      <c r="H35" s="219">
        <f t="shared" si="12"/>
        <v>45108</v>
      </c>
      <c r="I35" s="219">
        <f t="shared" si="12"/>
        <v>45139</v>
      </c>
      <c r="J35" s="219">
        <f t="shared" si="12"/>
        <v>45170</v>
      </c>
      <c r="K35" s="219">
        <f t="shared" si="12"/>
        <v>45200</v>
      </c>
      <c r="L35" s="219">
        <f t="shared" si="12"/>
        <v>45231</v>
      </c>
      <c r="M35" s="219">
        <f t="shared" si="12"/>
        <v>45261</v>
      </c>
      <c r="N35" s="220" t="s">
        <v>19</v>
      </c>
      <c r="P35"/>
      <c r="Q35"/>
    </row>
    <row r="36" spans="1:17" ht="12.75">
      <c r="A36" s="210" t="s">
        <v>21</v>
      </c>
      <c r="B36" s="222">
        <f>'Actual Total Usage'!B35</f>
        <v>5217656.0060000001</v>
      </c>
      <c r="C36" s="222">
        <f>'Actual Total Usage'!C35</f>
        <v>5931054.8499999996</v>
      </c>
      <c r="D36" s="222">
        <f>'Actual Total Usage'!D35</f>
        <v>4985787.2300000004</v>
      </c>
      <c r="E36" s="222">
        <f>'Actual Total Usage'!E35</f>
        <v>4530577.0559999989</v>
      </c>
      <c r="F36" s="222">
        <f>'Actual Total Usage'!F35</f>
        <v>5744782.3839999996</v>
      </c>
      <c r="G36" s="222">
        <f>'Actual Total Usage'!G35</f>
        <v>5943293.8059999999</v>
      </c>
      <c r="H36" s="222">
        <f>'Actual Total Usage'!H35</f>
        <v>5220519.220999999</v>
      </c>
      <c r="I36" s="222">
        <f>'Actual Total Usage'!I35</f>
        <v>5780941.1000000006</v>
      </c>
      <c r="J36" s="222">
        <f>'Actual Total Usage'!J35</f>
        <v>6812207.504999999</v>
      </c>
      <c r="K36" s="222">
        <f>'Actual Total Usage'!K35</f>
        <v>5032200.6890000002</v>
      </c>
      <c r="L36" s="222">
        <f>'Actual Total Usage'!L35</f>
        <v>5331195.0520000001</v>
      </c>
      <c r="M36" s="222">
        <f>'Actual Total Usage'!M35</f>
        <v>5288034.8130000001</v>
      </c>
      <c r="N36" s="222">
        <f>SUM(B36:M36)</f>
        <v>65818249.711999997</v>
      </c>
      <c r="P36"/>
      <c r="Q36"/>
    </row>
    <row r="37" spans="1:17" ht="12.75">
      <c r="A37" s="210" t="s">
        <v>39</v>
      </c>
      <c r="B37" s="222">
        <f>'Actual Total Usage'!B36</f>
        <v>53370997.539000005</v>
      </c>
      <c r="C37" s="222">
        <f>'Actual Total Usage'!C36</f>
        <v>69835087.324000001</v>
      </c>
      <c r="D37" s="222">
        <f>'Actual Total Usage'!D36</f>
        <v>31303352.454999998</v>
      </c>
      <c r="E37" s="222">
        <f>'Actual Total Usage'!E36</f>
        <v>57654500.976999998</v>
      </c>
      <c r="F37" s="222">
        <f>'Actual Total Usage'!F36</f>
        <v>47796365.197000004</v>
      </c>
      <c r="G37" s="222">
        <f>'Actual Total Usage'!G36</f>
        <v>54066928.844999999</v>
      </c>
      <c r="H37" s="222">
        <f>'Actual Total Usage'!H36</f>
        <v>44517786.982000001</v>
      </c>
      <c r="I37" s="222">
        <f>'Actual Total Usage'!I36</f>
        <v>59754927.952</v>
      </c>
      <c r="J37" s="222">
        <f>'Actual Total Usage'!J36</f>
        <v>53795354.159999996</v>
      </c>
      <c r="K37" s="222">
        <f>'Actual Total Usage'!K36</f>
        <v>48976524.674000002</v>
      </c>
      <c r="L37" s="222">
        <f>'Actual Total Usage'!L36</f>
        <v>50709154.732000001</v>
      </c>
      <c r="M37" s="222">
        <f>'Actual Total Usage'!M36</f>
        <v>55295066.978999995</v>
      </c>
      <c r="N37" s="222">
        <f>SUM(B37:M37)</f>
        <v>627076047.81599998</v>
      </c>
      <c r="P37"/>
      <c r="Q37"/>
    </row>
    <row r="38" spans="1:17" ht="12.75">
      <c r="A38" s="210" t="s">
        <v>7</v>
      </c>
      <c r="B38" s="222">
        <f>'Actual Total Usage'!B37</f>
        <v>5763.6</v>
      </c>
      <c r="C38" s="222">
        <f>'Actual Total Usage'!C37</f>
        <v>13539</v>
      </c>
      <c r="D38" s="222">
        <f>'Actual Total Usage'!D37</f>
        <v>5721</v>
      </c>
      <c r="E38" s="222">
        <f>'Actual Total Usage'!E37</f>
        <v>6840</v>
      </c>
      <c r="F38" s="222">
        <f>'Actual Total Usage'!F37</f>
        <v>274860</v>
      </c>
      <c r="G38" s="222">
        <f>'Actual Total Usage'!G37</f>
        <v>600900</v>
      </c>
      <c r="H38" s="222">
        <f>'Actual Total Usage'!H37</f>
        <v>712800</v>
      </c>
      <c r="I38" s="222">
        <f>'Actual Total Usage'!I37</f>
        <v>1011000</v>
      </c>
      <c r="J38" s="222">
        <f>'Actual Total Usage'!J37</f>
        <v>976800</v>
      </c>
      <c r="K38" s="222">
        <f>'Actual Total Usage'!K37</f>
        <v>0</v>
      </c>
      <c r="L38" s="222">
        <f>'Actual Total Usage'!L37</f>
        <v>1267800</v>
      </c>
      <c r="M38" s="222">
        <f>'Actual Total Usage'!M37</f>
        <v>5400</v>
      </c>
      <c r="N38" s="222">
        <f>SUM(B38:M38)</f>
        <v>4881423.5999999996</v>
      </c>
      <c r="P38"/>
      <c r="Q38"/>
    </row>
    <row r="39" spans="1:17" ht="12.75">
      <c r="A39" s="210" t="s">
        <v>129</v>
      </c>
      <c r="B39" s="222">
        <f>'Actual Total Usage'!B38</f>
        <v>28293018.568999998</v>
      </c>
      <c r="C39" s="222">
        <f>'Actual Total Usage'!C38</f>
        <v>46014354.283</v>
      </c>
      <c r="D39" s="222">
        <f>'Actual Total Usage'!D38</f>
        <v>7803573.5259999996</v>
      </c>
      <c r="E39" s="222">
        <f>'Actual Total Usage'!E38</f>
        <v>47358499.328000002</v>
      </c>
      <c r="F39" s="222">
        <f>'Actual Total Usage'!F38</f>
        <v>5310927.33</v>
      </c>
      <c r="G39" s="222">
        <f>'Actual Total Usage'!G38</f>
        <v>25837715.658</v>
      </c>
      <c r="H39" s="222">
        <f>'Actual Total Usage'!H38</f>
        <v>24498933.600000001</v>
      </c>
      <c r="I39" s="222">
        <f>'Actual Total Usage'!I38</f>
        <v>26120404.438999999</v>
      </c>
      <c r="J39" s="222">
        <f>'Actual Total Usage'!J38</f>
        <v>26804553.780000001</v>
      </c>
      <c r="K39" s="222">
        <f>'Actual Total Usage'!K38</f>
        <v>32416868.484000001</v>
      </c>
      <c r="L39" s="222">
        <f>'Actual Total Usage'!L38</f>
        <v>26608512.870999999</v>
      </c>
      <c r="M39" s="222">
        <f>'Actual Total Usage'!M38</f>
        <v>27819134.539000001</v>
      </c>
      <c r="N39" s="222">
        <f>SUM(B39:M39)</f>
        <v>324886496.40700001</v>
      </c>
      <c r="P39"/>
      <c r="Q39"/>
    </row>
    <row r="40" spans="1:17" ht="12.75">
      <c r="A40" s="210" t="s">
        <v>5</v>
      </c>
      <c r="B40" s="222">
        <f>'Actual Total Usage'!B39</f>
        <v>358831.31900000002</v>
      </c>
      <c r="C40" s="222">
        <f>'Actual Total Usage'!C39</f>
        <v>205394.19</v>
      </c>
      <c r="D40" s="222">
        <f>'Actual Total Usage'!D39</f>
        <v>264852.77600000001</v>
      </c>
      <c r="E40" s="222">
        <f>'Actual Total Usage'!E39</f>
        <v>307786.50900000002</v>
      </c>
      <c r="F40" s="222">
        <f>'Actual Total Usage'!F39</f>
        <v>535508.255</v>
      </c>
      <c r="G40" s="222">
        <f>'Actual Total Usage'!G39</f>
        <v>1627603.4890000001</v>
      </c>
      <c r="H40" s="222">
        <f>'Actual Total Usage'!H39</f>
        <v>3130036.2990000001</v>
      </c>
      <c r="I40" s="222">
        <f>'Actual Total Usage'!I39</f>
        <v>4509331.9709999999</v>
      </c>
      <c r="J40" s="222">
        <f>'Actual Total Usage'!J39</f>
        <v>3237808.5490000001</v>
      </c>
      <c r="K40" s="222">
        <f>'Actual Total Usage'!K39</f>
        <v>1214271.3259999999</v>
      </c>
      <c r="L40" s="222">
        <f>'Actual Total Usage'!L39</f>
        <v>321347.03600000002</v>
      </c>
      <c r="M40" s="222">
        <f>'Actual Total Usage'!M39</f>
        <v>356399.03899999999</v>
      </c>
      <c r="N40" s="223">
        <f>SUM(B40:M40)</f>
        <v>16069170.758000001</v>
      </c>
      <c r="P40"/>
      <c r="Q40"/>
    </row>
    <row r="41" spans="1:17" ht="12.75">
      <c r="A41" s="210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P41"/>
      <c r="Q41"/>
    </row>
    <row r="42" spans="1:17" ht="12.75">
      <c r="A42" s="210" t="s">
        <v>20</v>
      </c>
      <c r="B42" s="224">
        <f t="shared" ref="B42:M42" si="13">SUM(B36:B40)</f>
        <v>87246267.033000007</v>
      </c>
      <c r="C42" s="224">
        <f t="shared" si="13"/>
        <v>121999429.64699998</v>
      </c>
      <c r="D42" s="224">
        <f t="shared" si="13"/>
        <v>44363286.987000003</v>
      </c>
      <c r="E42" s="224">
        <f t="shared" si="13"/>
        <v>109858203.87</v>
      </c>
      <c r="F42" s="224">
        <f t="shared" si="13"/>
        <v>59662443.166000001</v>
      </c>
      <c r="G42" s="224">
        <f t="shared" si="13"/>
        <v>88076441.798000008</v>
      </c>
      <c r="H42" s="224">
        <f t="shared" si="13"/>
        <v>78080076.101999998</v>
      </c>
      <c r="I42" s="224">
        <f t="shared" si="13"/>
        <v>97176605.461999997</v>
      </c>
      <c r="J42" s="224">
        <f t="shared" si="13"/>
        <v>91626723.993999988</v>
      </c>
      <c r="K42" s="224">
        <f t="shared" si="13"/>
        <v>87639865.173000008</v>
      </c>
      <c r="L42" s="224">
        <f t="shared" si="13"/>
        <v>84238009.691</v>
      </c>
      <c r="M42" s="224">
        <f t="shared" si="13"/>
        <v>88764035.370000005</v>
      </c>
      <c r="N42" s="224">
        <f>SUM(N36:N40)</f>
        <v>1038731388.2930001</v>
      </c>
      <c r="P42"/>
      <c r="Q42"/>
    </row>
    <row r="43" spans="1:17" ht="12.75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P43"/>
      <c r="Q43"/>
    </row>
    <row r="44" spans="1:17"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</row>
    <row r="45" spans="1:17" s="1" customFormat="1" ht="12" thickBot="1">
      <c r="A45" s="211" t="s">
        <v>22</v>
      </c>
      <c r="B45" s="230">
        <f t="shared" ref="B45:N45" si="14">B42+B30</f>
        <v>2250768483.5739026</v>
      </c>
      <c r="C45" s="230">
        <f t="shared" si="14"/>
        <v>1991677592.2326899</v>
      </c>
      <c r="D45" s="230">
        <f t="shared" si="14"/>
        <v>1982762091.5204332</v>
      </c>
      <c r="E45" s="230">
        <f t="shared" si="14"/>
        <v>1869718712.9075894</v>
      </c>
      <c r="F45" s="230">
        <f t="shared" si="14"/>
        <v>1548519506.597775</v>
      </c>
      <c r="G45" s="230">
        <f t="shared" si="14"/>
        <v>1591198664.3784201</v>
      </c>
      <c r="H45" s="230">
        <f t="shared" si="14"/>
        <v>1569711989.7601175</v>
      </c>
      <c r="I45" s="230">
        <f t="shared" si="14"/>
        <v>1682133979.7185156</v>
      </c>
      <c r="J45" s="230">
        <f t="shared" si="14"/>
        <v>1660544350.7152951</v>
      </c>
      <c r="K45" s="230">
        <f t="shared" si="14"/>
        <v>1606842799.6972842</v>
      </c>
      <c r="L45" s="230">
        <f t="shared" si="14"/>
        <v>1794975978.6786585</v>
      </c>
      <c r="M45" s="230">
        <f t="shared" si="14"/>
        <v>2357706715.3285689</v>
      </c>
      <c r="N45" s="230">
        <f t="shared" si="14"/>
        <v>21906560865.109253</v>
      </c>
    </row>
    <row r="46" spans="1:17" ht="14.25" thickTop="1"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</row>
    <row r="47" spans="1:17">
      <c r="B47" s="231"/>
      <c r="C47" s="231"/>
      <c r="D47" s="231"/>
      <c r="E47" s="231"/>
      <c r="F47" s="231"/>
      <c r="G47" s="231"/>
      <c r="H47" s="231"/>
      <c r="I47" s="231"/>
    </row>
    <row r="48" spans="1:17">
      <c r="B48" s="231"/>
      <c r="C48" s="231"/>
      <c r="D48" s="231"/>
      <c r="E48" s="231"/>
      <c r="F48" s="231"/>
      <c r="G48" s="231"/>
      <c r="H48" s="231"/>
      <c r="I48" s="231"/>
    </row>
    <row r="49" spans="2:9">
      <c r="B49" s="231"/>
      <c r="C49" s="231"/>
      <c r="D49" s="231"/>
      <c r="E49" s="231"/>
      <c r="F49" s="231"/>
      <c r="G49" s="231"/>
      <c r="H49" s="231"/>
      <c r="I49" s="231"/>
    </row>
    <row r="50" spans="2:9">
      <c r="B50" s="231"/>
      <c r="C50" s="231"/>
      <c r="D50" s="231"/>
      <c r="E50" s="231"/>
      <c r="F50" s="231"/>
      <c r="G50" s="231"/>
      <c r="H50" s="231"/>
      <c r="I50" s="231"/>
    </row>
    <row r="51" spans="2:9">
      <c r="B51" s="231"/>
      <c r="C51" s="231"/>
      <c r="D51" s="231"/>
      <c r="E51" s="231"/>
      <c r="F51" s="231"/>
      <c r="G51" s="231"/>
      <c r="H51" s="231"/>
      <c r="I51" s="231"/>
    </row>
    <row r="52" spans="2:9">
      <c r="B52" s="231"/>
      <c r="C52" s="231"/>
      <c r="D52" s="231"/>
      <c r="E52" s="231"/>
      <c r="F52" s="231"/>
      <c r="G52" s="231"/>
      <c r="H52" s="231"/>
      <c r="I52" s="231"/>
    </row>
    <row r="54" spans="2:9">
      <c r="B54" s="231"/>
      <c r="C54" s="231"/>
      <c r="D54" s="231"/>
      <c r="E54" s="231"/>
      <c r="F54" s="231"/>
      <c r="G54" s="231"/>
      <c r="H54" s="231"/>
      <c r="I54" s="231"/>
    </row>
    <row r="55" spans="2:9">
      <c r="B55" s="231"/>
      <c r="C55" s="231"/>
      <c r="D55" s="231"/>
      <c r="E55" s="231"/>
      <c r="F55" s="231"/>
      <c r="G55" s="231"/>
      <c r="H55" s="231"/>
      <c r="I55" s="231"/>
    </row>
  </sheetData>
  <printOptions horizontalCentered="1"/>
  <pageMargins left="0.75" right="0.75" top="1" bottom="1" header="0.5" footer="0.5"/>
  <pageSetup scale="4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O26" sqref="N26:O26"/>
    </sheetView>
  </sheetViews>
  <sheetFormatPr defaultColWidth="9.140625" defaultRowHeight="11.25"/>
  <cols>
    <col min="1" max="1" width="27.7109375" style="61" customWidth="1"/>
    <col min="2" max="14" width="16" style="61" customWidth="1"/>
    <col min="15" max="16384" width="9.140625" style="61"/>
  </cols>
  <sheetData>
    <row r="1" spans="1:28">
      <c r="A1" s="198" t="s">
        <v>28</v>
      </c>
    </row>
    <row r="2" spans="1:28">
      <c r="A2" s="198" t="s">
        <v>27</v>
      </c>
    </row>
    <row r="3" spans="1:28">
      <c r="A3" s="61" t="s">
        <v>122</v>
      </c>
    </row>
    <row r="4" spans="1:28">
      <c r="A4" s="199" t="s">
        <v>51</v>
      </c>
    </row>
    <row r="5" spans="1:28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28">
      <c r="A6" s="202" t="s">
        <v>24</v>
      </c>
    </row>
    <row r="7" spans="1:28">
      <c r="A7" s="198" t="s">
        <v>25</v>
      </c>
      <c r="B7" s="219">
        <f>'Sales &amp; Revenue Adj.'!D5</f>
        <v>44927</v>
      </c>
      <c r="C7" s="219">
        <f>'Sales &amp; Revenue Adj.'!E5</f>
        <v>44958</v>
      </c>
      <c r="D7" s="219">
        <f>'Sales &amp; Revenue Adj.'!F5</f>
        <v>44986</v>
      </c>
      <c r="E7" s="219">
        <f>'Sales &amp; Revenue Adj.'!G5</f>
        <v>45017</v>
      </c>
      <c r="F7" s="219">
        <f>'Sales &amp; Revenue Adj.'!H5</f>
        <v>45047</v>
      </c>
      <c r="G7" s="219">
        <f>'Sales &amp; Revenue Adj.'!I5</f>
        <v>45078</v>
      </c>
      <c r="H7" s="219">
        <f>'Sales &amp; Revenue Adj.'!J5</f>
        <v>45108</v>
      </c>
      <c r="I7" s="219">
        <f>'Sales &amp; Revenue Adj.'!K5</f>
        <v>45139</v>
      </c>
      <c r="J7" s="219">
        <f>'Sales &amp; Revenue Adj.'!L5</f>
        <v>45170</v>
      </c>
      <c r="K7" s="219">
        <f>'Sales &amp; Revenue Adj.'!M5</f>
        <v>45200</v>
      </c>
      <c r="L7" s="219">
        <f>'Sales &amp; Revenue Adj.'!N5</f>
        <v>45231</v>
      </c>
      <c r="M7" s="219">
        <f>'Sales &amp; Revenue Adj.'!O5</f>
        <v>45261</v>
      </c>
      <c r="N7" s="220" t="s">
        <v>19</v>
      </c>
    </row>
    <row r="8" spans="1:28">
      <c r="A8" s="221" t="s">
        <v>110</v>
      </c>
      <c r="B8" s="222">
        <f>'SAP BW Actual Usage'!C9</f>
        <v>1333954894.724</v>
      </c>
      <c r="C8" s="222">
        <f>'SAP BW Actual Usage'!D9</f>
        <v>1204449984.5929999</v>
      </c>
      <c r="D8" s="222">
        <f>'SAP BW Actual Usage'!E9</f>
        <v>1217216666.6470001</v>
      </c>
      <c r="E8" s="222">
        <f>'SAP BW Actual Usage'!F9</f>
        <v>1074916524.201</v>
      </c>
      <c r="F8" s="222">
        <f>'SAP BW Actual Usage'!G9</f>
        <v>838495209.30599999</v>
      </c>
      <c r="G8" s="222">
        <f>'SAP BW Actual Usage'!H9</f>
        <v>740767312.99000001</v>
      </c>
      <c r="H8" s="222">
        <f>'SAP BW Actual Usage'!I9</f>
        <v>749808940.09899998</v>
      </c>
      <c r="I8" s="222">
        <f>'SAP BW Actual Usage'!J9</f>
        <v>789872999.59800005</v>
      </c>
      <c r="J8" s="222">
        <f>'SAP BW Actual Usage'!K9</f>
        <v>764038285.06799996</v>
      </c>
      <c r="K8" s="222">
        <f>'SAP BW Actual Usage'!L9</f>
        <v>716229671.06000006</v>
      </c>
      <c r="L8" s="222">
        <f>'SAP BW Actual Usage'!M9</f>
        <v>935372475.54400003</v>
      </c>
      <c r="M8" s="222">
        <f>'SAP BW Actual Usage'!N9</f>
        <v>1195703207.2820001</v>
      </c>
      <c r="N8" s="223">
        <f t="shared" ref="N8:N9" si="0">SUM(B8:M8)</f>
        <v>11560826171.112</v>
      </c>
    </row>
    <row r="9" spans="1:28">
      <c r="A9" s="210" t="s">
        <v>29</v>
      </c>
      <c r="B9" s="224">
        <f t="shared" ref="B9:M9" si="1">SUM(B8:B8)</f>
        <v>1333954894.724</v>
      </c>
      <c r="C9" s="224">
        <f t="shared" si="1"/>
        <v>1204449984.5929999</v>
      </c>
      <c r="D9" s="224">
        <f t="shared" si="1"/>
        <v>1217216666.6470001</v>
      </c>
      <c r="E9" s="224">
        <f t="shared" si="1"/>
        <v>1074916524.201</v>
      </c>
      <c r="F9" s="224">
        <f t="shared" si="1"/>
        <v>838495209.30599999</v>
      </c>
      <c r="G9" s="224">
        <f t="shared" si="1"/>
        <v>740767312.99000001</v>
      </c>
      <c r="H9" s="224">
        <f t="shared" si="1"/>
        <v>749808940.09899998</v>
      </c>
      <c r="I9" s="224">
        <f t="shared" si="1"/>
        <v>789872999.59800005</v>
      </c>
      <c r="J9" s="224">
        <f t="shared" si="1"/>
        <v>764038285.06799996</v>
      </c>
      <c r="K9" s="224">
        <f t="shared" si="1"/>
        <v>716229671.06000006</v>
      </c>
      <c r="L9" s="224">
        <f t="shared" si="1"/>
        <v>935372475.54400003</v>
      </c>
      <c r="M9" s="224">
        <f t="shared" si="1"/>
        <v>1195703207.2820001</v>
      </c>
      <c r="N9" s="224">
        <f t="shared" si="0"/>
        <v>11560826171.112</v>
      </c>
    </row>
    <row r="10" spans="1:28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</row>
    <row r="11" spans="1:28">
      <c r="A11" s="221" t="s">
        <v>35</v>
      </c>
      <c r="B11" s="222">
        <f>'SAP BW Actual Usage'!C10</f>
        <v>30393471.868000001</v>
      </c>
      <c r="C11" s="222">
        <f>'SAP BW Actual Usage'!D10</f>
        <v>26530208.212000001</v>
      </c>
      <c r="D11" s="222">
        <f>'SAP BW Actual Usage'!E10</f>
        <v>26605414.261999998</v>
      </c>
      <c r="E11" s="222">
        <f>'SAP BW Actual Usage'!F10</f>
        <v>24747395.638999999</v>
      </c>
      <c r="F11" s="222">
        <f>'SAP BW Actual Usage'!G10</f>
        <v>19122937.118999999</v>
      </c>
      <c r="G11" s="222">
        <f>'SAP BW Actual Usage'!H10</f>
        <v>18185845.169</v>
      </c>
      <c r="H11" s="222">
        <f>'SAP BW Actual Usage'!I10</f>
        <v>17395622.897</v>
      </c>
      <c r="I11" s="222">
        <f>'SAP BW Actual Usage'!J10</f>
        <v>20489784.149999999</v>
      </c>
      <c r="J11" s="222">
        <f>'SAP BW Actual Usage'!K10</f>
        <v>18071370.976</v>
      </c>
      <c r="K11" s="222">
        <f>'SAP BW Actual Usage'!L10</f>
        <v>17369847.454</v>
      </c>
      <c r="L11" s="222">
        <f>'SAP BW Actual Usage'!M10</f>
        <v>20082208.287</v>
      </c>
      <c r="M11" s="222">
        <f>'SAP BW Actual Usage'!N10</f>
        <v>25772317.127</v>
      </c>
      <c r="N11" s="223">
        <f>SUM(B11:M11)</f>
        <v>264766423.16000003</v>
      </c>
    </row>
    <row r="12" spans="1:28" s="225" customFormat="1">
      <c r="A12" s="221" t="s">
        <v>107</v>
      </c>
      <c r="B12" s="222">
        <f>'SAP BW Actual Usage'!C14</f>
        <v>241311180.89500001</v>
      </c>
      <c r="C12" s="222">
        <f>'SAP BW Actual Usage'!D14</f>
        <v>215437486.32300001</v>
      </c>
      <c r="D12" s="222">
        <f>'SAP BW Actual Usage'!E14</f>
        <v>226839487.12</v>
      </c>
      <c r="E12" s="222">
        <f>'SAP BW Actual Usage'!F14</f>
        <v>216018626.93099999</v>
      </c>
      <c r="F12" s="222">
        <f>'SAP BW Actual Usage'!G14</f>
        <v>188417494.523</v>
      </c>
      <c r="G12" s="222">
        <f>'SAP BW Actual Usage'!H14</f>
        <v>188294165.92500001</v>
      </c>
      <c r="H12" s="222">
        <f>'SAP BW Actual Usage'!I14</f>
        <v>189534243.11699998</v>
      </c>
      <c r="I12" s="222">
        <f>'SAP BW Actual Usage'!J14</f>
        <v>201924538.63099998</v>
      </c>
      <c r="J12" s="222">
        <f>'SAP BW Actual Usage'!K14</f>
        <v>194810382.21799996</v>
      </c>
      <c r="K12" s="222">
        <f>'SAP BW Actual Usage'!L14</f>
        <v>174555560.53600001</v>
      </c>
      <c r="L12" s="222">
        <f>'SAP BW Actual Usage'!M14</f>
        <v>187547961.28200001</v>
      </c>
      <c r="M12" s="222">
        <f>'SAP BW Actual Usage'!N14</f>
        <v>214596580.30199999</v>
      </c>
      <c r="N12" s="222">
        <f>SUM(B12:M12)</f>
        <v>2439287707.803</v>
      </c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>
      <c r="A13" s="210" t="s">
        <v>30</v>
      </c>
      <c r="B13" s="224">
        <f>SUM(B11:B12)</f>
        <v>271704652.76300001</v>
      </c>
      <c r="C13" s="224">
        <f t="shared" ref="C13:M13" si="2">SUM(C11:C12)</f>
        <v>241967694.53500003</v>
      </c>
      <c r="D13" s="224">
        <f t="shared" si="2"/>
        <v>253444901.382</v>
      </c>
      <c r="E13" s="224">
        <f t="shared" si="2"/>
        <v>240766022.56999999</v>
      </c>
      <c r="F13" s="224">
        <f t="shared" si="2"/>
        <v>207540431.64199999</v>
      </c>
      <c r="G13" s="224">
        <f t="shared" si="2"/>
        <v>206480011.09400001</v>
      </c>
      <c r="H13" s="224">
        <f t="shared" si="2"/>
        <v>206929866.014</v>
      </c>
      <c r="I13" s="224">
        <f t="shared" si="2"/>
        <v>222414322.78099999</v>
      </c>
      <c r="J13" s="224">
        <f t="shared" si="2"/>
        <v>212881753.19399998</v>
      </c>
      <c r="K13" s="224">
        <f t="shared" si="2"/>
        <v>191925407.99000001</v>
      </c>
      <c r="L13" s="224">
        <f t="shared" si="2"/>
        <v>207630169.56900001</v>
      </c>
      <c r="M13" s="224">
        <f t="shared" si="2"/>
        <v>240368897.42899999</v>
      </c>
      <c r="N13" s="224">
        <f>SUM(B13:M13)</f>
        <v>2704054130.9630003</v>
      </c>
    </row>
    <row r="14" spans="1:28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>
      <c r="A15" s="221" t="s">
        <v>36</v>
      </c>
      <c r="B15" s="222">
        <f>'SAP BW Actual Usage'!C12</f>
        <v>13125245.419</v>
      </c>
      <c r="C15" s="222">
        <f>'SAP BW Actual Usage'!D12</f>
        <v>11396155.323000001</v>
      </c>
      <c r="D15" s="222">
        <f>'SAP BW Actual Usage'!E12</f>
        <v>12658292.847999999</v>
      </c>
      <c r="E15" s="222">
        <f>'SAP BW Actual Usage'!F12</f>
        <v>12759319.993000001</v>
      </c>
      <c r="F15" s="222">
        <f>'SAP BW Actual Usage'!G12</f>
        <v>9788873.2789999992</v>
      </c>
      <c r="G15" s="222">
        <f>'SAP BW Actual Usage'!H12</f>
        <v>9011736.1300000008</v>
      </c>
      <c r="H15" s="222">
        <f>'SAP BW Actual Usage'!I12</f>
        <v>9535211.6199999992</v>
      </c>
      <c r="I15" s="222">
        <f>'SAP BW Actual Usage'!J12</f>
        <v>9954861.4869999997</v>
      </c>
      <c r="J15" s="222">
        <f>'SAP BW Actual Usage'!K12</f>
        <v>9504956.3790000007</v>
      </c>
      <c r="K15" s="222">
        <f>'SAP BW Actual Usage'!L12</f>
        <v>9232460.0649999995</v>
      </c>
      <c r="L15" s="222">
        <f>'SAP BW Actual Usage'!M12</f>
        <v>10507595.539999999</v>
      </c>
      <c r="M15" s="222">
        <f>'SAP BW Actual Usage'!N12</f>
        <v>12575342.703</v>
      </c>
      <c r="N15" s="223">
        <f>SUM(B15:M15)</f>
        <v>130050050.786</v>
      </c>
    </row>
    <row r="16" spans="1:28" s="225" customFormat="1">
      <c r="A16" s="221" t="s">
        <v>108</v>
      </c>
      <c r="B16" s="222">
        <f>'SAP BW Actual Usage'!C15</f>
        <v>259802003.072</v>
      </c>
      <c r="C16" s="222">
        <f>'SAP BW Actual Usage'!D15</f>
        <v>241270545.72799999</v>
      </c>
      <c r="D16" s="222">
        <f>'SAP BW Actual Usage'!E15</f>
        <v>253018306.78400001</v>
      </c>
      <c r="E16" s="222">
        <f>'SAP BW Actual Usage'!F15</f>
        <v>247438315.03200001</v>
      </c>
      <c r="F16" s="222">
        <f>'SAP BW Actual Usage'!G15</f>
        <v>212272293.12200001</v>
      </c>
      <c r="G16" s="222">
        <f>'SAP BW Actual Usage'!H15</f>
        <v>245916259.60499999</v>
      </c>
      <c r="H16" s="222">
        <f>'SAP BW Actual Usage'!I15</f>
        <v>239501549.14700001</v>
      </c>
      <c r="I16" s="222">
        <f>'SAP BW Actual Usage'!J15</f>
        <v>263602734.87200001</v>
      </c>
      <c r="J16" s="222">
        <f>'SAP BW Actual Usage'!K15</f>
        <v>244237604.55699998</v>
      </c>
      <c r="K16" s="222">
        <f>'SAP BW Actual Usage'!L15</f>
        <v>224289017.38</v>
      </c>
      <c r="L16" s="222">
        <f>'SAP BW Actual Usage'!M15</f>
        <v>223211281.55399999</v>
      </c>
      <c r="M16" s="222">
        <f>'SAP BW Actual Usage'!N15</f>
        <v>253979171.648</v>
      </c>
      <c r="N16" s="222">
        <f>SUM(B16:M16)</f>
        <v>2908539082.5010004</v>
      </c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>
      <c r="A17" s="210" t="s">
        <v>31</v>
      </c>
      <c r="B17" s="224">
        <f>SUM(B15:B16)</f>
        <v>272927248.491</v>
      </c>
      <c r="C17" s="224">
        <f t="shared" ref="C17:M17" si="3">SUM(C15:C16)</f>
        <v>252666701.051</v>
      </c>
      <c r="D17" s="224">
        <f t="shared" si="3"/>
        <v>265676599.632</v>
      </c>
      <c r="E17" s="224">
        <f t="shared" si="3"/>
        <v>260197635.02500001</v>
      </c>
      <c r="F17" s="224">
        <f t="shared" si="3"/>
        <v>222061166.40100002</v>
      </c>
      <c r="G17" s="224">
        <f t="shared" si="3"/>
        <v>254927995.73499998</v>
      </c>
      <c r="H17" s="224">
        <f t="shared" si="3"/>
        <v>249036760.76700002</v>
      </c>
      <c r="I17" s="224">
        <f t="shared" si="3"/>
        <v>273557596.35900003</v>
      </c>
      <c r="J17" s="224">
        <f t="shared" si="3"/>
        <v>253742560.93599999</v>
      </c>
      <c r="K17" s="224">
        <f t="shared" si="3"/>
        <v>233521477.44499999</v>
      </c>
      <c r="L17" s="224">
        <f t="shared" si="3"/>
        <v>233718877.09399998</v>
      </c>
      <c r="M17" s="224">
        <f t="shared" si="3"/>
        <v>266554514.35100001</v>
      </c>
      <c r="N17" s="224">
        <f>SUM(B17:M17)</f>
        <v>3038589133.2869997</v>
      </c>
    </row>
    <row r="18" spans="1:28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3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</row>
    <row r="19" spans="1:28">
      <c r="A19" s="221" t="s">
        <v>37</v>
      </c>
      <c r="B19" s="222">
        <f>'SAP BW Actual Usage'!C13</f>
        <v>1576440</v>
      </c>
      <c r="C19" s="222">
        <f>'SAP BW Actual Usage'!D13</f>
        <v>1493020</v>
      </c>
      <c r="D19" s="222">
        <f>'SAP BW Actual Usage'!E13</f>
        <v>2052260</v>
      </c>
      <c r="E19" s="222">
        <f>'SAP BW Actual Usage'!F13</f>
        <v>1190260</v>
      </c>
      <c r="F19" s="222">
        <f>'SAP BW Actual Usage'!G13</f>
        <v>965780</v>
      </c>
      <c r="G19" s="222">
        <f>'SAP BW Actual Usage'!H13</f>
        <v>1377020</v>
      </c>
      <c r="H19" s="222">
        <f>'SAP BW Actual Usage'!I13</f>
        <v>1570960</v>
      </c>
      <c r="I19" s="222">
        <f>'SAP BW Actual Usage'!J13</f>
        <v>1541520</v>
      </c>
      <c r="J19" s="222">
        <f>'SAP BW Actual Usage'!K13</f>
        <v>1404125.6</v>
      </c>
      <c r="K19" s="222">
        <f>'SAP BW Actual Usage'!L13</f>
        <v>987754.4</v>
      </c>
      <c r="L19" s="222">
        <f>'SAP BW Actual Usage'!M13</f>
        <v>1198420</v>
      </c>
      <c r="M19" s="222">
        <f>'SAP BW Actual Usage'!N13</f>
        <v>1446440</v>
      </c>
      <c r="N19" s="223">
        <f>SUM(B19:M19)</f>
        <v>16804000</v>
      </c>
    </row>
    <row r="20" spans="1:28" s="225" customFormat="1">
      <c r="A20" s="221" t="s">
        <v>109</v>
      </c>
      <c r="B20" s="222">
        <f>'SAP BW Actual Usage'!C16</f>
        <v>152896317.301</v>
      </c>
      <c r="C20" s="222">
        <f>'SAP BW Actual Usage'!D16</f>
        <v>140926665.736</v>
      </c>
      <c r="D20" s="222">
        <f>'SAP BW Actual Usage'!E16</f>
        <v>148959165.07600001</v>
      </c>
      <c r="E20" s="222">
        <f>'SAP BW Actual Usage'!F16</f>
        <v>152844972.57599998</v>
      </c>
      <c r="F20" s="222">
        <f>'SAP BW Actual Usage'!G16</f>
        <v>139071643.949</v>
      </c>
      <c r="G20" s="222">
        <f>'SAP BW Actual Usage'!H16</f>
        <v>145298776.86199999</v>
      </c>
      <c r="H20" s="222">
        <f>'SAP BW Actual Usage'!I16</f>
        <v>163919537.58699998</v>
      </c>
      <c r="I20" s="222">
        <f>'SAP BW Actual Usage'!J16</f>
        <v>174591175.796</v>
      </c>
      <c r="J20" s="222">
        <f>'SAP BW Actual Usage'!K16</f>
        <v>162940130.169</v>
      </c>
      <c r="K20" s="222">
        <f>'SAP BW Actual Usage'!L16</f>
        <v>162496957.94600001</v>
      </c>
      <c r="L20" s="222">
        <f>'SAP BW Actual Usage'!M16</f>
        <v>147883112.71700001</v>
      </c>
      <c r="M20" s="222">
        <f>'SAP BW Actual Usage'!N16</f>
        <v>159480998.08999997</v>
      </c>
      <c r="N20" s="222">
        <f>SUM(B20:M20)</f>
        <v>1851309453.8049998</v>
      </c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1:28">
      <c r="A21" s="210" t="s">
        <v>32</v>
      </c>
      <c r="B21" s="224">
        <f>SUM(B19:B20)</f>
        <v>154472757.301</v>
      </c>
      <c r="C21" s="224">
        <f t="shared" ref="C21:M21" si="4">SUM(C19:C20)</f>
        <v>142419685.736</v>
      </c>
      <c r="D21" s="224">
        <f t="shared" si="4"/>
        <v>151011425.07600001</v>
      </c>
      <c r="E21" s="224">
        <f t="shared" si="4"/>
        <v>154035232.57599998</v>
      </c>
      <c r="F21" s="224">
        <f t="shared" si="4"/>
        <v>140037423.949</v>
      </c>
      <c r="G21" s="224">
        <f t="shared" si="4"/>
        <v>146675796.86199999</v>
      </c>
      <c r="H21" s="224">
        <f t="shared" si="4"/>
        <v>165490497.58699998</v>
      </c>
      <c r="I21" s="224">
        <f t="shared" si="4"/>
        <v>176132695.796</v>
      </c>
      <c r="J21" s="224">
        <f t="shared" si="4"/>
        <v>164344255.76899999</v>
      </c>
      <c r="K21" s="224">
        <f t="shared" si="4"/>
        <v>163484712.34600002</v>
      </c>
      <c r="L21" s="224">
        <f t="shared" si="4"/>
        <v>149081532.71700001</v>
      </c>
      <c r="M21" s="224">
        <f t="shared" si="4"/>
        <v>160927438.08999997</v>
      </c>
      <c r="N21" s="224">
        <f>SUM(B21:M21)</f>
        <v>1868113453.8049998</v>
      </c>
    </row>
    <row r="22" spans="1:28"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>
      <c r="A23" s="221" t="s">
        <v>38</v>
      </c>
      <c r="B23" s="222">
        <f>'SAP BW Actual Usage'!C11</f>
        <v>2794621.92</v>
      </c>
      <c r="C23" s="222">
        <f>'SAP BW Actual Usage'!D11</f>
        <v>2636930.58</v>
      </c>
      <c r="D23" s="222">
        <f>'SAP BW Actual Usage'!E11</f>
        <v>2148360</v>
      </c>
      <c r="E23" s="222">
        <f>'SAP BW Actual Usage'!F11</f>
        <v>1966140</v>
      </c>
      <c r="F23" s="222">
        <f>'SAP BW Actual Usage'!G11</f>
        <v>1691580</v>
      </c>
      <c r="G23" s="222">
        <f>'SAP BW Actual Usage'!H11</f>
        <v>1801800</v>
      </c>
      <c r="H23" s="222">
        <f>'SAP BW Actual Usage'!I11</f>
        <v>1582200</v>
      </c>
      <c r="I23" s="222">
        <f>'SAP BW Actual Usage'!J11</f>
        <v>1461180</v>
      </c>
      <c r="J23" s="222">
        <f>'SAP BW Actual Usage'!K11</f>
        <v>1689720</v>
      </c>
      <c r="K23" s="222">
        <f>'SAP BW Actual Usage'!L11</f>
        <v>1473540</v>
      </c>
      <c r="L23" s="222">
        <f>'SAP BW Actual Usage'!M11</f>
        <v>1662960</v>
      </c>
      <c r="M23" s="222">
        <f>'SAP BW Actual Usage'!N11</f>
        <v>2133000</v>
      </c>
      <c r="N23" s="223">
        <f>SUM(B23:M23)</f>
        <v>23042032.5</v>
      </c>
    </row>
    <row r="24" spans="1:28" s="225" customFormat="1">
      <c r="A24" s="221" t="s">
        <v>6</v>
      </c>
      <c r="B24" s="222">
        <f>'SAP BW Actual Usage'!C18</f>
        <v>114952687.39500001</v>
      </c>
      <c r="C24" s="222">
        <f>'SAP BW Actual Usage'!D18</f>
        <v>117022070.35100001</v>
      </c>
      <c r="D24" s="222">
        <f>'SAP BW Actual Usage'!E18</f>
        <v>126750121.23499998</v>
      </c>
      <c r="E24" s="222">
        <f>'SAP BW Actual Usage'!F18</f>
        <v>99016226.919</v>
      </c>
      <c r="F24" s="222">
        <f>'SAP BW Actual Usage'!G18</f>
        <v>91752960.314999998</v>
      </c>
      <c r="G24" s="222">
        <f>'SAP BW Actual Usage'!H18</f>
        <v>124216404.94800001</v>
      </c>
      <c r="H24" s="222">
        <f>'SAP BW Actual Usage'!I18</f>
        <v>108380279.96799999</v>
      </c>
      <c r="I24" s="222">
        <f>'SAP BW Actual Usage'!J18</f>
        <v>144816976.479</v>
      </c>
      <c r="J24" s="222">
        <f>'SAP BW Actual Usage'!K18</f>
        <v>127226143.41</v>
      </c>
      <c r="K24" s="222">
        <f>'SAP BW Actual Usage'!L18</f>
        <v>109115348.264</v>
      </c>
      <c r="L24" s="222">
        <f>'SAP BW Actual Usage'!M18</f>
        <v>104214897.642</v>
      </c>
      <c r="M24" s="222">
        <f>'SAP BW Actual Usage'!N18</f>
        <v>131591704.63</v>
      </c>
      <c r="N24" s="222">
        <f>SUM(B24:M24)</f>
        <v>1399055821.5559998</v>
      </c>
    </row>
    <row r="25" spans="1:28">
      <c r="A25" s="210" t="s">
        <v>33</v>
      </c>
      <c r="B25" s="224">
        <f>SUM(B23:B24)</f>
        <v>117747309.31500001</v>
      </c>
      <c r="C25" s="224">
        <f t="shared" ref="C25:N25" si="5">SUM(C23:C24)</f>
        <v>119659000.93100001</v>
      </c>
      <c r="D25" s="224">
        <f t="shared" si="5"/>
        <v>128898481.23499998</v>
      </c>
      <c r="E25" s="224">
        <f t="shared" si="5"/>
        <v>100982366.919</v>
      </c>
      <c r="F25" s="224">
        <f t="shared" si="5"/>
        <v>93444540.314999998</v>
      </c>
      <c r="G25" s="224">
        <f t="shared" si="5"/>
        <v>126018204.94800001</v>
      </c>
      <c r="H25" s="224">
        <f t="shared" si="5"/>
        <v>109962479.96799999</v>
      </c>
      <c r="I25" s="224">
        <f t="shared" si="5"/>
        <v>146278156.479</v>
      </c>
      <c r="J25" s="224">
        <f t="shared" si="5"/>
        <v>128915863.41</v>
      </c>
      <c r="K25" s="224">
        <f t="shared" si="5"/>
        <v>110588888.264</v>
      </c>
      <c r="L25" s="224">
        <f t="shared" si="5"/>
        <v>105877857.642</v>
      </c>
      <c r="M25" s="224">
        <f t="shared" si="5"/>
        <v>133724704.63</v>
      </c>
      <c r="N25" s="224">
        <f t="shared" si="5"/>
        <v>1422097854.0559998</v>
      </c>
    </row>
    <row r="26" spans="1:28"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</row>
    <row r="27" spans="1:28" s="218" customFormat="1">
      <c r="A27" s="227" t="s">
        <v>8</v>
      </c>
      <c r="B27" s="228">
        <f>'SAP BW Actual Usage'!C20</f>
        <v>15538876.439999999</v>
      </c>
      <c r="C27" s="228">
        <f>'SAP BW Actual Usage'!D20</f>
        <v>10982240.699999999</v>
      </c>
      <c r="D27" s="228">
        <f>'SAP BW Actual Usage'!E20</f>
        <v>15622434.199999999</v>
      </c>
      <c r="E27" s="228">
        <f>'SAP BW Actual Usage'!F20</f>
        <v>13698960.975</v>
      </c>
      <c r="F27" s="228">
        <f>'SAP BW Actual Usage'!G20</f>
        <v>10157543.164999999</v>
      </c>
      <c r="G27" s="228">
        <f>'SAP BW Actual Usage'!H20</f>
        <v>10165012.725</v>
      </c>
      <c r="H27" s="228">
        <f>'SAP BW Actual Usage'!I20</f>
        <v>6768706.1600000001</v>
      </c>
      <c r="I27" s="228">
        <f>'SAP BW Actual Usage'!J20</f>
        <v>5749524.2400000002</v>
      </c>
      <c r="J27" s="228">
        <f>'SAP BW Actual Usage'!K20</f>
        <v>6136592.6399999997</v>
      </c>
      <c r="K27" s="228">
        <f>'SAP BW Actual Usage'!L20</f>
        <v>7300131.7000000002</v>
      </c>
      <c r="L27" s="228">
        <f>'SAP BW Actual Usage'!M20</f>
        <v>8979101.1750000007</v>
      </c>
      <c r="M27" s="228">
        <f>'SAP BW Actual Usage'!N20</f>
        <v>12985551.65</v>
      </c>
      <c r="N27" s="229">
        <f t="shared" ref="N27:N28" si="6">SUM(B27:M27)</f>
        <v>124084675.77</v>
      </c>
    </row>
    <row r="28" spans="1:28">
      <c r="A28" s="210" t="s">
        <v>50</v>
      </c>
      <c r="B28" s="222">
        <f>'SAP BW Actual Usage'!C8</f>
        <v>879780</v>
      </c>
      <c r="C28" s="222">
        <f>'SAP BW Actual Usage'!D8</f>
        <v>993540</v>
      </c>
      <c r="D28" s="222">
        <f>'SAP BW Actual Usage'!E8</f>
        <v>911680</v>
      </c>
      <c r="E28" s="222">
        <f>'SAP BW Actual Usage'!F8</f>
        <v>820328.8</v>
      </c>
      <c r="F28" s="222">
        <f>'SAP BW Actual Usage'!G8</f>
        <v>497740</v>
      </c>
      <c r="G28" s="222">
        <f>'SAP BW Actual Usage'!H8</f>
        <v>554051.19999999995</v>
      </c>
      <c r="H28" s="222">
        <f>'SAP BW Actual Usage'!I8</f>
        <v>271380</v>
      </c>
      <c r="I28" s="222">
        <f>'SAP BW Actual Usage'!J8</f>
        <v>296180</v>
      </c>
      <c r="J28" s="222">
        <f>'SAP BW Actual Usage'!K8</f>
        <v>243900</v>
      </c>
      <c r="K28" s="222">
        <f>'SAP BW Actual Usage'!L8</f>
        <v>299560</v>
      </c>
      <c r="L28" s="222">
        <f>'SAP BW Actual Usage'!M8</f>
        <v>420200</v>
      </c>
      <c r="M28" s="222">
        <f>'SAP BW Actual Usage'!N8</f>
        <v>688480</v>
      </c>
      <c r="N28" s="223">
        <f t="shared" si="6"/>
        <v>6876820</v>
      </c>
    </row>
    <row r="29" spans="1:28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1:28">
      <c r="A30" s="210" t="s">
        <v>20</v>
      </c>
      <c r="B30" s="224">
        <f t="shared" ref="B30:N30" si="7">SUM(B9,B13,B17,B21,B25,B27:B28)</f>
        <v>2167225519.0339999</v>
      </c>
      <c r="C30" s="224">
        <f t="shared" si="7"/>
        <v>1973138847.546</v>
      </c>
      <c r="D30" s="224">
        <f t="shared" si="7"/>
        <v>2032782188.1719999</v>
      </c>
      <c r="E30" s="224">
        <f t="shared" si="7"/>
        <v>1845417071.0659997</v>
      </c>
      <c r="F30" s="224">
        <f t="shared" si="7"/>
        <v>1512234054.7779999</v>
      </c>
      <c r="G30" s="224">
        <f t="shared" si="7"/>
        <v>1485588385.5539999</v>
      </c>
      <c r="H30" s="224">
        <f t="shared" si="7"/>
        <v>1488268630.5949998</v>
      </c>
      <c r="I30" s="224">
        <f t="shared" si="7"/>
        <v>1614301475.2530003</v>
      </c>
      <c r="J30" s="224">
        <f t="shared" si="7"/>
        <v>1530303211.0170002</v>
      </c>
      <c r="K30" s="224">
        <f t="shared" si="7"/>
        <v>1423349848.8050001</v>
      </c>
      <c r="L30" s="224">
        <f t="shared" si="7"/>
        <v>1641080213.7409997</v>
      </c>
      <c r="M30" s="224">
        <f t="shared" si="7"/>
        <v>2010952793.4320002</v>
      </c>
      <c r="N30" s="224">
        <f t="shared" si="7"/>
        <v>20724642238.993</v>
      </c>
    </row>
    <row r="31" spans="1:28"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</row>
    <row r="32" spans="1:28"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</row>
    <row r="33" spans="1:14">
      <c r="A33" s="202" t="s">
        <v>34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</row>
    <row r="34" spans="1:14">
      <c r="A34" s="198" t="s">
        <v>25</v>
      </c>
      <c r="B34" s="219">
        <f t="shared" ref="B34:M34" si="8">B7</f>
        <v>44927</v>
      </c>
      <c r="C34" s="219">
        <f t="shared" si="8"/>
        <v>44958</v>
      </c>
      <c r="D34" s="219">
        <f t="shared" si="8"/>
        <v>44986</v>
      </c>
      <c r="E34" s="219">
        <f t="shared" si="8"/>
        <v>45017</v>
      </c>
      <c r="F34" s="219">
        <f t="shared" si="8"/>
        <v>45047</v>
      </c>
      <c r="G34" s="219">
        <f t="shared" si="8"/>
        <v>45078</v>
      </c>
      <c r="H34" s="219">
        <f t="shared" si="8"/>
        <v>45108</v>
      </c>
      <c r="I34" s="219">
        <f t="shared" si="8"/>
        <v>45139</v>
      </c>
      <c r="J34" s="219">
        <f t="shared" si="8"/>
        <v>45170</v>
      </c>
      <c r="K34" s="219">
        <f t="shared" si="8"/>
        <v>45200</v>
      </c>
      <c r="L34" s="219">
        <f t="shared" si="8"/>
        <v>45231</v>
      </c>
      <c r="M34" s="219">
        <f t="shared" si="8"/>
        <v>45261</v>
      </c>
      <c r="N34" s="220" t="s">
        <v>19</v>
      </c>
    </row>
    <row r="35" spans="1:14">
      <c r="A35" s="210" t="s">
        <v>21</v>
      </c>
      <c r="B35" s="222">
        <f>'SAP BW Actual Usage'!C23</f>
        <v>5217656.0060000001</v>
      </c>
      <c r="C35" s="222">
        <f>'SAP BW Actual Usage'!D23</f>
        <v>5931054.8499999996</v>
      </c>
      <c r="D35" s="222">
        <f>'SAP BW Actual Usage'!E23</f>
        <v>4985787.2300000004</v>
      </c>
      <c r="E35" s="222">
        <f>'SAP BW Actual Usage'!F23</f>
        <v>4530577.0559999989</v>
      </c>
      <c r="F35" s="222">
        <f>'SAP BW Actual Usage'!G23</f>
        <v>5744782.3839999996</v>
      </c>
      <c r="G35" s="222">
        <f>'SAP BW Actual Usage'!H23</f>
        <v>5943293.8059999999</v>
      </c>
      <c r="H35" s="222">
        <f>'SAP BW Actual Usage'!I23</f>
        <v>5220519.220999999</v>
      </c>
      <c r="I35" s="222">
        <f>'SAP BW Actual Usage'!J23</f>
        <v>5780941.1000000006</v>
      </c>
      <c r="J35" s="222">
        <f>'SAP BW Actual Usage'!K23</f>
        <v>6812207.504999999</v>
      </c>
      <c r="K35" s="222">
        <f>'SAP BW Actual Usage'!L23</f>
        <v>5032200.6890000002</v>
      </c>
      <c r="L35" s="222">
        <f>'SAP BW Actual Usage'!M23</f>
        <v>5331195.0520000001</v>
      </c>
      <c r="M35" s="222">
        <f>'SAP BW Actual Usage'!N23</f>
        <v>5288034.8130000001</v>
      </c>
      <c r="N35" s="222">
        <f>SUM(B35:M35)</f>
        <v>65818249.711999997</v>
      </c>
    </row>
    <row r="36" spans="1:14">
      <c r="A36" s="210" t="s">
        <v>39</v>
      </c>
      <c r="B36" s="222">
        <f>'SAP BW Actual Usage'!C22</f>
        <v>53370997.539000005</v>
      </c>
      <c r="C36" s="222">
        <f>'SAP BW Actual Usage'!D22</f>
        <v>69835087.324000001</v>
      </c>
      <c r="D36" s="222">
        <f>'SAP BW Actual Usage'!E22</f>
        <v>31303352.454999998</v>
      </c>
      <c r="E36" s="222">
        <f>'SAP BW Actual Usage'!F22</f>
        <v>57654500.976999998</v>
      </c>
      <c r="F36" s="222">
        <f>'SAP BW Actual Usage'!G22</f>
        <v>47796365.197000004</v>
      </c>
      <c r="G36" s="222">
        <f>'SAP BW Actual Usage'!H22</f>
        <v>54066928.844999999</v>
      </c>
      <c r="H36" s="222">
        <f>'SAP BW Actual Usage'!I22</f>
        <v>44517786.982000001</v>
      </c>
      <c r="I36" s="222">
        <f>'SAP BW Actual Usage'!J22</f>
        <v>59754927.952</v>
      </c>
      <c r="J36" s="222">
        <f>'SAP BW Actual Usage'!K22</f>
        <v>53795354.159999996</v>
      </c>
      <c r="K36" s="222">
        <f>'SAP BW Actual Usage'!L22</f>
        <v>48976524.674000002</v>
      </c>
      <c r="L36" s="222">
        <f>'SAP BW Actual Usage'!M22</f>
        <v>50709154.732000001</v>
      </c>
      <c r="M36" s="222">
        <f>'SAP BW Actual Usage'!N22</f>
        <v>55295066.978999995</v>
      </c>
      <c r="N36" s="222">
        <f>SUM(B36:M36)</f>
        <v>627076047.81599998</v>
      </c>
    </row>
    <row r="37" spans="1:14">
      <c r="A37" s="210" t="s">
        <v>7</v>
      </c>
      <c r="B37" s="222">
        <f>'SAP BW Actual Usage'!C19</f>
        <v>5763.6</v>
      </c>
      <c r="C37" s="222">
        <f>'SAP BW Actual Usage'!D19</f>
        <v>13539</v>
      </c>
      <c r="D37" s="222">
        <f>'SAP BW Actual Usage'!E19</f>
        <v>5721</v>
      </c>
      <c r="E37" s="222">
        <f>'SAP BW Actual Usage'!F19</f>
        <v>6840</v>
      </c>
      <c r="F37" s="222">
        <f>'SAP BW Actual Usage'!G19</f>
        <v>274860</v>
      </c>
      <c r="G37" s="222">
        <f>'SAP BW Actual Usage'!H19</f>
        <v>600900</v>
      </c>
      <c r="H37" s="222">
        <f>'SAP BW Actual Usage'!I19</f>
        <v>712800</v>
      </c>
      <c r="I37" s="222">
        <f>'SAP BW Actual Usage'!J19</f>
        <v>1011000</v>
      </c>
      <c r="J37" s="222">
        <f>'SAP BW Actual Usage'!K19</f>
        <v>976800</v>
      </c>
      <c r="K37" s="222">
        <f>'SAP BW Actual Usage'!L19</f>
        <v>0</v>
      </c>
      <c r="L37" s="222">
        <f>'SAP BW Actual Usage'!M19</f>
        <v>1267800</v>
      </c>
      <c r="M37" s="222">
        <f>'SAP BW Actual Usage'!N19</f>
        <v>5400</v>
      </c>
      <c r="N37" s="222">
        <f>SUM(B37:M37)</f>
        <v>4881423.5999999996</v>
      </c>
    </row>
    <row r="38" spans="1:14">
      <c r="A38" s="210" t="s">
        <v>129</v>
      </c>
      <c r="B38" s="222">
        <f>'SAP BW Actual Usage'!C21</f>
        <v>28293018.568999998</v>
      </c>
      <c r="C38" s="222">
        <f>'SAP BW Actual Usage'!D21</f>
        <v>46014354.283</v>
      </c>
      <c r="D38" s="222">
        <f>'SAP BW Actual Usage'!E21</f>
        <v>7803573.5259999996</v>
      </c>
      <c r="E38" s="222">
        <f>'SAP BW Actual Usage'!F21</f>
        <v>47358499.328000002</v>
      </c>
      <c r="F38" s="222">
        <f>'SAP BW Actual Usage'!G21</f>
        <v>5310927.33</v>
      </c>
      <c r="G38" s="222">
        <f>'SAP BW Actual Usage'!H21</f>
        <v>25837715.658</v>
      </c>
      <c r="H38" s="222">
        <f>'SAP BW Actual Usage'!I21</f>
        <v>24498933.600000001</v>
      </c>
      <c r="I38" s="222">
        <f>'SAP BW Actual Usage'!J21</f>
        <v>26120404.438999999</v>
      </c>
      <c r="J38" s="222">
        <f>'SAP BW Actual Usage'!K21</f>
        <v>26804553.780000001</v>
      </c>
      <c r="K38" s="222">
        <f>'SAP BW Actual Usage'!L21</f>
        <v>32416868.484000001</v>
      </c>
      <c r="L38" s="222">
        <f>'SAP BW Actual Usage'!M21</f>
        <v>26608512.870999999</v>
      </c>
      <c r="M38" s="222">
        <f>'SAP BW Actual Usage'!N21</f>
        <v>27819134.539000001</v>
      </c>
      <c r="N38" s="222">
        <f>SUM(B38:M38)</f>
        <v>324886496.40700001</v>
      </c>
    </row>
    <row r="39" spans="1:14">
      <c r="A39" s="210" t="s">
        <v>5</v>
      </c>
      <c r="B39" s="222">
        <f>'SAP BW Actual Usage'!C17</f>
        <v>358831.31900000002</v>
      </c>
      <c r="C39" s="222">
        <f>'SAP BW Actual Usage'!D17</f>
        <v>205394.19</v>
      </c>
      <c r="D39" s="222">
        <f>'SAP BW Actual Usage'!E17</f>
        <v>264852.77600000001</v>
      </c>
      <c r="E39" s="222">
        <f>'SAP BW Actual Usage'!F17</f>
        <v>307786.50900000002</v>
      </c>
      <c r="F39" s="222">
        <f>'SAP BW Actual Usage'!G17</f>
        <v>535508.255</v>
      </c>
      <c r="G39" s="222">
        <f>'SAP BW Actual Usage'!H17</f>
        <v>1627603.4890000001</v>
      </c>
      <c r="H39" s="222">
        <f>'SAP BW Actual Usage'!I17</f>
        <v>3130036.2990000001</v>
      </c>
      <c r="I39" s="222">
        <f>'SAP BW Actual Usage'!J17</f>
        <v>4509331.9709999999</v>
      </c>
      <c r="J39" s="222">
        <f>'SAP BW Actual Usage'!K17</f>
        <v>3237808.5490000001</v>
      </c>
      <c r="K39" s="222">
        <f>'SAP BW Actual Usage'!L17</f>
        <v>1214271.3259999999</v>
      </c>
      <c r="L39" s="222">
        <f>'SAP BW Actual Usage'!M17</f>
        <v>321347.03600000002</v>
      </c>
      <c r="M39" s="222">
        <f>'SAP BW Actual Usage'!N17</f>
        <v>356399.03899999999</v>
      </c>
      <c r="N39" s="223">
        <f>SUM(B39:M39)</f>
        <v>16069170.758000001</v>
      </c>
    </row>
    <row r="40" spans="1:14">
      <c r="A40" s="210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</row>
    <row r="41" spans="1:14">
      <c r="A41" s="210" t="s">
        <v>20</v>
      </c>
      <c r="B41" s="224">
        <f t="shared" ref="B41:M41" si="9">SUM(B35:B39)</f>
        <v>87246267.033000007</v>
      </c>
      <c r="C41" s="224">
        <f t="shared" si="9"/>
        <v>121999429.64699998</v>
      </c>
      <c r="D41" s="224">
        <f t="shared" si="9"/>
        <v>44363286.987000003</v>
      </c>
      <c r="E41" s="224">
        <f t="shared" si="9"/>
        <v>109858203.87</v>
      </c>
      <c r="F41" s="224">
        <f t="shared" si="9"/>
        <v>59662443.166000001</v>
      </c>
      <c r="G41" s="224">
        <f t="shared" si="9"/>
        <v>88076441.798000008</v>
      </c>
      <c r="H41" s="224">
        <f t="shared" si="9"/>
        <v>78080076.101999998</v>
      </c>
      <c r="I41" s="224">
        <f t="shared" si="9"/>
        <v>97176605.461999997</v>
      </c>
      <c r="J41" s="224">
        <f t="shared" si="9"/>
        <v>91626723.993999988</v>
      </c>
      <c r="K41" s="224">
        <f t="shared" si="9"/>
        <v>87639865.173000008</v>
      </c>
      <c r="L41" s="224">
        <f t="shared" si="9"/>
        <v>84238009.691</v>
      </c>
      <c r="M41" s="224">
        <f t="shared" si="9"/>
        <v>88764035.370000005</v>
      </c>
      <c r="N41" s="224">
        <f>SUM(N35:N39)</f>
        <v>1038731388.2930001</v>
      </c>
    </row>
    <row r="42" spans="1:14"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</row>
    <row r="43" spans="1:14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</row>
    <row r="44" spans="1:14" s="1" customFormat="1" ht="12" thickBot="1">
      <c r="A44" s="211" t="s">
        <v>22</v>
      </c>
      <c r="B44" s="230">
        <f t="shared" ref="B44:N44" si="10">B41+B30</f>
        <v>2254471786.0669999</v>
      </c>
      <c r="C44" s="230">
        <f t="shared" si="10"/>
        <v>2095138277.1930001</v>
      </c>
      <c r="D44" s="230">
        <f t="shared" si="10"/>
        <v>2077145475.1589999</v>
      </c>
      <c r="E44" s="230">
        <f t="shared" si="10"/>
        <v>1955275274.9359999</v>
      </c>
      <c r="F44" s="230">
        <f t="shared" si="10"/>
        <v>1571896497.9439998</v>
      </c>
      <c r="G44" s="230">
        <f t="shared" si="10"/>
        <v>1573664827.352</v>
      </c>
      <c r="H44" s="230">
        <f t="shared" si="10"/>
        <v>1566348706.6969998</v>
      </c>
      <c r="I44" s="230">
        <f t="shared" si="10"/>
        <v>1711478080.7150002</v>
      </c>
      <c r="J44" s="230">
        <f t="shared" si="10"/>
        <v>1621929935.0110002</v>
      </c>
      <c r="K44" s="230">
        <f t="shared" si="10"/>
        <v>1510989713.9780002</v>
      </c>
      <c r="L44" s="230">
        <f t="shared" si="10"/>
        <v>1725318223.4319997</v>
      </c>
      <c r="M44" s="230">
        <f t="shared" si="10"/>
        <v>2099716828.802</v>
      </c>
      <c r="N44" s="230">
        <f t="shared" si="10"/>
        <v>21763373627.285999</v>
      </c>
    </row>
    <row r="45" spans="1:14" ht="14.25" thickTop="1"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1:14">
      <c r="N46" s="231"/>
    </row>
    <row r="47" spans="1:14">
      <c r="B47" s="231"/>
      <c r="C47" s="231"/>
      <c r="D47" s="231"/>
      <c r="E47" s="231"/>
      <c r="F47" s="231"/>
      <c r="G47" s="231"/>
      <c r="H47" s="231"/>
      <c r="I47" s="231"/>
    </row>
    <row r="48" spans="1:14">
      <c r="B48" s="231"/>
      <c r="C48" s="231"/>
      <c r="D48" s="231"/>
      <c r="E48" s="231"/>
      <c r="F48" s="231"/>
      <c r="G48" s="231"/>
      <c r="H48" s="231"/>
      <c r="I48" s="231"/>
    </row>
    <row r="49" spans="2:9">
      <c r="B49" s="231"/>
      <c r="C49" s="231"/>
      <c r="D49" s="231"/>
      <c r="E49" s="231"/>
      <c r="F49" s="231"/>
      <c r="G49" s="231"/>
      <c r="H49" s="231"/>
      <c r="I49" s="231"/>
    </row>
    <row r="50" spans="2:9">
      <c r="B50" s="231"/>
      <c r="C50" s="231"/>
      <c r="D50" s="231"/>
      <c r="E50" s="231"/>
      <c r="F50" s="231"/>
      <c r="G50" s="231"/>
      <c r="H50" s="231"/>
      <c r="I50" s="231"/>
    </row>
    <row r="51" spans="2:9">
      <c r="B51" s="231"/>
      <c r="C51" s="231"/>
      <c r="D51" s="231"/>
      <c r="E51" s="231"/>
      <c r="F51" s="231"/>
      <c r="G51" s="231"/>
      <c r="H51" s="231"/>
      <c r="I51" s="231"/>
    </row>
    <row r="52" spans="2:9">
      <c r="B52" s="231"/>
      <c r="C52" s="231"/>
      <c r="D52" s="231"/>
      <c r="E52" s="231"/>
      <c r="F52" s="231"/>
      <c r="G52" s="231"/>
      <c r="H52" s="231"/>
      <c r="I52" s="231"/>
    </row>
    <row r="53" spans="2:9">
      <c r="B53" s="231"/>
      <c r="C53" s="231"/>
      <c r="D53" s="231"/>
      <c r="E53" s="231"/>
      <c r="F53" s="231"/>
      <c r="G53" s="231"/>
      <c r="H53" s="231"/>
      <c r="I53" s="231"/>
    </row>
    <row r="54" spans="2:9">
      <c r="B54" s="231"/>
      <c r="C54" s="231"/>
      <c r="D54" s="231"/>
      <c r="E54" s="231"/>
      <c r="F54" s="231"/>
      <c r="G54" s="231"/>
      <c r="H54" s="231"/>
      <c r="I54" s="231"/>
    </row>
    <row r="55" spans="2:9">
      <c r="B55" s="231"/>
      <c r="C55" s="231"/>
      <c r="D55" s="231"/>
      <c r="E55" s="231"/>
      <c r="F55" s="231"/>
      <c r="G55" s="231"/>
      <c r="H55" s="231"/>
      <c r="I55" s="231"/>
    </row>
    <row r="56" spans="2:9">
      <c r="B56" s="231"/>
      <c r="C56" s="231"/>
      <c r="D56" s="231"/>
      <c r="E56" s="231"/>
      <c r="F56" s="231"/>
      <c r="G56" s="217"/>
      <c r="H56" s="217"/>
      <c r="I56" s="217"/>
    </row>
    <row r="57" spans="2:9">
      <c r="B57" s="231"/>
      <c r="C57" s="231"/>
      <c r="D57" s="231"/>
      <c r="E57" s="231"/>
      <c r="F57" s="231"/>
      <c r="G57" s="217"/>
      <c r="H57" s="217"/>
      <c r="I57" s="217"/>
    </row>
  </sheetData>
  <phoneticPr fontId="8" type="noConversion"/>
  <printOptions horizontalCentered="1"/>
  <pageMargins left="0.75" right="0.75" top="1" bottom="1" header="0.5" footer="0.5"/>
  <pageSetup scale="52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7" workbookViewId="0">
      <selection activeCell="F18" sqref="F18"/>
    </sheetView>
  </sheetViews>
  <sheetFormatPr defaultColWidth="9.140625" defaultRowHeight="11.25"/>
  <cols>
    <col min="1" max="1" width="25.7109375" style="61" customWidth="1"/>
    <col min="2" max="2" width="11.28515625" style="61" customWidth="1"/>
    <col min="3" max="15" width="16" style="61" customWidth="1"/>
    <col min="16" max="16384" width="9.140625" style="61"/>
  </cols>
  <sheetData>
    <row r="1" spans="1:30">
      <c r="A1" s="198" t="s">
        <v>28</v>
      </c>
      <c r="B1" s="198"/>
    </row>
    <row r="2" spans="1:30">
      <c r="A2" s="198" t="s">
        <v>27</v>
      </c>
      <c r="B2" s="198"/>
    </row>
    <row r="3" spans="1:30">
      <c r="A3" s="61" t="s">
        <v>122</v>
      </c>
    </row>
    <row r="4" spans="1:30">
      <c r="A4" s="199" t="s">
        <v>52</v>
      </c>
    </row>
    <row r="5" spans="1:30"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1"/>
    </row>
    <row r="6" spans="1:30">
      <c r="A6" s="202" t="s">
        <v>58</v>
      </c>
      <c r="B6" s="202"/>
      <c r="N6" s="203"/>
    </row>
    <row r="7" spans="1:30">
      <c r="A7" s="198" t="s">
        <v>25</v>
      </c>
      <c r="B7" s="39" t="s">
        <v>49</v>
      </c>
      <c r="C7" s="204">
        <f>'Sales &amp; Revenue Adj.'!D5</f>
        <v>44927</v>
      </c>
      <c r="D7" s="204">
        <f>'Sales &amp; Revenue Adj.'!E5</f>
        <v>44958</v>
      </c>
      <c r="E7" s="204">
        <f>'Sales &amp; Revenue Adj.'!F5</f>
        <v>44986</v>
      </c>
      <c r="F7" s="204">
        <f>'Sales &amp; Revenue Adj.'!G5</f>
        <v>45017</v>
      </c>
      <c r="G7" s="204">
        <f>'Sales &amp; Revenue Adj.'!H5</f>
        <v>45047</v>
      </c>
      <c r="H7" s="204">
        <f>'Sales &amp; Revenue Adj.'!I5</f>
        <v>45078</v>
      </c>
      <c r="I7" s="204">
        <f>'Sales &amp; Revenue Adj.'!J5</f>
        <v>45108</v>
      </c>
      <c r="J7" s="204">
        <f>'Sales &amp; Revenue Adj.'!K5</f>
        <v>45139</v>
      </c>
      <c r="K7" s="204">
        <f>'Sales &amp; Revenue Adj.'!L5</f>
        <v>45170</v>
      </c>
      <c r="L7" s="204">
        <f>'Sales &amp; Revenue Adj.'!M5</f>
        <v>45200</v>
      </c>
      <c r="M7" s="204">
        <f>'Sales &amp; Revenue Adj.'!N5</f>
        <v>45231</v>
      </c>
      <c r="N7" s="204">
        <f>'Sales &amp; Revenue Adj.'!O5</f>
        <v>45261</v>
      </c>
      <c r="O7" s="205" t="s">
        <v>19</v>
      </c>
    </row>
    <row r="8" spans="1:30" s="1" customFormat="1">
      <c r="A8" s="206" t="s">
        <v>46</v>
      </c>
      <c r="B8" s="1">
        <v>5</v>
      </c>
      <c r="C8" s="207">
        <v>879780</v>
      </c>
      <c r="D8" s="207">
        <v>993540</v>
      </c>
      <c r="E8" s="207">
        <v>911680</v>
      </c>
      <c r="F8" s="207">
        <v>820328.8</v>
      </c>
      <c r="G8" s="207">
        <v>497740</v>
      </c>
      <c r="H8" s="208">
        <v>554051.19999999995</v>
      </c>
      <c r="I8" s="207">
        <v>271380</v>
      </c>
      <c r="J8" s="207">
        <v>296180</v>
      </c>
      <c r="K8" s="207">
        <v>243900</v>
      </c>
      <c r="L8" s="207">
        <v>299560</v>
      </c>
      <c r="M8" s="207">
        <v>420200</v>
      </c>
      <c r="N8" s="207">
        <v>688480</v>
      </c>
      <c r="O8" s="2">
        <f>SUM(C8:N8)</f>
        <v>6876820</v>
      </c>
      <c r="Q8" s="61"/>
      <c r="R8" s="61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</row>
    <row r="9" spans="1:30" s="1" customFormat="1">
      <c r="A9" s="206" t="s">
        <v>110</v>
      </c>
      <c r="B9" s="1">
        <v>7</v>
      </c>
      <c r="C9" s="207">
        <v>1333954894.724</v>
      </c>
      <c r="D9" s="207">
        <v>1204449984.5929999</v>
      </c>
      <c r="E9" s="207">
        <v>1217216666.6470001</v>
      </c>
      <c r="F9" s="207">
        <v>1074916524.201</v>
      </c>
      <c r="G9" s="207">
        <v>838495209.30599999</v>
      </c>
      <c r="H9" s="208">
        <v>740767312.99000001</v>
      </c>
      <c r="I9" s="207">
        <v>749808940.09899998</v>
      </c>
      <c r="J9" s="207">
        <v>789872999.59800005</v>
      </c>
      <c r="K9" s="207">
        <v>764038285.06799996</v>
      </c>
      <c r="L9" s="207">
        <v>716229671.06000006</v>
      </c>
      <c r="M9" s="207">
        <v>935372475.54400003</v>
      </c>
      <c r="N9" s="207">
        <v>1195703207.2820001</v>
      </c>
      <c r="O9" s="2">
        <f t="shared" ref="O9:O24" si="0">SUM(C9:N9)</f>
        <v>11560826171.112</v>
      </c>
      <c r="Q9" s="61"/>
      <c r="R9" s="61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</row>
    <row r="10" spans="1:30" s="1" customFormat="1">
      <c r="A10" s="206" t="s">
        <v>35</v>
      </c>
      <c r="B10" s="1">
        <v>8</v>
      </c>
      <c r="C10" s="207">
        <v>30393471.868000001</v>
      </c>
      <c r="D10" s="207">
        <v>26530208.212000001</v>
      </c>
      <c r="E10" s="207">
        <v>26605414.261999998</v>
      </c>
      <c r="F10" s="207">
        <v>24747395.638999999</v>
      </c>
      <c r="G10" s="207">
        <v>19122937.118999999</v>
      </c>
      <c r="H10" s="208">
        <v>18185845.169</v>
      </c>
      <c r="I10" s="207">
        <v>17395622.897</v>
      </c>
      <c r="J10" s="207">
        <v>20489784.149999999</v>
      </c>
      <c r="K10" s="207">
        <v>18071370.976</v>
      </c>
      <c r="L10" s="207">
        <v>17369847.454</v>
      </c>
      <c r="M10" s="207">
        <v>20082208.287</v>
      </c>
      <c r="N10" s="207">
        <v>25772317.127</v>
      </c>
      <c r="O10" s="2">
        <f t="shared" si="0"/>
        <v>264766423.16000003</v>
      </c>
      <c r="Q10" s="61"/>
      <c r="R10" s="61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</row>
    <row r="11" spans="1:30" s="1" customFormat="1">
      <c r="A11" s="206" t="s">
        <v>38</v>
      </c>
      <c r="B11" s="24">
        <v>10</v>
      </c>
      <c r="C11" s="207">
        <v>2794621.92</v>
      </c>
      <c r="D11" s="207">
        <v>2636930.58</v>
      </c>
      <c r="E11" s="207">
        <v>2148360</v>
      </c>
      <c r="F11" s="207">
        <v>1966140</v>
      </c>
      <c r="G11" s="207">
        <v>1691580</v>
      </c>
      <c r="H11" s="208">
        <v>1801800</v>
      </c>
      <c r="I11" s="207">
        <v>1582200</v>
      </c>
      <c r="J11" s="207">
        <v>1461180</v>
      </c>
      <c r="K11" s="207">
        <v>1689720</v>
      </c>
      <c r="L11" s="207">
        <v>1473540</v>
      </c>
      <c r="M11" s="207">
        <v>1662960</v>
      </c>
      <c r="N11" s="207">
        <v>2133000</v>
      </c>
      <c r="O11" s="2">
        <f t="shared" si="0"/>
        <v>23042032.5</v>
      </c>
      <c r="Q11" s="61"/>
      <c r="R11" s="61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</row>
    <row r="12" spans="1:30" s="1" customFormat="1">
      <c r="A12" s="206" t="s">
        <v>36</v>
      </c>
      <c r="B12" s="1">
        <v>11</v>
      </c>
      <c r="C12" s="207">
        <v>13125245.419</v>
      </c>
      <c r="D12" s="207">
        <v>11396155.323000001</v>
      </c>
      <c r="E12" s="207">
        <v>12658292.847999999</v>
      </c>
      <c r="F12" s="207">
        <v>12759319.993000001</v>
      </c>
      <c r="G12" s="207">
        <v>9788873.2789999992</v>
      </c>
      <c r="H12" s="208">
        <v>9011736.1300000008</v>
      </c>
      <c r="I12" s="207">
        <v>9535211.6199999992</v>
      </c>
      <c r="J12" s="207">
        <v>9954861.4869999997</v>
      </c>
      <c r="K12" s="207">
        <v>9504956.3790000007</v>
      </c>
      <c r="L12" s="207">
        <v>9232460.0649999995</v>
      </c>
      <c r="M12" s="207">
        <v>10507595.539999999</v>
      </c>
      <c r="N12" s="207">
        <v>12575342.703</v>
      </c>
      <c r="O12" s="2">
        <f t="shared" si="0"/>
        <v>130050050.786</v>
      </c>
      <c r="Q12" s="61"/>
      <c r="R12" s="61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</row>
    <row r="13" spans="1:30" s="1" customFormat="1">
      <c r="A13" s="206" t="s">
        <v>37</v>
      </c>
      <c r="B13" s="1">
        <v>12</v>
      </c>
      <c r="C13" s="207">
        <v>1576440</v>
      </c>
      <c r="D13" s="207">
        <v>1493020</v>
      </c>
      <c r="E13" s="207">
        <v>2052260</v>
      </c>
      <c r="F13" s="207">
        <v>1190260</v>
      </c>
      <c r="G13" s="207">
        <v>965780</v>
      </c>
      <c r="H13" s="208">
        <v>1377020</v>
      </c>
      <c r="I13" s="207">
        <v>1570960</v>
      </c>
      <c r="J13" s="207">
        <v>1541520</v>
      </c>
      <c r="K13" s="207">
        <v>1404125.6</v>
      </c>
      <c r="L13" s="207">
        <v>987754.4</v>
      </c>
      <c r="M13" s="207">
        <v>1198420</v>
      </c>
      <c r="N13" s="207">
        <v>1446440</v>
      </c>
      <c r="O13" s="2">
        <f t="shared" si="0"/>
        <v>16804000</v>
      </c>
      <c r="Q13" s="61"/>
      <c r="R13" s="61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</row>
    <row r="14" spans="1:30" s="1" customFormat="1">
      <c r="A14" s="206" t="s">
        <v>107</v>
      </c>
      <c r="B14" s="1">
        <v>24</v>
      </c>
      <c r="C14" s="207">
        <v>241311180.89500001</v>
      </c>
      <c r="D14" s="207">
        <v>215437486.32300001</v>
      </c>
      <c r="E14" s="207">
        <v>226839487.12</v>
      </c>
      <c r="F14" s="207">
        <v>216018626.93099999</v>
      </c>
      <c r="G14" s="207">
        <v>188417494.523</v>
      </c>
      <c r="H14" s="208">
        <v>188294165.92500001</v>
      </c>
      <c r="I14" s="207">
        <v>189534243.11699998</v>
      </c>
      <c r="J14" s="207">
        <v>201924538.63099998</v>
      </c>
      <c r="K14" s="207">
        <v>194810382.21799996</v>
      </c>
      <c r="L14" s="207">
        <v>174555560.53600001</v>
      </c>
      <c r="M14" s="207">
        <v>187547961.28200001</v>
      </c>
      <c r="N14" s="207">
        <v>214596580.30199999</v>
      </c>
      <c r="O14" s="2">
        <f t="shared" si="0"/>
        <v>2439287707.803</v>
      </c>
      <c r="Q14" s="61"/>
      <c r="R14" s="61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</row>
    <row r="15" spans="1:30" s="1" customFormat="1">
      <c r="A15" s="206" t="s">
        <v>108</v>
      </c>
      <c r="B15" s="1">
        <v>25</v>
      </c>
      <c r="C15" s="207">
        <v>259802003.072</v>
      </c>
      <c r="D15" s="207">
        <v>241270545.72799999</v>
      </c>
      <c r="E15" s="207">
        <v>253018306.78400001</v>
      </c>
      <c r="F15" s="207">
        <v>247438315.03200001</v>
      </c>
      <c r="G15" s="207">
        <v>212272293.12200001</v>
      </c>
      <c r="H15" s="208">
        <v>245916259.60499999</v>
      </c>
      <c r="I15" s="207">
        <v>239501549.14700001</v>
      </c>
      <c r="J15" s="207">
        <v>263602734.87200001</v>
      </c>
      <c r="K15" s="207">
        <v>244237604.55699998</v>
      </c>
      <c r="L15" s="207">
        <v>224289017.38</v>
      </c>
      <c r="M15" s="207">
        <v>223211281.55399999</v>
      </c>
      <c r="N15" s="207">
        <v>253979171.648</v>
      </c>
      <c r="O15" s="2">
        <f t="shared" si="0"/>
        <v>2908539082.5010004</v>
      </c>
      <c r="Q15" s="61"/>
      <c r="R15" s="61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</row>
    <row r="16" spans="1:30" s="1" customFormat="1">
      <c r="A16" s="206" t="s">
        <v>109</v>
      </c>
      <c r="B16" s="1">
        <v>26</v>
      </c>
      <c r="C16" s="207">
        <v>152896317.301</v>
      </c>
      <c r="D16" s="207">
        <v>140926665.736</v>
      </c>
      <c r="E16" s="207">
        <v>148959165.07600001</v>
      </c>
      <c r="F16" s="207">
        <v>152844972.57599998</v>
      </c>
      <c r="G16" s="207">
        <v>139071643.949</v>
      </c>
      <c r="H16" s="208">
        <v>145298776.86199999</v>
      </c>
      <c r="I16" s="207">
        <v>163919537.58699998</v>
      </c>
      <c r="J16" s="207">
        <v>174591175.796</v>
      </c>
      <c r="K16" s="207">
        <v>162940130.169</v>
      </c>
      <c r="L16" s="207">
        <v>162496957.94600001</v>
      </c>
      <c r="M16" s="207">
        <v>147883112.71700001</v>
      </c>
      <c r="N16" s="207">
        <v>159480998.08999997</v>
      </c>
      <c r="O16" s="2">
        <f t="shared" si="0"/>
        <v>1851309453.8049998</v>
      </c>
      <c r="Q16" s="61"/>
      <c r="R16" s="61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</row>
    <row r="17" spans="1:30" s="1" customFormat="1">
      <c r="A17" s="206" t="s">
        <v>5</v>
      </c>
      <c r="B17" s="1">
        <v>29</v>
      </c>
      <c r="C17" s="207">
        <v>358831.31900000002</v>
      </c>
      <c r="D17" s="207">
        <v>205394.19</v>
      </c>
      <c r="E17" s="207">
        <v>264852.77600000001</v>
      </c>
      <c r="F17" s="207">
        <v>307786.50900000002</v>
      </c>
      <c r="G17" s="207">
        <v>535508.255</v>
      </c>
      <c r="H17" s="208">
        <v>1627603.4890000001</v>
      </c>
      <c r="I17" s="207">
        <v>3130036.2990000001</v>
      </c>
      <c r="J17" s="207">
        <v>4509331.9709999999</v>
      </c>
      <c r="K17" s="207">
        <v>3237808.5490000001</v>
      </c>
      <c r="L17" s="207">
        <v>1214271.3259999999</v>
      </c>
      <c r="M17" s="207">
        <v>321347.03600000002</v>
      </c>
      <c r="N17" s="207">
        <v>356399.03899999999</v>
      </c>
      <c r="O17" s="2">
        <f t="shared" si="0"/>
        <v>16069170.758000001</v>
      </c>
      <c r="Q17" s="61"/>
      <c r="R17" s="61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</row>
    <row r="18" spans="1:30" s="1" customFormat="1">
      <c r="A18" s="206" t="s">
        <v>6</v>
      </c>
      <c r="B18" s="1">
        <v>31</v>
      </c>
      <c r="C18" s="207">
        <v>114952687.39500001</v>
      </c>
      <c r="D18" s="207">
        <v>117022070.35100001</v>
      </c>
      <c r="E18" s="207">
        <v>126750121.23499998</v>
      </c>
      <c r="F18" s="207">
        <v>99016226.919</v>
      </c>
      <c r="G18" s="207">
        <v>91752960.314999998</v>
      </c>
      <c r="H18" s="208">
        <v>124216404.94800001</v>
      </c>
      <c r="I18" s="207">
        <v>108380279.96799999</v>
      </c>
      <c r="J18" s="207">
        <v>144816976.479</v>
      </c>
      <c r="K18" s="207">
        <v>127226143.41</v>
      </c>
      <c r="L18" s="207">
        <v>109115348.264</v>
      </c>
      <c r="M18" s="207">
        <v>104214897.642</v>
      </c>
      <c r="N18" s="207">
        <v>131591704.63</v>
      </c>
      <c r="O18" s="2">
        <f t="shared" si="0"/>
        <v>1399055821.5559998</v>
      </c>
      <c r="Q18" s="61"/>
      <c r="R18" s="61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</row>
    <row r="19" spans="1:30" s="1" customFormat="1">
      <c r="A19" s="210" t="s">
        <v>7</v>
      </c>
      <c r="B19" s="1">
        <v>35</v>
      </c>
      <c r="C19" s="207">
        <v>5763.6</v>
      </c>
      <c r="D19" s="207">
        <v>13539</v>
      </c>
      <c r="E19" s="207">
        <v>5721</v>
      </c>
      <c r="F19" s="207">
        <v>6840</v>
      </c>
      <c r="G19" s="207">
        <v>274860</v>
      </c>
      <c r="H19" s="208">
        <v>600900</v>
      </c>
      <c r="I19" s="207">
        <v>712800</v>
      </c>
      <c r="J19" s="207">
        <v>1011000</v>
      </c>
      <c r="K19" s="207">
        <v>976800</v>
      </c>
      <c r="L19" s="207">
        <v>0</v>
      </c>
      <c r="M19" s="207">
        <v>1267800</v>
      </c>
      <c r="N19" s="207">
        <v>5400</v>
      </c>
      <c r="O19" s="2">
        <f t="shared" si="0"/>
        <v>4881423.5999999996</v>
      </c>
      <c r="Q19" s="61"/>
      <c r="R19" s="61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</row>
    <row r="20" spans="1:30" s="1" customFormat="1">
      <c r="A20" s="206" t="s">
        <v>8</v>
      </c>
      <c r="B20" s="1">
        <v>43</v>
      </c>
      <c r="C20" s="207">
        <v>15538876.439999999</v>
      </c>
      <c r="D20" s="207">
        <v>10982240.699999999</v>
      </c>
      <c r="E20" s="207">
        <v>15622434.199999999</v>
      </c>
      <c r="F20" s="207">
        <v>13698960.975</v>
      </c>
      <c r="G20" s="207">
        <v>10157543.164999999</v>
      </c>
      <c r="H20" s="208">
        <v>10165012.725</v>
      </c>
      <c r="I20" s="207">
        <v>6768706.1600000001</v>
      </c>
      <c r="J20" s="207">
        <v>5749524.2400000002</v>
      </c>
      <c r="K20" s="207">
        <v>6136592.6399999997</v>
      </c>
      <c r="L20" s="207">
        <v>7300131.7000000002</v>
      </c>
      <c r="M20" s="207">
        <v>8979101.1750000007</v>
      </c>
      <c r="N20" s="207">
        <v>12985551.65</v>
      </c>
      <c r="O20" s="2">
        <f t="shared" si="0"/>
        <v>124084675.77</v>
      </c>
      <c r="Q20" s="61"/>
      <c r="R20" s="61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</row>
    <row r="21" spans="1:30" s="1" customFormat="1">
      <c r="A21" s="206" t="s">
        <v>127</v>
      </c>
      <c r="B21" s="206" t="s">
        <v>128</v>
      </c>
      <c r="C21" s="207">
        <v>28293018.568999998</v>
      </c>
      <c r="D21" s="207">
        <v>46014354.283</v>
      </c>
      <c r="E21" s="207">
        <v>7803573.5259999996</v>
      </c>
      <c r="F21" s="207">
        <v>47358499.328000002</v>
      </c>
      <c r="G21" s="207">
        <v>5310927.33</v>
      </c>
      <c r="H21" s="208">
        <v>25837715.658</v>
      </c>
      <c r="I21" s="207">
        <v>24498933.600000001</v>
      </c>
      <c r="J21" s="207">
        <v>26120404.438999999</v>
      </c>
      <c r="K21" s="207">
        <v>26804553.780000001</v>
      </c>
      <c r="L21" s="207">
        <v>32416868.484000001</v>
      </c>
      <c r="M21" s="207">
        <v>26608512.870999999</v>
      </c>
      <c r="N21" s="207">
        <v>27819134.539000001</v>
      </c>
      <c r="O21" s="2">
        <f t="shared" si="0"/>
        <v>324886496.40700001</v>
      </c>
      <c r="Q21" s="61"/>
      <c r="R21" s="61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</row>
    <row r="22" spans="1:30">
      <c r="A22" s="210" t="s">
        <v>112</v>
      </c>
      <c r="B22" s="206" t="s">
        <v>48</v>
      </c>
      <c r="C22" s="207">
        <v>53370997.539000005</v>
      </c>
      <c r="D22" s="207">
        <v>69835087.324000001</v>
      </c>
      <c r="E22" s="207">
        <v>31303352.454999998</v>
      </c>
      <c r="F22" s="207">
        <v>57654500.976999998</v>
      </c>
      <c r="G22" s="207">
        <v>47796365.197000004</v>
      </c>
      <c r="H22" s="208">
        <v>54066928.844999999</v>
      </c>
      <c r="I22" s="207">
        <v>44517786.982000001</v>
      </c>
      <c r="J22" s="207">
        <v>59754927.952</v>
      </c>
      <c r="K22" s="207">
        <v>53795354.159999996</v>
      </c>
      <c r="L22" s="207">
        <v>48976524.674000002</v>
      </c>
      <c r="M22" s="207">
        <v>50709154.732000001</v>
      </c>
      <c r="N22" s="207">
        <v>55295066.978999995</v>
      </c>
      <c r="O22" s="2">
        <f t="shared" si="0"/>
        <v>627076047.81599998</v>
      </c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</row>
    <row r="23" spans="1:30">
      <c r="A23" s="210" t="s">
        <v>111</v>
      </c>
      <c r="B23" s="206" t="s">
        <v>47</v>
      </c>
      <c r="C23" s="207">
        <v>5217656.0060000001</v>
      </c>
      <c r="D23" s="207">
        <v>5931054.8499999996</v>
      </c>
      <c r="E23" s="207">
        <v>4985787.2300000004</v>
      </c>
      <c r="F23" s="207">
        <v>4530577.0559999989</v>
      </c>
      <c r="G23" s="207">
        <v>5744782.3839999996</v>
      </c>
      <c r="H23" s="208">
        <v>5943293.8059999999</v>
      </c>
      <c r="I23" s="207">
        <v>5220519.220999999</v>
      </c>
      <c r="J23" s="207">
        <v>5780941.1000000006</v>
      </c>
      <c r="K23" s="207">
        <v>6812207.504999999</v>
      </c>
      <c r="L23" s="207">
        <v>5032200.6890000002</v>
      </c>
      <c r="M23" s="207">
        <v>5331195.0520000001</v>
      </c>
      <c r="N23" s="207">
        <v>5288034.8130000001</v>
      </c>
      <c r="O23" s="2">
        <f t="shared" si="0"/>
        <v>65818249.711999997</v>
      </c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</row>
    <row r="24" spans="1:30" s="1" customFormat="1">
      <c r="A24" s="211" t="s">
        <v>22</v>
      </c>
      <c r="B24" s="211"/>
      <c r="C24" s="2">
        <f t="shared" ref="C24:N24" si="1">SUM(C8:C23)</f>
        <v>2254471786.0669999</v>
      </c>
      <c r="D24" s="2">
        <f t="shared" si="1"/>
        <v>2095138277.1929998</v>
      </c>
      <c r="E24" s="2">
        <f t="shared" si="1"/>
        <v>2077145475.1590002</v>
      </c>
      <c r="F24" s="2">
        <f t="shared" si="1"/>
        <v>1955275274.9359999</v>
      </c>
      <c r="G24" s="2">
        <f t="shared" si="1"/>
        <v>1571896497.944</v>
      </c>
      <c r="H24" s="2">
        <f t="shared" si="1"/>
        <v>1573664827.352</v>
      </c>
      <c r="I24" s="2">
        <f t="shared" si="1"/>
        <v>1566348706.6969998</v>
      </c>
      <c r="J24" s="2">
        <f t="shared" si="1"/>
        <v>1711478080.7149997</v>
      </c>
      <c r="K24" s="2">
        <f t="shared" si="1"/>
        <v>1621929935.0110002</v>
      </c>
      <c r="L24" s="2">
        <f t="shared" si="1"/>
        <v>1510989713.9779999</v>
      </c>
      <c r="M24" s="2">
        <f t="shared" si="1"/>
        <v>1725318223.4320002</v>
      </c>
      <c r="N24" s="2">
        <f t="shared" si="1"/>
        <v>2099716828.8020003</v>
      </c>
      <c r="O24" s="2">
        <f t="shared" si="0"/>
        <v>21763373627.285999</v>
      </c>
    </row>
    <row r="25" spans="1:30" ht="13.5"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3"/>
      <c r="O25" s="212"/>
    </row>
    <row r="26" spans="1:30">
      <c r="N26" s="1"/>
    </row>
    <row r="27" spans="1:30">
      <c r="A27" s="198" t="s">
        <v>28</v>
      </c>
    </row>
    <row r="28" spans="1:30">
      <c r="A28" s="198" t="s">
        <v>102</v>
      </c>
    </row>
    <row r="29" spans="1:30">
      <c r="A29" s="61" t="s">
        <v>116</v>
      </c>
    </row>
    <row r="30" spans="1:30">
      <c r="A30" s="198" t="s">
        <v>58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203"/>
    </row>
    <row r="31" spans="1:30">
      <c r="A31" s="198" t="s">
        <v>25</v>
      </c>
      <c r="B31" s="198" t="s">
        <v>49</v>
      </c>
      <c r="C31" s="204">
        <f t="shared" ref="C31:N31" si="2">C7</f>
        <v>44927</v>
      </c>
      <c r="D31" s="204">
        <f t="shared" si="2"/>
        <v>44958</v>
      </c>
      <c r="E31" s="204">
        <f t="shared" si="2"/>
        <v>44986</v>
      </c>
      <c r="F31" s="204">
        <f t="shared" si="2"/>
        <v>45017</v>
      </c>
      <c r="G31" s="204">
        <f t="shared" si="2"/>
        <v>45047</v>
      </c>
      <c r="H31" s="204">
        <f t="shared" si="2"/>
        <v>45078</v>
      </c>
      <c r="I31" s="204">
        <f t="shared" si="2"/>
        <v>45108</v>
      </c>
      <c r="J31" s="204">
        <f t="shared" si="2"/>
        <v>45139</v>
      </c>
      <c r="K31" s="204">
        <f t="shared" si="2"/>
        <v>45170</v>
      </c>
      <c r="L31" s="204">
        <f t="shared" si="2"/>
        <v>45200</v>
      </c>
      <c r="M31" s="204">
        <f t="shared" si="2"/>
        <v>45231</v>
      </c>
      <c r="N31" s="204">
        <f t="shared" si="2"/>
        <v>45261</v>
      </c>
    </row>
    <row r="32" spans="1:30">
      <c r="A32" s="206" t="s">
        <v>46</v>
      </c>
      <c r="B32" s="214">
        <v>5</v>
      </c>
      <c r="C32" s="215">
        <v>8</v>
      </c>
      <c r="D32" s="215">
        <v>8</v>
      </c>
      <c r="E32" s="215">
        <v>8</v>
      </c>
      <c r="F32" s="215">
        <v>8</v>
      </c>
      <c r="G32" s="215">
        <v>8</v>
      </c>
      <c r="H32" s="215">
        <v>8</v>
      </c>
      <c r="I32" s="215">
        <v>8</v>
      </c>
      <c r="J32" s="215">
        <v>8</v>
      </c>
      <c r="K32" s="215">
        <v>8</v>
      </c>
      <c r="L32" s="215">
        <v>8</v>
      </c>
      <c r="M32" s="215">
        <v>8</v>
      </c>
      <c r="N32" s="215">
        <v>8</v>
      </c>
    </row>
    <row r="33" spans="1:14">
      <c r="A33" s="206" t="s">
        <v>110</v>
      </c>
      <c r="B33" s="214">
        <v>7</v>
      </c>
      <c r="C33" s="215">
        <v>1072468</v>
      </c>
      <c r="D33" s="215">
        <v>1073374</v>
      </c>
      <c r="E33" s="215">
        <v>1074500</v>
      </c>
      <c r="F33" s="215">
        <v>1075085</v>
      </c>
      <c r="G33" s="215">
        <v>1075649</v>
      </c>
      <c r="H33" s="215">
        <v>1076408</v>
      </c>
      <c r="I33" s="215">
        <v>1077258</v>
      </c>
      <c r="J33" s="215">
        <v>1077997</v>
      </c>
      <c r="K33" s="215">
        <v>1079401</v>
      </c>
      <c r="L33" s="215">
        <v>1080769</v>
      </c>
      <c r="M33" s="215">
        <v>1082423</v>
      </c>
      <c r="N33" s="215">
        <v>1074925</v>
      </c>
    </row>
    <row r="34" spans="1:14">
      <c r="A34" s="206" t="s">
        <v>35</v>
      </c>
      <c r="B34" s="214">
        <v>8</v>
      </c>
      <c r="C34" s="215">
        <v>31259</v>
      </c>
      <c r="D34" s="215">
        <v>31283</v>
      </c>
      <c r="E34" s="215">
        <v>31292</v>
      </c>
      <c r="F34" s="215">
        <v>31316</v>
      </c>
      <c r="G34" s="215">
        <v>31355</v>
      </c>
      <c r="H34" s="215">
        <v>31383</v>
      </c>
      <c r="I34" s="215">
        <v>31393</v>
      </c>
      <c r="J34" s="215">
        <v>31408</v>
      </c>
      <c r="K34" s="215">
        <v>31444</v>
      </c>
      <c r="L34" s="215">
        <v>31437</v>
      </c>
      <c r="M34" s="215">
        <v>31426</v>
      </c>
      <c r="N34" s="215">
        <v>31472</v>
      </c>
    </row>
    <row r="35" spans="1:14">
      <c r="A35" s="206" t="s">
        <v>38</v>
      </c>
      <c r="B35" s="214">
        <v>10</v>
      </c>
      <c r="C35" s="215">
        <v>12</v>
      </c>
      <c r="D35" s="215">
        <v>12</v>
      </c>
      <c r="E35" s="215">
        <v>12</v>
      </c>
      <c r="F35" s="215">
        <v>12</v>
      </c>
      <c r="G35" s="215">
        <v>12</v>
      </c>
      <c r="H35" s="215">
        <v>12</v>
      </c>
      <c r="I35" s="215">
        <v>12</v>
      </c>
      <c r="J35" s="215">
        <v>12</v>
      </c>
      <c r="K35" s="215">
        <v>12</v>
      </c>
      <c r="L35" s="215">
        <v>12</v>
      </c>
      <c r="M35" s="215">
        <v>12</v>
      </c>
      <c r="N35" s="215">
        <v>12</v>
      </c>
    </row>
    <row r="36" spans="1:14">
      <c r="A36" s="206" t="s">
        <v>36</v>
      </c>
      <c r="B36" s="214">
        <v>11</v>
      </c>
      <c r="C36" s="215">
        <v>312</v>
      </c>
      <c r="D36" s="215">
        <v>312</v>
      </c>
      <c r="E36" s="215">
        <v>311</v>
      </c>
      <c r="F36" s="215">
        <v>315</v>
      </c>
      <c r="G36" s="215">
        <v>313</v>
      </c>
      <c r="H36" s="215">
        <v>314</v>
      </c>
      <c r="I36" s="215">
        <v>316</v>
      </c>
      <c r="J36" s="215">
        <v>310</v>
      </c>
      <c r="K36" s="215">
        <v>311</v>
      </c>
      <c r="L36" s="215">
        <v>308</v>
      </c>
      <c r="M36" s="215">
        <v>311</v>
      </c>
      <c r="N36" s="215">
        <v>315</v>
      </c>
    </row>
    <row r="37" spans="1:14">
      <c r="A37" s="206" t="s">
        <v>37</v>
      </c>
      <c r="B37" s="214">
        <v>12</v>
      </c>
      <c r="C37" s="215">
        <v>13</v>
      </c>
      <c r="D37" s="215">
        <v>13</v>
      </c>
      <c r="E37" s="215">
        <v>13</v>
      </c>
      <c r="F37" s="215">
        <v>13</v>
      </c>
      <c r="G37" s="215">
        <v>13</v>
      </c>
      <c r="H37" s="215">
        <v>13</v>
      </c>
      <c r="I37" s="215">
        <v>12</v>
      </c>
      <c r="J37" s="215">
        <v>12</v>
      </c>
      <c r="K37" s="215">
        <v>12</v>
      </c>
      <c r="L37" s="215">
        <v>12</v>
      </c>
      <c r="M37" s="215">
        <v>11</v>
      </c>
      <c r="N37" s="215">
        <v>11</v>
      </c>
    </row>
    <row r="38" spans="1:14">
      <c r="A38" s="206" t="s">
        <v>107</v>
      </c>
      <c r="B38" s="214">
        <v>24</v>
      </c>
      <c r="C38" s="215">
        <v>94372</v>
      </c>
      <c r="D38" s="215">
        <v>94415</v>
      </c>
      <c r="E38" s="215">
        <v>94477</v>
      </c>
      <c r="F38" s="215">
        <v>94573</v>
      </c>
      <c r="G38" s="215">
        <v>94574</v>
      </c>
      <c r="H38" s="215">
        <v>94643</v>
      </c>
      <c r="I38" s="215">
        <v>94656</v>
      </c>
      <c r="J38" s="215">
        <v>94715</v>
      </c>
      <c r="K38" s="215">
        <v>94658</v>
      </c>
      <c r="L38" s="215">
        <v>94745</v>
      </c>
      <c r="M38" s="215">
        <v>94959</v>
      </c>
      <c r="N38" s="215">
        <v>95033</v>
      </c>
    </row>
    <row r="39" spans="1:14">
      <c r="A39" s="206" t="s">
        <v>108</v>
      </c>
      <c r="B39" s="214">
        <v>25</v>
      </c>
      <c r="C39" s="215">
        <v>7850</v>
      </c>
      <c r="D39" s="215">
        <v>7884</v>
      </c>
      <c r="E39" s="215">
        <v>7918</v>
      </c>
      <c r="F39" s="215">
        <v>7965</v>
      </c>
      <c r="G39" s="215">
        <v>8009</v>
      </c>
      <c r="H39" s="215">
        <v>8031</v>
      </c>
      <c r="I39" s="215">
        <v>8079</v>
      </c>
      <c r="J39" s="215">
        <v>8092</v>
      </c>
      <c r="K39" s="215">
        <v>8131</v>
      </c>
      <c r="L39" s="215">
        <v>8150</v>
      </c>
      <c r="M39" s="215">
        <v>8170</v>
      </c>
      <c r="N39" s="215">
        <v>8205</v>
      </c>
    </row>
    <row r="40" spans="1:14">
      <c r="A40" s="206" t="s">
        <v>109</v>
      </c>
      <c r="B40" s="214">
        <v>26</v>
      </c>
      <c r="C40" s="215">
        <v>842</v>
      </c>
      <c r="D40" s="215">
        <v>850</v>
      </c>
      <c r="E40" s="215">
        <v>853</v>
      </c>
      <c r="F40" s="215">
        <v>865</v>
      </c>
      <c r="G40" s="215">
        <v>869</v>
      </c>
      <c r="H40" s="215">
        <v>878</v>
      </c>
      <c r="I40" s="215">
        <v>884</v>
      </c>
      <c r="J40" s="215">
        <v>891</v>
      </c>
      <c r="K40" s="215">
        <v>900</v>
      </c>
      <c r="L40" s="215">
        <v>905</v>
      </c>
      <c r="M40" s="215">
        <v>915</v>
      </c>
      <c r="N40" s="215">
        <v>913</v>
      </c>
    </row>
    <row r="41" spans="1:14">
      <c r="A41" s="206" t="s">
        <v>5</v>
      </c>
      <c r="B41" s="214">
        <v>29</v>
      </c>
      <c r="C41" s="215">
        <v>589</v>
      </c>
      <c r="D41" s="215">
        <v>574</v>
      </c>
      <c r="E41" s="215">
        <v>578</v>
      </c>
      <c r="F41" s="215">
        <v>598</v>
      </c>
      <c r="G41" s="215">
        <v>634</v>
      </c>
      <c r="H41" s="215">
        <v>657</v>
      </c>
      <c r="I41" s="215">
        <v>673</v>
      </c>
      <c r="J41" s="215">
        <v>678</v>
      </c>
      <c r="K41" s="215">
        <v>666</v>
      </c>
      <c r="L41" s="215">
        <v>640</v>
      </c>
      <c r="M41" s="215">
        <v>585</v>
      </c>
      <c r="N41" s="215">
        <v>570</v>
      </c>
    </row>
    <row r="42" spans="1:14">
      <c r="A42" s="206" t="s">
        <v>6</v>
      </c>
      <c r="B42" s="214">
        <v>31</v>
      </c>
      <c r="C42" s="215">
        <v>491</v>
      </c>
      <c r="D42" s="215">
        <v>489</v>
      </c>
      <c r="E42" s="215">
        <v>491</v>
      </c>
      <c r="F42" s="215">
        <v>491</v>
      </c>
      <c r="G42" s="215">
        <v>492</v>
      </c>
      <c r="H42" s="215">
        <v>489</v>
      </c>
      <c r="I42" s="215">
        <v>492</v>
      </c>
      <c r="J42" s="215">
        <v>492</v>
      </c>
      <c r="K42" s="215">
        <v>494</v>
      </c>
      <c r="L42" s="215">
        <v>495</v>
      </c>
      <c r="M42" s="215">
        <v>491</v>
      </c>
      <c r="N42" s="215">
        <v>494</v>
      </c>
    </row>
    <row r="43" spans="1:14">
      <c r="A43" s="210" t="s">
        <v>7</v>
      </c>
      <c r="B43" s="214">
        <v>35</v>
      </c>
      <c r="C43" s="215">
        <v>2</v>
      </c>
      <c r="D43" s="215">
        <v>2</v>
      </c>
      <c r="E43" s="215">
        <v>2</v>
      </c>
      <c r="F43" s="215">
        <v>2</v>
      </c>
      <c r="G43" s="215">
        <v>2</v>
      </c>
      <c r="H43" s="215">
        <v>1</v>
      </c>
      <c r="I43" s="215">
        <v>1</v>
      </c>
      <c r="J43" s="215">
        <v>1</v>
      </c>
      <c r="K43" s="215">
        <v>1</v>
      </c>
      <c r="L43" s="215">
        <v>1</v>
      </c>
      <c r="M43" s="215">
        <v>1</v>
      </c>
      <c r="N43" s="215">
        <v>2</v>
      </c>
    </row>
    <row r="44" spans="1:14">
      <c r="A44" s="206" t="s">
        <v>8</v>
      </c>
      <c r="B44" s="214">
        <v>43</v>
      </c>
      <c r="C44" s="215">
        <v>143</v>
      </c>
      <c r="D44" s="215">
        <v>143</v>
      </c>
      <c r="E44" s="215">
        <v>143</v>
      </c>
      <c r="F44" s="215">
        <v>143</v>
      </c>
      <c r="G44" s="215">
        <v>143</v>
      </c>
      <c r="H44" s="215">
        <v>143</v>
      </c>
      <c r="I44" s="215">
        <v>143</v>
      </c>
      <c r="J44" s="215">
        <v>143</v>
      </c>
      <c r="K44" s="215">
        <v>143</v>
      </c>
      <c r="L44" s="215">
        <v>143</v>
      </c>
      <c r="M44" s="215">
        <v>143</v>
      </c>
      <c r="N44" s="215">
        <v>143</v>
      </c>
    </row>
    <row r="45" spans="1:14">
      <c r="A45" s="210" t="s">
        <v>112</v>
      </c>
      <c r="B45" s="214" t="s">
        <v>48</v>
      </c>
      <c r="C45" s="215">
        <v>23</v>
      </c>
      <c r="D45" s="215">
        <v>23</v>
      </c>
      <c r="E45" s="215">
        <v>23</v>
      </c>
      <c r="F45" s="215">
        <v>23</v>
      </c>
      <c r="G45" s="215">
        <v>23</v>
      </c>
      <c r="H45" s="215">
        <v>23</v>
      </c>
      <c r="I45" s="215">
        <v>23</v>
      </c>
      <c r="J45" s="215">
        <v>23</v>
      </c>
      <c r="K45" s="215">
        <v>23</v>
      </c>
      <c r="L45" s="215">
        <v>23</v>
      </c>
      <c r="M45" s="215">
        <v>23</v>
      </c>
      <c r="N45" s="215">
        <v>23</v>
      </c>
    </row>
    <row r="46" spans="1:14">
      <c r="A46" s="210" t="s">
        <v>111</v>
      </c>
      <c r="B46" s="214" t="s">
        <v>47</v>
      </c>
      <c r="C46" s="215">
        <v>9094</v>
      </c>
      <c r="D46" s="215">
        <v>9118</v>
      </c>
      <c r="E46" s="215">
        <v>9132</v>
      </c>
      <c r="F46" s="215">
        <v>9168</v>
      </c>
      <c r="G46" s="215">
        <v>9176</v>
      </c>
      <c r="H46" s="215">
        <v>9162</v>
      </c>
      <c r="I46" s="215">
        <v>9142</v>
      </c>
      <c r="J46" s="215">
        <v>9128</v>
      </c>
      <c r="K46" s="215">
        <v>9167</v>
      </c>
      <c r="L46" s="215">
        <v>9161</v>
      </c>
      <c r="M46" s="215">
        <v>9185</v>
      </c>
      <c r="N46" s="215">
        <v>9187</v>
      </c>
    </row>
    <row r="47" spans="1:14">
      <c r="A47" s="216" t="s">
        <v>127</v>
      </c>
      <c r="B47" s="214"/>
      <c r="C47" s="215">
        <v>89</v>
      </c>
      <c r="D47" s="215">
        <v>89</v>
      </c>
      <c r="E47" s="215">
        <v>92</v>
      </c>
      <c r="F47" s="215">
        <v>92</v>
      </c>
      <c r="G47" s="215">
        <v>91</v>
      </c>
      <c r="H47" s="215">
        <v>91</v>
      </c>
      <c r="I47" s="215">
        <v>92</v>
      </c>
      <c r="J47" s="215">
        <v>97</v>
      </c>
      <c r="K47" s="215">
        <v>102</v>
      </c>
      <c r="L47" s="215">
        <v>102</v>
      </c>
      <c r="M47" s="215">
        <v>101</v>
      </c>
      <c r="N47" s="215">
        <v>101</v>
      </c>
    </row>
    <row r="48" spans="1:14">
      <c r="A48" s="61" t="s">
        <v>103</v>
      </c>
      <c r="B48" s="214"/>
      <c r="C48" s="215">
        <v>12</v>
      </c>
      <c r="D48" s="215">
        <v>12</v>
      </c>
      <c r="E48" s="215">
        <v>12</v>
      </c>
      <c r="F48" s="215">
        <v>12</v>
      </c>
      <c r="G48" s="215">
        <v>12</v>
      </c>
      <c r="H48" s="215">
        <v>12</v>
      </c>
      <c r="I48" s="215">
        <v>11</v>
      </c>
      <c r="J48" s="215">
        <v>11</v>
      </c>
      <c r="K48" s="215">
        <v>11</v>
      </c>
      <c r="L48" s="215">
        <v>11</v>
      </c>
      <c r="M48" s="215">
        <v>11</v>
      </c>
      <c r="N48" s="215">
        <v>10</v>
      </c>
    </row>
    <row r="49" spans="1:14">
      <c r="A49" s="61" t="s">
        <v>104</v>
      </c>
      <c r="B49" s="214"/>
      <c r="C49" s="215">
        <v>3</v>
      </c>
      <c r="D49" s="215">
        <v>3</v>
      </c>
      <c r="E49" s="215">
        <v>3</v>
      </c>
      <c r="F49" s="215">
        <v>3</v>
      </c>
      <c r="G49" s="215">
        <v>3</v>
      </c>
      <c r="H49" s="215">
        <v>3</v>
      </c>
      <c r="I49" s="215">
        <v>3</v>
      </c>
      <c r="J49" s="215">
        <v>3</v>
      </c>
      <c r="K49" s="215">
        <v>3</v>
      </c>
      <c r="L49" s="215">
        <v>3</v>
      </c>
      <c r="M49" s="215">
        <v>3</v>
      </c>
      <c r="N49" s="215">
        <v>3</v>
      </c>
    </row>
    <row r="50" spans="1:14">
      <c r="A50" s="61" t="s">
        <v>22</v>
      </c>
      <c r="B50" s="214"/>
      <c r="C50" s="217">
        <f>SUM(C32:C49)</f>
        <v>1217582</v>
      </c>
      <c r="D50" s="217">
        <f t="shared" ref="D50:N50" si="3">SUM(D32:D49)</f>
        <v>1218604</v>
      </c>
      <c r="E50" s="217">
        <f t="shared" si="3"/>
        <v>1219860</v>
      </c>
      <c r="F50" s="217">
        <f t="shared" si="3"/>
        <v>1220684</v>
      </c>
      <c r="G50" s="217">
        <f t="shared" si="3"/>
        <v>1221378</v>
      </c>
      <c r="H50" s="217">
        <f t="shared" si="3"/>
        <v>1222271</v>
      </c>
      <c r="I50" s="217">
        <f t="shared" si="3"/>
        <v>1223198</v>
      </c>
      <c r="J50" s="217">
        <f t="shared" si="3"/>
        <v>1224021</v>
      </c>
      <c r="K50" s="217">
        <f t="shared" si="3"/>
        <v>1225487</v>
      </c>
      <c r="L50" s="217">
        <f t="shared" si="3"/>
        <v>1226925</v>
      </c>
      <c r="M50" s="217">
        <f t="shared" si="3"/>
        <v>1228778</v>
      </c>
      <c r="N50" s="217">
        <f t="shared" si="3"/>
        <v>1221427</v>
      </c>
    </row>
    <row r="51" spans="1:14">
      <c r="A51" s="218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8"/>
    </row>
  </sheetData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M32" sqref="M32"/>
    </sheetView>
  </sheetViews>
  <sheetFormatPr defaultColWidth="9.28515625" defaultRowHeight="11.25"/>
  <cols>
    <col min="1" max="2" width="9.28515625" style="98" bestFit="1" customWidth="1"/>
    <col min="3" max="3" width="12.28515625" style="98" customWidth="1"/>
    <col min="4" max="5" width="11.7109375" style="98" customWidth="1"/>
    <col min="6" max="6" width="12.28515625" style="98" customWidth="1"/>
    <col min="7" max="10" width="12.7109375" style="98" customWidth="1"/>
    <col min="11" max="11" width="14.28515625" style="98" bestFit="1" customWidth="1"/>
    <col min="12" max="12" width="13" style="98" bestFit="1" customWidth="1"/>
    <col min="13" max="13" width="10.7109375" style="98" customWidth="1"/>
    <col min="14" max="14" width="12.7109375" style="98" bestFit="1" customWidth="1"/>
    <col min="15" max="15" width="11.7109375" style="98" customWidth="1"/>
    <col min="16" max="16384" width="9.28515625" style="98"/>
  </cols>
  <sheetData>
    <row r="1" spans="1:30">
      <c r="A1" s="96" t="s">
        <v>161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30">
      <c r="A2" s="99"/>
      <c r="B2" s="100"/>
      <c r="C2" s="101"/>
      <c r="D2" s="101"/>
      <c r="E2" s="101"/>
      <c r="F2" s="102" t="s">
        <v>133</v>
      </c>
      <c r="G2" s="101"/>
      <c r="H2" s="101"/>
      <c r="I2" s="101"/>
      <c r="J2" s="101"/>
      <c r="K2" s="103"/>
      <c r="L2" s="100"/>
      <c r="M2" s="104"/>
      <c r="N2" s="104"/>
      <c r="O2" s="97"/>
    </row>
    <row r="3" spans="1:30" ht="22.5">
      <c r="A3" s="105" t="s">
        <v>134</v>
      </c>
      <c r="B3" s="106" t="s">
        <v>53</v>
      </c>
      <c r="C3" s="107" t="s">
        <v>135</v>
      </c>
      <c r="D3" s="107" t="s">
        <v>136</v>
      </c>
      <c r="E3" s="108" t="s">
        <v>137</v>
      </c>
      <c r="F3" s="107" t="s">
        <v>138</v>
      </c>
      <c r="G3" s="107" t="s">
        <v>139</v>
      </c>
      <c r="H3" s="107" t="s">
        <v>140</v>
      </c>
      <c r="I3" s="107" t="s">
        <v>141</v>
      </c>
      <c r="J3" s="107" t="s">
        <v>142</v>
      </c>
      <c r="K3" s="109" t="s">
        <v>143</v>
      </c>
      <c r="L3" s="110" t="s">
        <v>144</v>
      </c>
      <c r="M3" s="106" t="s">
        <v>145</v>
      </c>
      <c r="N3" s="111" t="s">
        <v>146</v>
      </c>
      <c r="O3" s="111" t="s">
        <v>147</v>
      </c>
      <c r="Q3" s="112" t="s">
        <v>148</v>
      </c>
      <c r="R3" s="112" t="s">
        <v>149</v>
      </c>
    </row>
    <row r="4" spans="1:30">
      <c r="A4" s="113">
        <v>2023</v>
      </c>
      <c r="B4" s="114">
        <v>1</v>
      </c>
      <c r="C4" s="115">
        <v>667.3</v>
      </c>
      <c r="D4" s="116">
        <v>0</v>
      </c>
      <c r="E4" s="117">
        <v>671.33333333333303</v>
      </c>
      <c r="F4" s="117">
        <v>0</v>
      </c>
      <c r="G4" s="115">
        <v>99.6</v>
      </c>
      <c r="H4" s="117">
        <v>92</v>
      </c>
      <c r="I4" s="115">
        <v>0</v>
      </c>
      <c r="J4" s="118">
        <v>0</v>
      </c>
      <c r="K4" s="119">
        <v>2222129.1290000002</v>
      </c>
      <c r="L4" s="120">
        <f t="shared" ref="L4:L15" si="0">K4/M4*1000</f>
        <v>1825.1903763353425</v>
      </c>
      <c r="M4" s="121">
        <f>SUM('SAP BW Actual Usage'!C32:C46)</f>
        <v>1217478</v>
      </c>
      <c r="N4" s="122">
        <f t="shared" ref="N4:N15" si="1">(L4+(C4-E4)*C22+(G4-H4)*D22+(D4-F4)*E22+(I4-J4)*F22)*M4/1000</f>
        <v>2223204.2113412768</v>
      </c>
      <c r="O4" s="123">
        <f t="shared" ref="O4:O15" si="2">N4-K4</f>
        <v>1075.0823412765749</v>
      </c>
      <c r="P4" s="124"/>
      <c r="Q4" s="125">
        <v>359.9</v>
      </c>
      <c r="R4" s="126">
        <v>361.33333333333297</v>
      </c>
    </row>
    <row r="5" spans="1:30">
      <c r="A5" s="127">
        <f>A4</f>
        <v>2023</v>
      </c>
      <c r="B5" s="114">
        <v>2</v>
      </c>
      <c r="C5" s="77">
        <v>590.70000000000005</v>
      </c>
      <c r="D5" s="128">
        <v>0</v>
      </c>
      <c r="E5" s="129">
        <v>682.83333333333303</v>
      </c>
      <c r="F5" s="130">
        <v>0</v>
      </c>
      <c r="G5" s="77">
        <v>78.900000000000006</v>
      </c>
      <c r="H5" s="130">
        <v>129.708333333333</v>
      </c>
      <c r="I5" s="77">
        <v>0</v>
      </c>
      <c r="J5" s="131">
        <v>0</v>
      </c>
      <c r="K5" s="132">
        <v>2064961.08</v>
      </c>
      <c r="L5" s="133">
        <f t="shared" si="0"/>
        <v>1694.6746655724253</v>
      </c>
      <c r="M5" s="121">
        <f>SUM('SAP BW Actual Usage'!D32:D46)</f>
        <v>1218500</v>
      </c>
      <c r="N5" s="134">
        <f t="shared" si="1"/>
        <v>1985384.1784910671</v>
      </c>
      <c r="O5" s="135">
        <f t="shared" si="2"/>
        <v>-79576.901508932933</v>
      </c>
      <c r="P5" s="124"/>
      <c r="Q5" s="125">
        <v>311.89999999999998</v>
      </c>
      <c r="R5" s="126">
        <v>402.83333333333297</v>
      </c>
    </row>
    <row r="6" spans="1:30">
      <c r="A6" s="127">
        <f t="shared" ref="A6:A15" si="3">A5</f>
        <v>2023</v>
      </c>
      <c r="B6" s="114">
        <v>3</v>
      </c>
      <c r="C6" s="77">
        <v>563</v>
      </c>
      <c r="D6" s="128">
        <v>0.2</v>
      </c>
      <c r="E6" s="129">
        <v>648.375</v>
      </c>
      <c r="F6" s="129">
        <v>0</v>
      </c>
      <c r="G6" s="77">
        <v>36.799999999999997</v>
      </c>
      <c r="H6" s="130">
        <v>76.9583333333333</v>
      </c>
      <c r="I6" s="77">
        <v>1</v>
      </c>
      <c r="J6" s="131">
        <v>0</v>
      </c>
      <c r="K6" s="136">
        <v>2104454.298</v>
      </c>
      <c r="L6" s="133">
        <f t="shared" si="0"/>
        <v>1725.3118442832279</v>
      </c>
      <c r="M6" s="121">
        <f>SUM('SAP BW Actual Usage'!E32:E46)</f>
        <v>1219753</v>
      </c>
      <c r="N6" s="134">
        <f t="shared" si="1"/>
        <v>2034943.5091947303</v>
      </c>
      <c r="O6" s="135">
        <f t="shared" si="2"/>
        <v>-69510.788805269636</v>
      </c>
      <c r="P6" s="124"/>
      <c r="Q6" s="125">
        <v>257.10000000000002</v>
      </c>
      <c r="R6" s="126">
        <v>338.375</v>
      </c>
    </row>
    <row r="7" spans="1:30">
      <c r="A7" s="137">
        <f t="shared" si="3"/>
        <v>2023</v>
      </c>
      <c r="B7" s="114">
        <v>4</v>
      </c>
      <c r="C7" s="77">
        <v>416.9</v>
      </c>
      <c r="D7" s="128">
        <v>1.3</v>
      </c>
      <c r="E7" s="129">
        <v>511.45833333333297</v>
      </c>
      <c r="F7" s="129">
        <v>0</v>
      </c>
      <c r="G7" s="77">
        <v>7.4</v>
      </c>
      <c r="H7" s="129">
        <v>26.9166666666667</v>
      </c>
      <c r="I7" s="77">
        <v>6</v>
      </c>
      <c r="J7" s="131">
        <v>7.4166666666666599</v>
      </c>
      <c r="K7" s="136">
        <f>1815463947/1000</f>
        <v>1815463.9469999999</v>
      </c>
      <c r="L7" s="133">
        <f t="shared" si="0"/>
        <v>1487.3817440440055</v>
      </c>
      <c r="M7" s="121">
        <f>SUM('SAP BW Actual Usage'!F32:F46)</f>
        <v>1220577</v>
      </c>
      <c r="N7" s="134">
        <f t="shared" si="1"/>
        <v>1759227.1724416118</v>
      </c>
      <c r="O7" s="135">
        <f t="shared" si="2"/>
        <v>-56236.774558388162</v>
      </c>
      <c r="P7" s="124"/>
      <c r="Q7" s="125">
        <v>140.6</v>
      </c>
      <c r="R7" s="126">
        <v>230.916666666667</v>
      </c>
    </row>
    <row r="8" spans="1:30">
      <c r="A8" s="137">
        <f t="shared" si="3"/>
        <v>2023</v>
      </c>
      <c r="B8" s="114">
        <v>5</v>
      </c>
      <c r="C8" s="77">
        <v>246.8</v>
      </c>
      <c r="D8" s="128">
        <v>9.9</v>
      </c>
      <c r="E8" s="129">
        <v>189.041666666667</v>
      </c>
      <c r="F8" s="130">
        <v>37.0833333333333</v>
      </c>
      <c r="G8" s="77">
        <v>0</v>
      </c>
      <c r="H8" s="129">
        <v>0</v>
      </c>
      <c r="I8" s="77">
        <v>37</v>
      </c>
      <c r="J8" s="138">
        <v>90.7083333333333</v>
      </c>
      <c r="K8" s="132">
        <v>1621867.6470000001</v>
      </c>
      <c r="L8" s="133">
        <f t="shared" si="0"/>
        <v>1328.0150916421567</v>
      </c>
      <c r="M8" s="121">
        <f>SUM('SAP BW Actual Usage'!G32:G46)</f>
        <v>1221272</v>
      </c>
      <c r="N8" s="134">
        <f t="shared" si="1"/>
        <v>1621202.569940788</v>
      </c>
      <c r="O8" s="135">
        <f t="shared" si="2"/>
        <v>-665.07705921214074</v>
      </c>
      <c r="P8" s="124"/>
      <c r="Q8" s="125">
        <v>34.5</v>
      </c>
      <c r="R8" s="126">
        <v>18.0416666666667</v>
      </c>
    </row>
    <row r="9" spans="1:30">
      <c r="A9" s="137">
        <f t="shared" si="3"/>
        <v>2023</v>
      </c>
      <c r="B9" s="114">
        <v>6</v>
      </c>
      <c r="C9" s="77">
        <v>114.5</v>
      </c>
      <c r="D9" s="128">
        <v>37.799999999999997</v>
      </c>
      <c r="E9" s="129">
        <v>135.416666666667</v>
      </c>
      <c r="F9" s="130">
        <v>21.125</v>
      </c>
      <c r="G9" s="77">
        <v>0</v>
      </c>
      <c r="H9" s="129">
        <v>0</v>
      </c>
      <c r="I9" s="77">
        <v>105</v>
      </c>
      <c r="J9" s="138">
        <v>77.75</v>
      </c>
      <c r="K9" s="132">
        <v>1538317.7120000001</v>
      </c>
      <c r="L9" s="133">
        <f t="shared" si="0"/>
        <v>1258.6825117721421</v>
      </c>
      <c r="M9" s="139">
        <f>SUM('SAP BW Actual Usage'!H32:H46)</f>
        <v>1222165</v>
      </c>
      <c r="N9" s="134">
        <f t="shared" si="1"/>
        <v>1554106.7702781663</v>
      </c>
      <c r="O9" s="135">
        <f t="shared" si="2"/>
        <v>15789.058278166223</v>
      </c>
      <c r="P9" s="124"/>
      <c r="Q9" s="125">
        <v>3.6</v>
      </c>
      <c r="R9" s="126">
        <v>5.75</v>
      </c>
    </row>
    <row r="10" spans="1:30">
      <c r="A10" s="137">
        <f t="shared" si="3"/>
        <v>2023</v>
      </c>
      <c r="B10" s="114">
        <v>7</v>
      </c>
      <c r="C10" s="77">
        <v>31.2</v>
      </c>
      <c r="D10" s="140">
        <v>111.2</v>
      </c>
      <c r="E10" s="130">
        <v>13.5</v>
      </c>
      <c r="F10" s="130">
        <v>95.0416666666667</v>
      </c>
      <c r="G10" s="77">
        <v>0</v>
      </c>
      <c r="H10" s="129">
        <v>0</v>
      </c>
      <c r="I10" s="77">
        <v>238</v>
      </c>
      <c r="J10" s="141">
        <v>236.541666666667</v>
      </c>
      <c r="K10" s="142">
        <v>1680204.4890000001</v>
      </c>
      <c r="L10" s="133">
        <f t="shared" si="0"/>
        <v>1373.735163830685</v>
      </c>
      <c r="M10" s="139">
        <f>SUM('SAP BW Actual Usage'!I32:I46)</f>
        <v>1223092</v>
      </c>
      <c r="N10" s="134">
        <f t="shared" si="1"/>
        <v>1681040.7779001892</v>
      </c>
      <c r="O10" s="135">
        <f t="shared" si="2"/>
        <v>836.2889001891017</v>
      </c>
      <c r="P10" s="127"/>
      <c r="Q10" s="128">
        <v>0</v>
      </c>
      <c r="R10" s="138">
        <v>0</v>
      </c>
      <c r="S10" s="77"/>
      <c r="T10" s="77"/>
      <c r="U10" s="77"/>
      <c r="V10" s="77"/>
      <c r="W10" s="77"/>
      <c r="X10" s="77"/>
      <c r="Y10" s="128"/>
      <c r="Z10" s="143"/>
      <c r="AA10" s="77"/>
      <c r="AB10" s="144"/>
      <c r="AC10" s="145"/>
      <c r="AD10" s="146"/>
    </row>
    <row r="11" spans="1:30">
      <c r="A11" s="137">
        <f t="shared" si="3"/>
        <v>2023</v>
      </c>
      <c r="B11" s="114">
        <v>8</v>
      </c>
      <c r="C11" s="77">
        <v>24.2</v>
      </c>
      <c r="D11" s="140">
        <v>115.1</v>
      </c>
      <c r="E11" s="130">
        <v>16.25</v>
      </c>
      <c r="F11" s="130">
        <v>141.375</v>
      </c>
      <c r="G11" s="77">
        <v>0</v>
      </c>
      <c r="H11" s="130">
        <v>0</v>
      </c>
      <c r="I11" s="77">
        <v>247</v>
      </c>
      <c r="J11" s="141">
        <v>280.33333333333297</v>
      </c>
      <c r="K11" s="142">
        <v>1736660.5549999999</v>
      </c>
      <c r="L11" s="133">
        <f t="shared" si="0"/>
        <v>1418.9446568783653</v>
      </c>
      <c r="M11" s="139">
        <f>SUM('SAP BW Actual Usage'!J32:J46)</f>
        <v>1223910</v>
      </c>
      <c r="N11" s="134">
        <f t="shared" si="1"/>
        <v>1716198.6972590003</v>
      </c>
      <c r="O11" s="135">
        <f t="shared" si="2"/>
        <v>-20461.857740999665</v>
      </c>
      <c r="P11" s="127"/>
      <c r="Q11" s="128">
        <v>0</v>
      </c>
      <c r="R11" s="138">
        <v>0</v>
      </c>
      <c r="S11" s="77"/>
      <c r="T11" s="147"/>
      <c r="U11" s="147"/>
      <c r="V11" s="77"/>
      <c r="W11" s="77"/>
      <c r="X11" s="77"/>
      <c r="Y11" s="148"/>
      <c r="Z11" s="149"/>
      <c r="AA11" s="77"/>
      <c r="AB11" s="144"/>
      <c r="AC11" s="145"/>
      <c r="AD11" s="146"/>
    </row>
    <row r="12" spans="1:30">
      <c r="A12" s="137">
        <f t="shared" si="3"/>
        <v>2023</v>
      </c>
      <c r="B12" s="114">
        <v>9</v>
      </c>
      <c r="C12" s="77">
        <v>111.7</v>
      </c>
      <c r="D12" s="140">
        <v>26.1</v>
      </c>
      <c r="E12" s="130">
        <v>133.041666666667</v>
      </c>
      <c r="F12" s="130">
        <v>16.0833333333333</v>
      </c>
      <c r="G12" s="77">
        <v>0</v>
      </c>
      <c r="H12" s="130">
        <v>0</v>
      </c>
      <c r="I12" s="77">
        <v>95</v>
      </c>
      <c r="J12" s="141">
        <v>73.9166666666667</v>
      </c>
      <c r="K12" s="142">
        <v>1533222.581</v>
      </c>
      <c r="L12" s="133">
        <f t="shared" si="0"/>
        <v>1251.2313258596782</v>
      </c>
      <c r="M12" s="139">
        <f>SUM('SAP BW Actual Usage'!K32:K46)</f>
        <v>1225371</v>
      </c>
      <c r="N12" s="134">
        <f t="shared" si="1"/>
        <v>1535407.5842864155</v>
      </c>
      <c r="O12" s="135">
        <f t="shared" si="2"/>
        <v>2185.0032864154782</v>
      </c>
      <c r="P12" s="127"/>
      <c r="Q12" s="128">
        <v>3.5</v>
      </c>
      <c r="R12" s="138">
        <v>3.8333333333333299</v>
      </c>
      <c r="S12" s="77"/>
      <c r="T12" s="147"/>
      <c r="U12" s="147"/>
      <c r="V12" s="77"/>
      <c r="W12" s="77"/>
      <c r="X12" s="77"/>
      <c r="Y12" s="148"/>
      <c r="Z12" s="149"/>
      <c r="AA12" s="77"/>
      <c r="AB12" s="144"/>
      <c r="AC12" s="145"/>
      <c r="AD12" s="146"/>
    </row>
    <row r="13" spans="1:30">
      <c r="A13" s="137">
        <f t="shared" si="3"/>
        <v>2023</v>
      </c>
      <c r="B13" s="114">
        <v>10</v>
      </c>
      <c r="C13" s="77">
        <v>350.8</v>
      </c>
      <c r="D13" s="140">
        <v>0.3</v>
      </c>
      <c r="E13" s="130">
        <v>345.66666666666703</v>
      </c>
      <c r="F13" s="130">
        <v>0</v>
      </c>
      <c r="G13" s="77">
        <v>1.5</v>
      </c>
      <c r="H13" s="130">
        <v>9.125</v>
      </c>
      <c r="I13" s="77">
        <v>6</v>
      </c>
      <c r="J13" s="141">
        <v>8.7499999999999893</v>
      </c>
      <c r="K13" s="142">
        <f>1747083174/1000</f>
        <v>1747083.1740000001</v>
      </c>
      <c r="L13" s="133">
        <f t="shared" si="0"/>
        <v>1424.0873469301255</v>
      </c>
      <c r="M13" s="139">
        <f>SUM('SAP BW Actual Usage'!L32:L46)</f>
        <v>1226809</v>
      </c>
      <c r="N13" s="134">
        <f t="shared" si="1"/>
        <v>1750377.5028612234</v>
      </c>
      <c r="O13" s="135">
        <f t="shared" si="2"/>
        <v>3294.3288612233009</v>
      </c>
      <c r="P13" s="127"/>
      <c r="Q13" s="128">
        <v>79.2</v>
      </c>
      <c r="R13" s="138">
        <v>97.5833333333333</v>
      </c>
      <c r="S13" s="77"/>
      <c r="T13" s="147"/>
      <c r="U13" s="147"/>
      <c r="V13" s="77"/>
      <c r="W13" s="147"/>
      <c r="X13" s="77"/>
      <c r="Y13" s="148"/>
      <c r="Z13" s="150"/>
      <c r="AA13" s="77"/>
      <c r="AB13" s="144"/>
      <c r="AC13" s="145"/>
      <c r="AD13" s="146"/>
    </row>
    <row r="14" spans="1:30">
      <c r="A14" s="137">
        <f t="shared" si="3"/>
        <v>2023</v>
      </c>
      <c r="B14" s="114">
        <v>11</v>
      </c>
      <c r="C14" s="77">
        <v>538.20000000000005</v>
      </c>
      <c r="D14" s="128">
        <v>0</v>
      </c>
      <c r="E14" s="130">
        <v>604.33333333333303</v>
      </c>
      <c r="F14" s="130">
        <v>0</v>
      </c>
      <c r="G14" s="77">
        <v>41.6</v>
      </c>
      <c r="H14" s="130">
        <v>74.375</v>
      </c>
      <c r="I14" s="77">
        <v>0</v>
      </c>
      <c r="J14" s="138">
        <v>0</v>
      </c>
      <c r="K14" s="132">
        <f>2049350438/1000</f>
        <v>2049350.4380000001</v>
      </c>
      <c r="L14" s="133">
        <f t="shared" si="0"/>
        <v>1667.9516173271272</v>
      </c>
      <c r="M14" s="139">
        <f>SUM('SAP BW Actual Usage'!M32:M46)</f>
        <v>1228663</v>
      </c>
      <c r="N14" s="134">
        <f t="shared" si="1"/>
        <v>1993763.8209267461</v>
      </c>
      <c r="O14" s="135">
        <f t="shared" si="2"/>
        <v>-55586.617073253961</v>
      </c>
      <c r="P14" s="127"/>
      <c r="Q14" s="128">
        <v>243.3</v>
      </c>
      <c r="R14" s="138">
        <v>306.375</v>
      </c>
      <c r="S14" s="77"/>
      <c r="T14" s="147"/>
      <c r="U14" s="77"/>
      <c r="V14" s="77"/>
      <c r="W14" s="147"/>
      <c r="X14" s="77"/>
      <c r="Y14" s="128"/>
      <c r="Z14" s="150"/>
      <c r="AA14" s="77"/>
      <c r="AB14" s="144"/>
      <c r="AC14" s="145"/>
      <c r="AD14" s="146"/>
    </row>
    <row r="15" spans="1:30">
      <c r="A15" s="151">
        <f t="shared" si="3"/>
        <v>2023</v>
      </c>
      <c r="B15" s="114">
        <v>12</v>
      </c>
      <c r="C15" s="152">
        <v>707.1</v>
      </c>
      <c r="D15" s="153">
        <v>0</v>
      </c>
      <c r="E15" s="154">
        <v>609.20833333333303</v>
      </c>
      <c r="F15" s="154">
        <v>0</v>
      </c>
      <c r="G15" s="152">
        <v>126.5</v>
      </c>
      <c r="H15" s="154">
        <v>50.75</v>
      </c>
      <c r="I15" s="152">
        <v>0</v>
      </c>
      <c r="J15" s="155">
        <v>0</v>
      </c>
      <c r="K15" s="156">
        <f>2172658024/1000</f>
        <v>2172658.0240000002</v>
      </c>
      <c r="L15" s="157">
        <f t="shared" si="0"/>
        <v>1778.952671428209</v>
      </c>
      <c r="M15" s="158">
        <f>SUM('SAP BW Actual Usage'!N32:N46)</f>
        <v>1221313</v>
      </c>
      <c r="N15" s="159">
        <f t="shared" si="1"/>
        <v>2264995.3501203428</v>
      </c>
      <c r="O15" s="160">
        <f t="shared" si="2"/>
        <v>92337.326120342594</v>
      </c>
      <c r="P15" s="127"/>
      <c r="Q15" s="128">
        <v>397.8</v>
      </c>
      <c r="R15" s="138">
        <v>301.75</v>
      </c>
      <c r="S15" s="77"/>
      <c r="T15" s="147"/>
      <c r="U15" s="77"/>
      <c r="V15" s="77"/>
      <c r="W15" s="147"/>
      <c r="X15" s="77"/>
      <c r="Y15" s="128"/>
      <c r="Z15" s="150"/>
      <c r="AA15" s="77"/>
      <c r="AB15" s="161"/>
      <c r="AC15" s="145"/>
      <c r="AD15" s="146"/>
    </row>
    <row r="16" spans="1:30">
      <c r="A16" s="397" t="s">
        <v>160</v>
      </c>
      <c r="B16" s="398"/>
      <c r="C16" s="162"/>
      <c r="D16" s="163"/>
      <c r="E16" s="164"/>
      <c r="F16" s="164"/>
      <c r="G16" s="164"/>
      <c r="H16" s="164"/>
      <c r="I16" s="164"/>
      <c r="J16" s="165"/>
      <c r="K16" s="166">
        <f>SUM(K4:K15)</f>
        <v>22286373.074000001</v>
      </c>
      <c r="L16" s="167"/>
      <c r="M16" s="168"/>
      <c r="N16" s="166">
        <f>SUM(N4:N15)</f>
        <v>22119852.145041555</v>
      </c>
      <c r="O16" s="169"/>
    </row>
    <row r="17" spans="1:24">
      <c r="A17" s="170" t="s">
        <v>150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2"/>
      <c r="M17" s="172"/>
      <c r="N17" s="173">
        <f>N16-$K16</f>
        <v>-166520.92895844579</v>
      </c>
      <c r="O17" s="174"/>
    </row>
    <row r="18" spans="1:24">
      <c r="A18" s="175" t="s">
        <v>170</v>
      </c>
      <c r="B18" s="97"/>
      <c r="C18" s="97"/>
      <c r="D18" s="97"/>
      <c r="E18" s="97"/>
      <c r="F18" s="97"/>
      <c r="G18" s="176"/>
      <c r="H18" s="97"/>
      <c r="I18" s="97"/>
      <c r="J18" s="97"/>
      <c r="K18" s="97"/>
      <c r="L18" s="177"/>
      <c r="M18" s="97"/>
      <c r="N18" s="97"/>
      <c r="O18" s="97"/>
    </row>
    <row r="19" spans="1:24">
      <c r="A19" s="178"/>
      <c r="B19" s="97"/>
      <c r="C19" s="97"/>
      <c r="D19" s="97"/>
      <c r="E19" s="97"/>
      <c r="F19" s="97"/>
      <c r="G19" s="176"/>
      <c r="H19" s="97"/>
      <c r="I19" s="97"/>
      <c r="J19" s="97"/>
      <c r="K19" s="97"/>
      <c r="L19" s="177"/>
      <c r="M19" s="97"/>
      <c r="N19" s="97"/>
      <c r="O19" s="97"/>
    </row>
    <row r="20" spans="1:24">
      <c r="A20" s="179" t="s">
        <v>162</v>
      </c>
      <c r="B20" s="180"/>
      <c r="C20" s="180"/>
      <c r="D20" s="180"/>
      <c r="E20" s="180"/>
      <c r="F20" s="180"/>
      <c r="G20" s="180"/>
      <c r="H20" s="97"/>
      <c r="I20" s="97"/>
      <c r="J20" s="97"/>
      <c r="K20" s="97"/>
      <c r="L20" s="181"/>
      <c r="M20" s="182"/>
      <c r="N20" s="183"/>
      <c r="O20" s="97"/>
    </row>
    <row r="21" spans="1:24">
      <c r="A21" s="109" t="s">
        <v>134</v>
      </c>
      <c r="B21" s="184" t="s">
        <v>53</v>
      </c>
      <c r="C21" s="185" t="s">
        <v>54</v>
      </c>
      <c r="D21" s="186" t="s">
        <v>151</v>
      </c>
      <c r="E21" s="185" t="s">
        <v>152</v>
      </c>
      <c r="F21" s="187" t="s">
        <v>56</v>
      </c>
      <c r="G21" s="180"/>
      <c r="H21" s="97"/>
      <c r="I21" s="97"/>
      <c r="J21" s="97"/>
      <c r="K21" s="97"/>
      <c r="L21" s="188"/>
      <c r="M21" s="174"/>
      <c r="N21" s="97"/>
      <c r="O21" s="97"/>
    </row>
    <row r="22" spans="1:24">
      <c r="A22" s="113">
        <f>A4</f>
        <v>2023</v>
      </c>
      <c r="B22" s="189">
        <f>B4</f>
        <v>1</v>
      </c>
      <c r="C22" s="190">
        <v>0.47760999999999998</v>
      </c>
      <c r="D22" s="190">
        <v>0.36965799999999999</v>
      </c>
      <c r="E22" s="190">
        <v>0</v>
      </c>
      <c r="F22" s="190">
        <v>0</v>
      </c>
      <c r="G22" s="97"/>
      <c r="H22" s="97"/>
      <c r="I22" s="97"/>
      <c r="J22" s="97"/>
      <c r="K22" s="97"/>
      <c r="L22" s="97"/>
      <c r="M22" s="97"/>
      <c r="N22" s="97"/>
      <c r="O22" s="97"/>
    </row>
    <row r="23" spans="1:24">
      <c r="A23" s="137">
        <f t="shared" ref="A23:B33" si="4">A5</f>
        <v>2023</v>
      </c>
      <c r="B23" s="191">
        <f t="shared" si="4"/>
        <v>2</v>
      </c>
      <c r="C23" s="192">
        <v>0.499251</v>
      </c>
      <c r="D23" s="192">
        <v>0.380048</v>
      </c>
      <c r="E23" s="192">
        <v>0</v>
      </c>
      <c r="F23" s="192">
        <v>0</v>
      </c>
      <c r="G23" s="97"/>
      <c r="H23" s="97"/>
      <c r="I23" s="97"/>
      <c r="J23" s="97"/>
      <c r="K23" s="97"/>
      <c r="L23" s="97"/>
      <c r="M23" s="97"/>
      <c r="N23" s="97"/>
      <c r="O23" s="97"/>
    </row>
    <row r="24" spans="1:24">
      <c r="A24" s="137">
        <f t="shared" si="4"/>
        <v>2023</v>
      </c>
      <c r="B24" s="191">
        <f t="shared" si="4"/>
        <v>3</v>
      </c>
      <c r="C24" s="192">
        <v>0.47597499999999998</v>
      </c>
      <c r="D24" s="192">
        <v>0.407169</v>
      </c>
      <c r="E24" s="192">
        <v>0</v>
      </c>
      <c r="F24" s="192">
        <v>0</v>
      </c>
      <c r="G24" s="97"/>
      <c r="H24" s="97"/>
      <c r="I24" s="97"/>
      <c r="J24" s="97"/>
      <c r="K24" s="97"/>
      <c r="L24" s="97"/>
      <c r="M24" s="97"/>
      <c r="N24" s="97"/>
      <c r="O24" s="97"/>
    </row>
    <row r="25" spans="1:24">
      <c r="A25" s="137">
        <f t="shared" si="4"/>
        <v>2023</v>
      </c>
      <c r="B25" s="191">
        <f t="shared" si="4"/>
        <v>4</v>
      </c>
      <c r="C25" s="192">
        <v>0.48725400000000002</v>
      </c>
      <c r="D25" s="192">
        <v>0</v>
      </c>
      <c r="E25" s="192">
        <v>0</v>
      </c>
      <c r="F25" s="192">
        <v>0</v>
      </c>
      <c r="G25" s="97"/>
      <c r="H25" s="97"/>
      <c r="I25" s="97"/>
      <c r="J25" s="97"/>
      <c r="K25" s="97"/>
      <c r="L25" s="97"/>
      <c r="M25" s="97"/>
      <c r="N25" s="97"/>
      <c r="O25" s="97"/>
    </row>
    <row r="26" spans="1:24">
      <c r="A26" s="137">
        <f t="shared" si="4"/>
        <v>2023</v>
      </c>
      <c r="B26" s="191">
        <f t="shared" si="4"/>
        <v>5</v>
      </c>
      <c r="C26" s="193">
        <v>0.237344</v>
      </c>
      <c r="D26" s="192">
        <v>0</v>
      </c>
      <c r="E26" s="192">
        <v>0</v>
      </c>
      <c r="F26" s="192">
        <v>0.26538099999999998</v>
      </c>
      <c r="G26" s="97"/>
      <c r="H26" s="97"/>
      <c r="I26" s="97"/>
      <c r="J26" s="97"/>
      <c r="K26" s="97"/>
      <c r="L26" s="97"/>
      <c r="M26" s="97"/>
      <c r="N26" s="97"/>
      <c r="O26" s="97"/>
    </row>
    <row r="27" spans="1:24">
      <c r="A27" s="137">
        <f t="shared" si="4"/>
        <v>2023</v>
      </c>
      <c r="B27" s="191">
        <f t="shared" si="4"/>
        <v>6</v>
      </c>
      <c r="C27" s="192">
        <v>0</v>
      </c>
      <c r="D27" s="192">
        <v>0</v>
      </c>
      <c r="E27" s="192">
        <v>0</v>
      </c>
      <c r="F27" s="192">
        <v>0.47408899999999998</v>
      </c>
      <c r="G27" s="97"/>
      <c r="H27" s="97"/>
      <c r="I27" s="97"/>
      <c r="J27" s="97"/>
      <c r="K27" s="97"/>
      <c r="L27" s="97"/>
      <c r="M27" s="97"/>
      <c r="N27" s="97"/>
      <c r="O27" s="97"/>
      <c r="W27" s="194"/>
      <c r="X27" s="194"/>
    </row>
    <row r="28" spans="1:24">
      <c r="A28" s="137">
        <f t="shared" si="4"/>
        <v>2023</v>
      </c>
      <c r="B28" s="191">
        <f t="shared" si="4"/>
        <v>7</v>
      </c>
      <c r="C28" s="192">
        <v>0</v>
      </c>
      <c r="D28" s="192">
        <v>0</v>
      </c>
      <c r="E28" s="192">
        <v>0</v>
      </c>
      <c r="F28" s="192">
        <v>0.46885700000000002</v>
      </c>
      <c r="G28" s="97"/>
      <c r="H28" s="97"/>
      <c r="I28" s="97"/>
      <c r="J28" s="97"/>
      <c r="K28" s="97"/>
      <c r="L28" s="97"/>
      <c r="M28" s="97"/>
      <c r="N28" s="97"/>
      <c r="O28" s="97"/>
    </row>
    <row r="29" spans="1:24">
      <c r="A29" s="137">
        <f t="shared" si="4"/>
        <v>2023</v>
      </c>
      <c r="B29" s="191">
        <f t="shared" si="4"/>
        <v>8</v>
      </c>
      <c r="C29" s="192">
        <v>0</v>
      </c>
      <c r="D29" s="192">
        <v>0</v>
      </c>
      <c r="E29" s="192">
        <v>0</v>
      </c>
      <c r="F29" s="192">
        <v>0.50155300000000003</v>
      </c>
      <c r="G29" s="97"/>
      <c r="H29" s="97"/>
      <c r="I29" s="97"/>
      <c r="J29" s="97"/>
      <c r="K29" s="97"/>
      <c r="L29" s="97"/>
      <c r="M29" s="97"/>
      <c r="N29" s="97"/>
      <c r="O29" s="97"/>
    </row>
    <row r="30" spans="1:24">
      <c r="A30" s="137">
        <f t="shared" si="4"/>
        <v>2023</v>
      </c>
      <c r="B30" s="191">
        <f t="shared" si="4"/>
        <v>9</v>
      </c>
      <c r="C30" s="192">
        <v>0.33578599999999997</v>
      </c>
      <c r="D30" s="192">
        <v>0</v>
      </c>
      <c r="E30" s="192">
        <v>0</v>
      </c>
      <c r="F30" s="192">
        <v>0.42447600000000002</v>
      </c>
      <c r="G30" s="97"/>
      <c r="H30" s="97"/>
      <c r="I30" s="97"/>
      <c r="J30" s="97"/>
      <c r="K30" s="97"/>
      <c r="L30" s="97"/>
      <c r="M30" s="97"/>
      <c r="N30" s="97"/>
      <c r="O30" s="97"/>
    </row>
    <row r="31" spans="1:24">
      <c r="A31" s="137">
        <f t="shared" si="4"/>
        <v>2023</v>
      </c>
      <c r="B31" s="191">
        <f t="shared" si="4"/>
        <v>10</v>
      </c>
      <c r="C31" s="192">
        <v>0.52310699999999999</v>
      </c>
      <c r="D31" s="192">
        <v>0</v>
      </c>
      <c r="E31" s="192">
        <v>0</v>
      </c>
      <c r="F31" s="192">
        <v>0</v>
      </c>
      <c r="G31" s="97"/>
      <c r="H31" s="97"/>
      <c r="I31" s="97"/>
      <c r="J31" s="97"/>
      <c r="K31" s="97"/>
      <c r="L31" s="97"/>
      <c r="M31" s="97"/>
      <c r="N31" s="97"/>
      <c r="O31" s="97"/>
    </row>
    <row r="32" spans="1:24">
      <c r="A32" s="137">
        <f t="shared" si="4"/>
        <v>2023</v>
      </c>
      <c r="B32" s="191">
        <f t="shared" si="4"/>
        <v>11</v>
      </c>
      <c r="C32" s="193">
        <v>0.68409600000000004</v>
      </c>
      <c r="D32" s="192">
        <v>0</v>
      </c>
      <c r="E32" s="192">
        <v>0</v>
      </c>
      <c r="F32" s="192">
        <v>0</v>
      </c>
      <c r="G32" s="97"/>
      <c r="H32" s="97"/>
      <c r="I32" s="97"/>
      <c r="J32" s="97"/>
      <c r="K32" s="97"/>
      <c r="L32" s="97"/>
      <c r="M32" s="97"/>
      <c r="N32" s="97"/>
      <c r="O32" s="97"/>
    </row>
    <row r="33" spans="1:15">
      <c r="A33" s="151">
        <f t="shared" si="4"/>
        <v>2023</v>
      </c>
      <c r="B33" s="195">
        <f t="shared" si="4"/>
        <v>12</v>
      </c>
      <c r="C33" s="196">
        <v>0.77233300000000005</v>
      </c>
      <c r="D33" s="196">
        <v>0</v>
      </c>
      <c r="E33" s="196">
        <v>0</v>
      </c>
      <c r="F33" s="196">
        <v>0</v>
      </c>
      <c r="G33" s="97"/>
      <c r="H33" s="97"/>
      <c r="I33" s="97"/>
      <c r="J33" s="97"/>
      <c r="K33" s="97"/>
      <c r="L33" s="97"/>
      <c r="M33" s="97"/>
      <c r="N33" s="97"/>
      <c r="O33" s="97"/>
    </row>
    <row r="34" spans="1:1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5">
      <c r="A35" s="197" t="s">
        <v>153</v>
      </c>
      <c r="B35" s="197" t="s">
        <v>154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5">
      <c r="A36" s="97"/>
      <c r="B36" s="197" t="s">
        <v>155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1:15">
      <c r="A37" s="97"/>
      <c r="B37" s="197" t="s">
        <v>156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1:1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</row>
    <row r="40" spans="1: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1:1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</sheetData>
  <mergeCells count="1">
    <mergeCell ref="A16:B16"/>
  </mergeCells>
  <pageMargins left="0.75" right="0.75" top="1" bottom="1" header="0.5" footer="0.5"/>
  <pageSetup scale="58" orientation="landscape" horizontalDpi="300" verticalDpi="300" r:id="rId1"/>
  <headerFooter alignWithMargins="0"/>
  <customProperties>
    <customPr name="_pios_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workbookViewId="0">
      <selection activeCell="M32" sqref="M32"/>
    </sheetView>
  </sheetViews>
  <sheetFormatPr defaultColWidth="9.28515625" defaultRowHeight="11.25"/>
  <cols>
    <col min="1" max="1" width="9.28515625" style="64"/>
    <col min="2" max="15" width="7.5703125" style="64" customWidth="1"/>
    <col min="16" max="16" width="9.28515625" style="64"/>
    <col min="17" max="17" width="14.28515625" style="64" customWidth="1"/>
    <col min="18" max="18" width="16.7109375" style="69" customWidth="1"/>
    <col min="19" max="16384" width="9.28515625" style="64"/>
  </cols>
  <sheetData>
    <row r="4" spans="1:20">
      <c r="A4" s="402" t="s">
        <v>157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63" t="s">
        <v>59</v>
      </c>
    </row>
    <row r="6" spans="1:20" ht="20.25" customHeight="1">
      <c r="A6" s="65"/>
      <c r="B6" s="399"/>
      <c r="C6" s="399"/>
      <c r="D6" s="399"/>
      <c r="E6" s="399"/>
      <c r="F6" s="399"/>
      <c r="G6" s="399"/>
      <c r="H6" s="399"/>
      <c r="I6" s="66"/>
      <c r="J6" s="66"/>
      <c r="K6" s="66"/>
      <c r="L6" s="66"/>
      <c r="M6" s="66"/>
      <c r="N6" s="66"/>
      <c r="O6" s="66"/>
      <c r="P6" s="67"/>
      <c r="Q6" s="68"/>
    </row>
    <row r="7" spans="1:20" ht="36" customHeight="1">
      <c r="A7" s="70"/>
      <c r="B7" s="71">
        <v>2008</v>
      </c>
      <c r="C7" s="71">
        <f t="shared" ref="C7" si="0">B7+1</f>
        <v>2009</v>
      </c>
      <c r="D7" s="71">
        <f t="shared" ref="D7" si="1">C7+1</f>
        <v>2010</v>
      </c>
      <c r="E7" s="71">
        <f t="shared" ref="E7" si="2">D7+1</f>
        <v>2011</v>
      </c>
      <c r="F7" s="71">
        <f t="shared" ref="F7" si="3">E7+1</f>
        <v>2012</v>
      </c>
      <c r="G7" s="71">
        <f t="shared" ref="G7" si="4">F7+1</f>
        <v>2013</v>
      </c>
      <c r="H7" s="71">
        <f t="shared" ref="H7" si="5">G7+1</f>
        <v>2014</v>
      </c>
      <c r="I7" s="71">
        <f t="shared" ref="I7:J7" si="6">H7+1</f>
        <v>2015</v>
      </c>
      <c r="J7" s="71">
        <f t="shared" si="6"/>
        <v>2016</v>
      </c>
      <c r="K7" s="71">
        <f>J7+1</f>
        <v>2017</v>
      </c>
      <c r="L7" s="71">
        <f>K7+1</f>
        <v>2018</v>
      </c>
      <c r="M7" s="71">
        <v>2019</v>
      </c>
      <c r="N7" s="71">
        <v>2020</v>
      </c>
      <c r="O7" s="71">
        <v>2021</v>
      </c>
      <c r="P7" s="72" t="s">
        <v>84</v>
      </c>
      <c r="Q7" s="59" t="s">
        <v>159</v>
      </c>
    </row>
    <row r="8" spans="1:20">
      <c r="A8" s="70" t="s">
        <v>60</v>
      </c>
      <c r="B8" s="73">
        <v>819.58333333333326</v>
      </c>
      <c r="C8" s="73">
        <v>812.5</v>
      </c>
      <c r="D8" s="73">
        <v>561.95833333333326</v>
      </c>
      <c r="E8" s="73">
        <v>716.33333333333303</v>
      </c>
      <c r="F8" s="73">
        <v>778</v>
      </c>
      <c r="G8" s="73">
        <v>828</v>
      </c>
      <c r="H8" s="73">
        <v>666.12490000000003</v>
      </c>
      <c r="I8" s="73">
        <v>629.33349999999996</v>
      </c>
      <c r="J8" s="74">
        <v>664.25019999999995</v>
      </c>
      <c r="K8" s="74">
        <v>845.54160000000002</v>
      </c>
      <c r="L8" s="74">
        <v>628.70833333333303</v>
      </c>
      <c r="M8" s="74">
        <v>625.58333333333303</v>
      </c>
      <c r="N8" s="74">
        <v>623.79166666666697</v>
      </c>
      <c r="O8" s="74">
        <v>656.29166666666697</v>
      </c>
      <c r="P8" s="75">
        <v>711.85138888888901</v>
      </c>
      <c r="Q8" s="76">
        <f>O8/P8-1</f>
        <v>-7.8049608513012569E-2</v>
      </c>
      <c r="R8" s="75">
        <v>711.85138888888901</v>
      </c>
      <c r="S8" s="77"/>
      <c r="T8" s="78"/>
    </row>
    <row r="9" spans="1:20">
      <c r="A9" s="70" t="s">
        <v>61</v>
      </c>
      <c r="B9" s="73">
        <v>629.83333333333337</v>
      </c>
      <c r="C9" s="73">
        <v>659.625</v>
      </c>
      <c r="D9" s="73">
        <v>515</v>
      </c>
      <c r="E9" s="73">
        <v>725.95833333333348</v>
      </c>
      <c r="F9" s="73">
        <v>629</v>
      </c>
      <c r="G9" s="73">
        <v>581</v>
      </c>
      <c r="H9" s="73">
        <v>656.58320000000003</v>
      </c>
      <c r="I9" s="73">
        <v>456.58359999999993</v>
      </c>
      <c r="J9" s="74">
        <v>516.16650000000004</v>
      </c>
      <c r="K9" s="74">
        <v>671.95839999999998</v>
      </c>
      <c r="L9" s="74">
        <v>672.58333333333303</v>
      </c>
      <c r="M9" s="74">
        <v>794.79166666666697</v>
      </c>
      <c r="N9" s="74">
        <v>621.91666666666697</v>
      </c>
      <c r="O9" s="74">
        <v>670.70833333333303</v>
      </c>
      <c r="P9" s="75">
        <v>615.21249999999998</v>
      </c>
      <c r="Q9" s="76">
        <f t="shared" ref="Q9:Q19" si="7">O9/P9-1</f>
        <v>9.0205958645724893E-2</v>
      </c>
      <c r="R9" s="75">
        <v>635.67083333333301</v>
      </c>
      <c r="S9" s="79"/>
      <c r="T9" s="78"/>
    </row>
    <row r="10" spans="1:20">
      <c r="A10" s="70" t="s">
        <v>62</v>
      </c>
      <c r="B10" s="73">
        <v>693.54166666666663</v>
      </c>
      <c r="C10" s="73">
        <v>725.0625</v>
      </c>
      <c r="D10" s="73">
        <v>564.35416666666674</v>
      </c>
      <c r="E10" s="73">
        <v>624.375</v>
      </c>
      <c r="F10" s="73">
        <v>684</v>
      </c>
      <c r="G10" s="73">
        <v>539.20000000000005</v>
      </c>
      <c r="H10" s="73">
        <v>535.62509999999997</v>
      </c>
      <c r="I10" s="73">
        <v>456.37670000000003</v>
      </c>
      <c r="J10" s="74">
        <v>510.06220000000008</v>
      </c>
      <c r="K10" s="74">
        <v>602.62480000000005</v>
      </c>
      <c r="L10" s="74">
        <v>589.02083333333303</v>
      </c>
      <c r="M10" s="74">
        <v>541.29999999999995</v>
      </c>
      <c r="N10" s="74">
        <v>645.70833333333303</v>
      </c>
      <c r="O10" s="74">
        <v>614.33333333333303</v>
      </c>
      <c r="P10" s="75">
        <v>589.43819444444398</v>
      </c>
      <c r="Q10" s="76">
        <f t="shared" si="7"/>
        <v>4.2235367717141425E-2</v>
      </c>
      <c r="R10" s="75">
        <v>589.43819444444398</v>
      </c>
      <c r="S10" s="77"/>
      <c r="T10" s="78"/>
    </row>
    <row r="11" spans="1:20">
      <c r="A11" s="70" t="s">
        <v>63</v>
      </c>
      <c r="B11" s="73">
        <v>568.33333333333326</v>
      </c>
      <c r="C11" s="73">
        <v>485.58333333333326</v>
      </c>
      <c r="D11" s="73">
        <v>486.20833333333337</v>
      </c>
      <c r="E11" s="73">
        <v>595.75</v>
      </c>
      <c r="F11" s="73">
        <v>436</v>
      </c>
      <c r="G11" s="73">
        <v>444.2</v>
      </c>
      <c r="H11" s="73">
        <v>404.58330000000001</v>
      </c>
      <c r="I11" s="73">
        <v>428.04169999999999</v>
      </c>
      <c r="J11" s="74">
        <v>289.93369999999999</v>
      </c>
      <c r="K11" s="74">
        <v>451.37509999999997</v>
      </c>
      <c r="L11" s="74">
        <v>419.04166666666703</v>
      </c>
      <c r="M11" s="74">
        <v>391.91666666666703</v>
      </c>
      <c r="N11" s="74">
        <v>397.79166666666703</v>
      </c>
      <c r="O11" s="74">
        <v>362.04166666666703</v>
      </c>
      <c r="P11" s="75">
        <v>449.71805555555602</v>
      </c>
      <c r="Q11" s="76">
        <f t="shared" si="7"/>
        <v>-0.19495856972115244</v>
      </c>
      <c r="R11" s="75">
        <v>449.71805555555602</v>
      </c>
      <c r="S11" s="77"/>
      <c r="T11" s="78"/>
    </row>
    <row r="12" spans="1:20">
      <c r="A12" s="70" t="s">
        <v>64</v>
      </c>
      <c r="B12" s="73">
        <v>306.375</v>
      </c>
      <c r="C12" s="73">
        <v>293.58333333333337</v>
      </c>
      <c r="D12" s="73">
        <v>387.70833333333331</v>
      </c>
      <c r="E12" s="73">
        <v>406.20833333333337</v>
      </c>
      <c r="F12" s="73">
        <v>317</v>
      </c>
      <c r="G12" s="73">
        <v>234.9</v>
      </c>
      <c r="H12" s="73">
        <v>213.33349999999996</v>
      </c>
      <c r="I12" s="73">
        <v>213.16689999999997</v>
      </c>
      <c r="J12" s="74">
        <v>188.74990000000003</v>
      </c>
      <c r="K12" s="74">
        <v>257.58359999999999</v>
      </c>
      <c r="L12" s="74">
        <v>172.458333333333</v>
      </c>
      <c r="M12" s="74">
        <v>179.916666666667</v>
      </c>
      <c r="N12" s="74">
        <v>227.708333333333</v>
      </c>
      <c r="O12" s="74">
        <v>284.58333333333297</v>
      </c>
      <c r="P12" s="75">
        <v>283.27361111111099</v>
      </c>
      <c r="Q12" s="76">
        <f t="shared" si="7"/>
        <v>4.62352358585294E-3</v>
      </c>
      <c r="R12" s="75">
        <v>283.27361111111099</v>
      </c>
      <c r="S12" s="77"/>
      <c r="T12" s="78"/>
    </row>
    <row r="13" spans="1:20">
      <c r="A13" s="70" t="s">
        <v>65</v>
      </c>
      <c r="B13" s="73">
        <v>251.70833333333334</v>
      </c>
      <c r="C13" s="73">
        <v>94.875</v>
      </c>
      <c r="D13" s="73">
        <v>224.20833333333326</v>
      </c>
      <c r="E13" s="73">
        <v>199.16666666666669</v>
      </c>
      <c r="F13" s="73">
        <v>220</v>
      </c>
      <c r="G13" s="73">
        <v>76.8</v>
      </c>
      <c r="H13" s="73">
        <v>125.83319999999998</v>
      </c>
      <c r="I13" s="73">
        <v>44</v>
      </c>
      <c r="J13" s="74">
        <v>122.95819999999998</v>
      </c>
      <c r="K13" s="74">
        <v>124.58319999999998</v>
      </c>
      <c r="L13" s="74">
        <v>124.833333333333</v>
      </c>
      <c r="M13" s="74">
        <v>114</v>
      </c>
      <c r="N13" s="74">
        <v>143.291666666667</v>
      </c>
      <c r="O13" s="74">
        <v>99.9583333333334</v>
      </c>
      <c r="P13" s="75">
        <v>158.07499999999999</v>
      </c>
      <c r="Q13" s="76">
        <f t="shared" si="7"/>
        <v>-0.36765248563445574</v>
      </c>
      <c r="R13" s="75">
        <v>158.07499999999999</v>
      </c>
      <c r="S13" s="77"/>
      <c r="T13" s="78"/>
    </row>
    <row r="14" spans="1:20">
      <c r="A14" s="70" t="s">
        <v>66</v>
      </c>
      <c r="B14" s="73">
        <v>71.458333333333343</v>
      </c>
      <c r="C14" s="73">
        <v>41.25</v>
      </c>
      <c r="D14" s="73">
        <v>113.20833333333331</v>
      </c>
      <c r="E14" s="73">
        <v>79.916666666666686</v>
      </c>
      <c r="F14" s="73">
        <v>68</v>
      </c>
      <c r="G14" s="73">
        <v>22.6</v>
      </c>
      <c r="H14" s="73">
        <v>20.833499999999997</v>
      </c>
      <c r="I14" s="73">
        <v>7.875</v>
      </c>
      <c r="J14" s="74">
        <v>33.625</v>
      </c>
      <c r="K14" s="74">
        <v>18.916799999999999</v>
      </c>
      <c r="L14" s="74">
        <v>16.5833333333333</v>
      </c>
      <c r="M14" s="74">
        <v>24.2916666666667</v>
      </c>
      <c r="N14" s="74">
        <v>47.4583333333333</v>
      </c>
      <c r="O14" s="74">
        <v>24</v>
      </c>
      <c r="P14" s="75">
        <v>54.019444444444503</v>
      </c>
      <c r="Q14" s="76">
        <f t="shared" si="7"/>
        <v>-0.55571553452974798</v>
      </c>
      <c r="R14" s="75">
        <v>54.019444444444503</v>
      </c>
      <c r="T14" s="78"/>
    </row>
    <row r="15" spans="1:20">
      <c r="A15" s="70" t="s">
        <v>67</v>
      </c>
      <c r="B15" s="73">
        <v>77.25</v>
      </c>
      <c r="C15" s="73">
        <v>58.833333333333329</v>
      </c>
      <c r="D15" s="73">
        <v>95.458333333333371</v>
      </c>
      <c r="E15" s="73">
        <v>43.54166666666665</v>
      </c>
      <c r="F15" s="73">
        <v>31</v>
      </c>
      <c r="G15" s="73">
        <v>7.6</v>
      </c>
      <c r="H15" s="73">
        <v>13.208299999999999</v>
      </c>
      <c r="I15" s="73">
        <v>18.333299999999998</v>
      </c>
      <c r="J15" s="74">
        <v>32.166600000000003</v>
      </c>
      <c r="K15" s="74">
        <v>4.7084000000000001</v>
      </c>
      <c r="L15" s="74">
        <v>25.0833333333333</v>
      </c>
      <c r="M15" s="74">
        <v>8.2083333333333393</v>
      </c>
      <c r="N15" s="74">
        <v>22.2916666666667</v>
      </c>
      <c r="O15" s="74">
        <v>47.75</v>
      </c>
      <c r="P15" s="75">
        <v>44.426388888888901</v>
      </c>
      <c r="Q15" s="76">
        <f t="shared" si="7"/>
        <v>7.4811642229655417E-2</v>
      </c>
      <c r="R15" s="75">
        <v>44.426388888888901</v>
      </c>
      <c r="T15" s="78"/>
    </row>
    <row r="16" spans="1:20">
      <c r="A16" s="70" t="s">
        <v>68</v>
      </c>
      <c r="B16" s="73">
        <v>144.20833333333334</v>
      </c>
      <c r="C16" s="73">
        <v>122.375</v>
      </c>
      <c r="D16" s="73">
        <v>155.33333333333331</v>
      </c>
      <c r="E16" s="73">
        <v>95.666666666666657</v>
      </c>
      <c r="F16" s="73">
        <v>110</v>
      </c>
      <c r="G16" s="73">
        <v>113.95833333333337</v>
      </c>
      <c r="H16" s="73">
        <v>63.499800000000008</v>
      </c>
      <c r="I16" s="73">
        <v>164.66670000000002</v>
      </c>
      <c r="J16" s="74">
        <v>137.37489999999997</v>
      </c>
      <c r="K16" s="74">
        <v>102.2084</v>
      </c>
      <c r="L16" s="74">
        <v>116.666666666667</v>
      </c>
      <c r="M16" s="74">
        <v>115.708333333333</v>
      </c>
      <c r="N16" s="74">
        <v>68</v>
      </c>
      <c r="O16" s="74">
        <v>131.666666666667</v>
      </c>
      <c r="P16" s="75">
        <v>134.64444444444399</v>
      </c>
      <c r="Q16" s="76">
        <f t="shared" si="7"/>
        <v>-2.2115860703080581E-2</v>
      </c>
      <c r="R16" s="75">
        <v>134.64444444444399</v>
      </c>
      <c r="T16" s="78"/>
    </row>
    <row r="17" spans="1:20">
      <c r="A17" s="70" t="s">
        <v>69</v>
      </c>
      <c r="B17" s="73">
        <v>422.1666666666668</v>
      </c>
      <c r="C17" s="73">
        <v>404.08333333333343</v>
      </c>
      <c r="D17" s="73">
        <v>377.16666666666663</v>
      </c>
      <c r="E17" s="73">
        <v>411.83333333333337</v>
      </c>
      <c r="F17" s="73">
        <v>360</v>
      </c>
      <c r="G17" s="73">
        <v>431.99999999999989</v>
      </c>
      <c r="H17" s="73">
        <v>238.79180000000002</v>
      </c>
      <c r="I17" s="73">
        <v>259.66660000000002</v>
      </c>
      <c r="J17" s="74">
        <v>340.29179999999997</v>
      </c>
      <c r="K17" s="74">
        <v>389.20829999999995</v>
      </c>
      <c r="L17" s="74">
        <v>366.375</v>
      </c>
      <c r="M17" s="74">
        <v>445.29166666666703</v>
      </c>
      <c r="N17" s="74">
        <v>348.33333333333297</v>
      </c>
      <c r="O17" s="74">
        <v>413.25</v>
      </c>
      <c r="P17" s="75">
        <v>386.39305555555597</v>
      </c>
      <c r="Q17" s="76">
        <f t="shared" si="7"/>
        <v>6.9506798992101659E-2</v>
      </c>
      <c r="R17" s="75">
        <v>386.39305555555597</v>
      </c>
      <c r="T17" s="78"/>
    </row>
    <row r="18" spans="1:20">
      <c r="A18" s="70" t="s">
        <v>70</v>
      </c>
      <c r="B18" s="73">
        <v>481.75</v>
      </c>
      <c r="C18" s="73">
        <v>556.375</v>
      </c>
      <c r="D18" s="73">
        <v>652.29166666666674</v>
      </c>
      <c r="E18" s="73">
        <v>659.25</v>
      </c>
      <c r="F18" s="73">
        <v>550</v>
      </c>
      <c r="G18" s="73">
        <v>519.20833333333337</v>
      </c>
      <c r="H18" s="73">
        <v>583.24990000000003</v>
      </c>
      <c r="I18" s="73">
        <v>635.52080000000001</v>
      </c>
      <c r="J18" s="74">
        <v>427.58320000000003</v>
      </c>
      <c r="K18" s="74">
        <v>563.87490000000003</v>
      </c>
      <c r="L18" s="74">
        <v>493.60416666666703</v>
      </c>
      <c r="M18" s="74">
        <v>560.95833333333303</v>
      </c>
      <c r="N18" s="74">
        <v>565.54166666666697</v>
      </c>
      <c r="O18" s="74"/>
      <c r="P18" s="75">
        <v>580.98055555555504</v>
      </c>
      <c r="Q18" s="76">
        <f t="shared" si="7"/>
        <v>-1</v>
      </c>
      <c r="R18" s="75">
        <v>580.98055555555504</v>
      </c>
      <c r="T18" s="78"/>
    </row>
    <row r="19" spans="1:20">
      <c r="A19" s="70" t="s">
        <v>71</v>
      </c>
      <c r="B19" s="73">
        <v>865.66666666666663</v>
      </c>
      <c r="C19" s="73">
        <v>840.66666666666663</v>
      </c>
      <c r="D19" s="73">
        <v>682.875</v>
      </c>
      <c r="E19" s="73">
        <v>787.95833333333326</v>
      </c>
      <c r="F19" s="73">
        <v>733</v>
      </c>
      <c r="G19" s="73">
        <v>773.79169999999999</v>
      </c>
      <c r="H19" s="73">
        <v>623.74980000000005</v>
      </c>
      <c r="I19" s="73">
        <v>693.83320000000003</v>
      </c>
      <c r="J19" s="74">
        <v>841.37519999999995</v>
      </c>
      <c r="K19" s="74">
        <v>780.5</v>
      </c>
      <c r="L19" s="74">
        <v>653.20833333333303</v>
      </c>
      <c r="M19" s="74">
        <v>634.20833333333303</v>
      </c>
      <c r="N19" s="74">
        <v>646.91666666666697</v>
      </c>
      <c r="O19" s="74"/>
      <c r="P19" s="75">
        <v>734.99305555555497</v>
      </c>
      <c r="Q19" s="76">
        <f t="shared" si="7"/>
        <v>-1</v>
      </c>
      <c r="R19" s="75">
        <v>734.99305555555497</v>
      </c>
      <c r="T19" s="78"/>
    </row>
    <row r="20" spans="1:20" ht="7.5" customHeight="1">
      <c r="A20" s="70"/>
      <c r="B20" s="73"/>
      <c r="C20" s="73"/>
      <c r="D20" s="73"/>
      <c r="E20" s="80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6"/>
    </row>
    <row r="21" spans="1:20">
      <c r="A21" s="70" t="s">
        <v>20</v>
      </c>
      <c r="B21" s="73">
        <f t="shared" ref="B21:N21" si="8">SUM(B8:B19)</f>
        <v>5331.8750000000009</v>
      </c>
      <c r="C21" s="73">
        <f t="shared" si="8"/>
        <v>5094.8125000000009</v>
      </c>
      <c r="D21" s="73">
        <f t="shared" si="8"/>
        <v>4815.7708333333339</v>
      </c>
      <c r="E21" s="73">
        <f t="shared" si="8"/>
        <v>5345.958333333333</v>
      </c>
      <c r="F21" s="73">
        <f t="shared" si="8"/>
        <v>4916</v>
      </c>
      <c r="G21" s="73">
        <f t="shared" si="8"/>
        <v>4573.2583666666669</v>
      </c>
      <c r="H21" s="73">
        <f t="shared" si="8"/>
        <v>4145.4163000000008</v>
      </c>
      <c r="I21" s="73">
        <f t="shared" si="8"/>
        <v>4007.3980000000001</v>
      </c>
      <c r="J21" s="73">
        <f t="shared" si="8"/>
        <v>4104.5374000000002</v>
      </c>
      <c r="K21" s="73">
        <f t="shared" si="8"/>
        <v>4813.0834999999997</v>
      </c>
      <c r="L21" s="73">
        <f t="shared" si="8"/>
        <v>4278.1666666666661</v>
      </c>
      <c r="M21" s="73">
        <f t="shared" si="8"/>
        <v>4436.1750000000002</v>
      </c>
      <c r="N21" s="73">
        <f t="shared" si="8"/>
        <v>4358.7500000000009</v>
      </c>
      <c r="O21" s="73"/>
      <c r="P21" s="81">
        <f>SUM(P8:P19)</f>
        <v>4743.0256944444427</v>
      </c>
      <c r="Q21" s="76"/>
      <c r="R21" s="81">
        <f>SUM(R8:R19)</f>
        <v>4763.4840277777757</v>
      </c>
    </row>
    <row r="22" spans="1:20" ht="19.5" customHeight="1">
      <c r="A22" s="400" t="s">
        <v>72</v>
      </c>
      <c r="B22" s="73"/>
      <c r="C22" s="73"/>
      <c r="D22" s="73"/>
      <c r="E22" s="73"/>
      <c r="F22" s="81"/>
      <c r="G22" s="81"/>
      <c r="H22" s="81"/>
      <c r="I22" s="81"/>
      <c r="J22" s="81"/>
      <c r="K22" s="69"/>
      <c r="L22" s="69"/>
      <c r="M22" s="69"/>
      <c r="N22" s="69"/>
      <c r="O22" s="69"/>
      <c r="P22" s="82"/>
      <c r="Q22" s="83"/>
    </row>
    <row r="23" spans="1:20">
      <c r="A23" s="401"/>
      <c r="B23" s="84">
        <f>B21/$R$21-1</f>
        <v>0.11932253134632353</v>
      </c>
      <c r="C23" s="84">
        <f>C21/$P$21-1</f>
        <v>7.4169281007187005E-2</v>
      </c>
      <c r="D23" s="84">
        <f>D21/$P$21-1</f>
        <v>1.5337285432397874E-2</v>
      </c>
      <c r="E23" s="84">
        <f>E21/$P$21-1</f>
        <v>0.12711983399017046</v>
      </c>
      <c r="F23" s="84">
        <f>F21/$R$21-1</f>
        <v>3.2017735618056653E-2</v>
      </c>
      <c r="G23" s="84">
        <f>G21/$P$21-1</f>
        <v>-3.5793044085050241E-2</v>
      </c>
      <c r="H23" s="84">
        <f>H21/$P$21-1</f>
        <v>-0.12599750305894997</v>
      </c>
      <c r="I23" s="84">
        <f>I21/$P$21-1</f>
        <v>-0.15509671290756266</v>
      </c>
      <c r="J23" s="84">
        <f>J21/$R$21-1</f>
        <v>-0.13833291429869288</v>
      </c>
      <c r="K23" s="84">
        <f>K21/$P$21-1</f>
        <v>1.4770699142029997E-2</v>
      </c>
      <c r="L23" s="84"/>
      <c r="M23" s="84"/>
      <c r="N23" s="84"/>
      <c r="O23" s="84"/>
      <c r="P23" s="85"/>
      <c r="Q23" s="86"/>
    </row>
    <row r="24" spans="1:20" ht="17.25" customHeight="1">
      <c r="A24" s="87" t="s">
        <v>132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90"/>
    </row>
    <row r="25" spans="1:20">
      <c r="A25" s="91" t="s">
        <v>158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1:20">
      <c r="A26" s="89"/>
      <c r="B26" s="92"/>
      <c r="C26" s="92"/>
      <c r="D26" s="92"/>
      <c r="E26" s="92"/>
      <c r="F26" s="92"/>
      <c r="G26" s="92"/>
      <c r="H26" s="93"/>
      <c r="I26" s="93"/>
      <c r="J26" s="93"/>
      <c r="K26" s="93"/>
      <c r="L26" s="93"/>
      <c r="M26" s="93"/>
      <c r="N26" s="93"/>
      <c r="O26" s="93"/>
      <c r="P26" s="69"/>
      <c r="Q26" s="69"/>
    </row>
    <row r="30" spans="1:20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78"/>
    </row>
    <row r="31" spans="1:20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78"/>
    </row>
    <row r="32" spans="1:20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78"/>
    </row>
    <row r="33" spans="2:16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78"/>
    </row>
    <row r="34" spans="2:16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78"/>
    </row>
    <row r="35" spans="2:16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78"/>
    </row>
    <row r="36" spans="2:16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78"/>
    </row>
    <row r="37" spans="2:16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78"/>
    </row>
    <row r="38" spans="2:16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78"/>
    </row>
    <row r="39" spans="2:16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78"/>
    </row>
    <row r="40" spans="2:16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78"/>
    </row>
    <row r="41" spans="2:16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78"/>
    </row>
    <row r="42" spans="2:16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2:16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2:16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2:16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</sheetData>
  <mergeCells count="3">
    <mergeCell ref="B6:H6"/>
    <mergeCell ref="A22:A23"/>
    <mergeCell ref="A4:Q4"/>
  </mergeCells>
  <phoneticPr fontId="36" type="noConversion"/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25E8665-D954-4BAB-BBF2-2B7995B17DA4}"/>
</file>

<file path=customXml/itemProps3.xml><?xml version="1.0" encoding="utf-8"?>
<ds:datastoreItem xmlns:ds="http://schemas.openxmlformats.org/officeDocument/2006/customXml" ds:itemID="{127D69B2-48D0-40DB-91C4-24FFD508420D}"/>
</file>

<file path=customXml/itemProps4.xml><?xml version="1.0" encoding="utf-8"?>
<ds:datastoreItem xmlns:ds="http://schemas.openxmlformats.org/officeDocument/2006/customXml" ds:itemID="{7123E547-6A51-4568-8B7A-7A6007763D8B}"/>
</file>

<file path=customXml/itemProps5.xml><?xml version="1.0" encoding="utf-8"?>
<ds:datastoreItem xmlns:ds="http://schemas.openxmlformats.org/officeDocument/2006/customXml" ds:itemID="{07DED162-5370-4F22-B0E0-311C1C12C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Lead </vt:lpstr>
      <vt:lpstr>Summary</vt:lpstr>
      <vt:lpstr>Sales &amp; Revenue Adj.</vt:lpstr>
      <vt:lpstr>Temp Adj. by Schedule</vt:lpstr>
      <vt:lpstr>Normalized TotalUsage</vt:lpstr>
      <vt:lpstr>Actual Total Usage</vt:lpstr>
      <vt:lpstr>SAP BW Actual Usage</vt:lpstr>
      <vt:lpstr>System Model </vt:lpstr>
      <vt:lpstr>TABLE-HDD</vt:lpstr>
      <vt:lpstr>'SAP BW Actual Usage'!Print_Area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Kellogg, Anh</cp:lastModifiedBy>
  <cp:lastPrinted>2015-04-28T19:11:31Z</cp:lastPrinted>
  <dcterms:created xsi:type="dcterms:W3CDTF">2004-05-04T16:51:38Z</dcterms:created>
  <dcterms:modified xsi:type="dcterms:W3CDTF">2024-03-26T16:39:00Z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