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758163D0-E817-43CD-8675-22D644203B0C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<sst xmlns="http://schemas.openxmlformats.org/spreadsheetml/2006/main" count="227" uniqueCount="144">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</sst>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0" fontId="56" fillId="0" borderId="0" xfId="0" applyFont="1"/>
    <xf numFmtId="165" fontId="33" fillId="2" borderId="5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60" t="s">
        <v>14</v>
      </c>
      <c r="C4" s="162"/>
      <c r="D4" s="25">
        <v>2016</v>
      </c>
      <c r="E4" s="49" t="s">
        <v>37</v>
      </c>
      <c r="F4" s="45"/>
    </row>
    <row r="5" spans="2:8" ht="15.75" thickBot="1">
      <c r="B5" s="163" t="s">
        <v>19</v>
      </c>
      <c r="C5" s="164"/>
      <c r="D5" s="130">
        <v>301905</v>
      </c>
      <c r="E5" s="131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60" t="s">
        <v>10</v>
      </c>
      <c r="C10" s="161"/>
      <c r="D10" s="162"/>
      <c r="E10" s="47">
        <v>1749590.0788588659</v>
      </c>
      <c r="F10" s="10">
        <f>+E10/E15</f>
        <v>0.39475669142082204</v>
      </c>
      <c r="G10" s="55">
        <v>108342.08333333299</v>
      </c>
      <c r="H10" s="147">
        <f>+E10/G10</f>
        <v>16.148757943632596</v>
      </c>
    </row>
    <row r="11" spans="2:8">
      <c r="B11" s="160" t="s">
        <v>15</v>
      </c>
      <c r="C11" s="161"/>
      <c r="D11" s="162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60" t="s">
        <v>16</v>
      </c>
      <c r="C12" s="161"/>
      <c r="D12" s="162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60" t="s">
        <v>39</v>
      </c>
      <c r="C13" s="161"/>
      <c r="D13" s="162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65" t="s">
        <v>40</v>
      </c>
      <c r="C14" s="166"/>
      <c r="D14" s="167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11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5" t="s">
        <v>142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143</v>
      </c>
      <c r="H19" s="32"/>
      <c r="I19" s="156" t="s">
        <v>143</v>
      </c>
    </row>
    <row r="20" spans="2:9" ht="15.75" thickBot="1">
      <c r="B20" s="160" t="s">
        <v>31</v>
      </c>
      <c r="C20" s="161"/>
      <c r="D20" s="162"/>
      <c r="E20" s="133">
        <f>+'Known Resources'!B42</f>
        <v>3448690.1641142471</v>
      </c>
      <c r="F20" s="10">
        <f>+E20/(E20+E21)</f>
        <v>0.80265382222283144</v>
      </c>
      <c r="G20" s="133">
        <f>+'Known Resources'!E42</f>
        <v>2507712.8028616952</v>
      </c>
      <c r="H20" s="132"/>
      <c r="I20" s="157">
        <f>G20*0.907185</f>
        <v>2274959.4390640869</v>
      </c>
    </row>
    <row r="21" spans="2:9" ht="18">
      <c r="B21" s="160" t="s">
        <v>32</v>
      </c>
      <c r="C21" s="161"/>
      <c r="D21" s="162"/>
      <c r="E21" s="134">
        <f>+'Unknown Resources'!B34</f>
        <v>847919.4932890007</v>
      </c>
      <c r="F21" s="38">
        <f>+E21/(E20+E21)</f>
        <v>0.19734617777716859</v>
      </c>
      <c r="G21" s="135">
        <f>+'Unknown Resources'!D34</f>
        <v>408450.849714913</v>
      </c>
      <c r="H21" s="50" t="s">
        <v>36</v>
      </c>
      <c r="I21" s="158">
        <f>G21*0.907185</f>
        <v>370540.48409862333</v>
      </c>
    </row>
    <row r="22" spans="2:9" ht="18.75" thickBot="1">
      <c r="B22" s="33"/>
      <c r="C22" s="34"/>
      <c r="D22" s="34"/>
      <c r="E22" s="52">
        <f>+D4</f>
        <v>2016</v>
      </c>
      <c r="F22" s="140" t="s">
        <v>3</v>
      </c>
      <c r="G22" s="141">
        <f>SUM(G20:G21)</f>
        <v>2916163.6525766081</v>
      </c>
      <c r="H22" s="149">
        <f>+G22/H24</f>
        <v>1.215535156662938</v>
      </c>
      <c r="I22" s="159">
        <f>SUM(I20:I21)</f>
        <v>2645499.9231627104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6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2016'!D4</f>
        <v>2016</v>
      </c>
      <c r="D1" s="1"/>
      <c r="E1" s="1"/>
      <c r="F1" s="71"/>
      <c r="G1" s="71"/>
    </row>
    <row r="2" spans="1:8" ht="30.75">
      <c r="A2" s="2"/>
      <c r="B2" s="7" t="s">
        <v>29</v>
      </c>
      <c r="C2" s="153" t="s">
        <v>141</v>
      </c>
      <c r="D2" s="7">
        <f>+'Summary 2016'!D4</f>
        <v>2016</v>
      </c>
      <c r="E2" s="7" t="s">
        <v>4</v>
      </c>
      <c r="F2" s="71"/>
      <c r="G2" s="71" t="s">
        <v>132</v>
      </c>
    </row>
    <row r="3" spans="1:8" ht="19.5">
      <c r="A3" s="4" t="s">
        <v>0</v>
      </c>
      <c r="B3" s="8">
        <f>+'Summary 2016'!D4</f>
        <v>2016</v>
      </c>
      <c r="C3" s="154">
        <f>3.503%</f>
        <v>3.5029999999999999E-2</v>
      </c>
      <c r="D3" s="8" t="s">
        <v>6</v>
      </c>
      <c r="E3" s="8" t="s">
        <v>7</v>
      </c>
      <c r="F3" s="6"/>
      <c r="G3" s="71" t="s">
        <v>130</v>
      </c>
      <c r="H3" s="71" t="s">
        <v>137</v>
      </c>
    </row>
    <row r="4" spans="1:8">
      <c r="A4" s="67" t="s">
        <v>46</v>
      </c>
      <c r="B4" s="68">
        <f t="shared" ref="B4:B41" si="0">G4*$B$44</f>
        <v>110919.87076850767</v>
      </c>
      <c r="C4" s="68">
        <f>B4*(1+$C$3)</f>
        <v>114805.39384152848</v>
      </c>
      <c r="D4" s="68">
        <v>2375.500837276184</v>
      </c>
      <c r="E4" s="89">
        <f>(+C4*D4)/2000</f>
        <v>136360.15459718648</v>
      </c>
      <c r="F4" s="71" t="s">
        <v>83</v>
      </c>
      <c r="G4" s="73">
        <v>487733.526084046</v>
      </c>
    </row>
    <row r="5" spans="1:8">
      <c r="A5" s="67" t="s">
        <v>45</v>
      </c>
      <c r="B5" s="68">
        <f t="shared" si="0"/>
        <v>1816892.540543739</v>
      </c>
      <c r="C5" s="68">
        <f t="shared" ref="C5:C7" si="1">B5*(1+$C$3)</f>
        <v>1880538.2862389861</v>
      </c>
      <c r="D5" s="68">
        <v>2213.2616474450756</v>
      </c>
      <c r="E5" s="89">
        <f t="shared" ref="E5:E7" si="2">(+C5*D5)/2000</f>
        <v>2081061.6327424187</v>
      </c>
      <c r="F5" s="71" t="s">
        <v>83</v>
      </c>
      <c r="G5" s="73">
        <v>7989185.3387084585</v>
      </c>
      <c r="H5" s="65"/>
    </row>
    <row r="6" spans="1:8">
      <c r="A6" s="67" t="s">
        <v>44</v>
      </c>
      <c r="B6" s="68">
        <f t="shared" si="0"/>
        <v>313217.36613000004</v>
      </c>
      <c r="C6" s="68">
        <f t="shared" si="1"/>
        <v>324189.37046553392</v>
      </c>
      <c r="D6" s="68">
        <v>916.98838028987427</v>
      </c>
      <c r="E6" s="89">
        <f t="shared" si="2"/>
        <v>148638.94286519196</v>
      </c>
      <c r="F6" s="71" t="s">
        <v>84</v>
      </c>
      <c r="G6" s="73">
        <f>1420028-42758</f>
        <v>1377270</v>
      </c>
      <c r="H6" s="63">
        <v>42758</v>
      </c>
    </row>
    <row r="7" spans="1:8">
      <c r="A7" s="67" t="s">
        <v>82</v>
      </c>
      <c r="B7" s="68">
        <f t="shared" si="0"/>
        <v>307817.30197500001</v>
      </c>
      <c r="C7" s="68">
        <f t="shared" si="1"/>
        <v>318600.14206318423</v>
      </c>
      <c r="D7" s="68">
        <v>889.21537661339619</v>
      </c>
      <c r="E7" s="89">
        <f t="shared" si="2"/>
        <v>141652.07265689797</v>
      </c>
      <c r="F7" s="71" t="s">
        <v>84</v>
      </c>
      <c r="G7" s="73">
        <f>547251+1145656-339382</f>
        <v>1353525</v>
      </c>
      <c r="H7" s="63">
        <v>339382</v>
      </c>
    </row>
    <row r="8" spans="1:8">
      <c r="A8" s="67" t="s">
        <v>42</v>
      </c>
      <c r="B8" s="68">
        <f t="shared" si="0"/>
        <v>50918.886681000004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223899</v>
      </c>
    </row>
    <row r="9" spans="1:8">
      <c r="A9" s="67" t="s">
        <v>43</v>
      </c>
      <c r="B9" s="68">
        <f t="shared" si="0"/>
        <v>46076.226495000003</v>
      </c>
      <c r="C9" s="68"/>
      <c r="D9" s="68">
        <v>0</v>
      </c>
      <c r="E9" s="89">
        <f t="shared" si="3"/>
        <v>0</v>
      </c>
      <c r="F9" s="85" t="s">
        <v>85</v>
      </c>
      <c r="G9" s="73">
        <v>202605</v>
      </c>
      <c r="H9" s="129"/>
    </row>
    <row r="10" spans="1:8">
      <c r="A10" s="67" t="s">
        <v>47</v>
      </c>
      <c r="B10" s="68">
        <f t="shared" si="0"/>
        <v>119718.364818</v>
      </c>
      <c r="C10" s="68"/>
      <c r="D10" s="68">
        <v>0</v>
      </c>
      <c r="E10" s="89">
        <f t="shared" si="3"/>
        <v>0</v>
      </c>
      <c r="F10" s="85" t="s">
        <v>85</v>
      </c>
      <c r="G10" s="73">
        <v>526422</v>
      </c>
      <c r="H10" s="129"/>
    </row>
    <row r="11" spans="1:8" s="64" customFormat="1">
      <c r="A11" s="67" t="s">
        <v>53</v>
      </c>
      <c r="B11" s="68">
        <f t="shared" si="0"/>
        <v>445.28640200000001</v>
      </c>
      <c r="C11" s="68"/>
      <c r="D11" s="68">
        <v>0</v>
      </c>
      <c r="E11" s="89">
        <f t="shared" si="3"/>
        <v>0</v>
      </c>
      <c r="F11" s="85" t="s">
        <v>86</v>
      </c>
      <c r="G11" s="73">
        <v>1958</v>
      </c>
      <c r="H11" s="129"/>
    </row>
    <row r="12" spans="1:8" s="64" customFormat="1">
      <c r="A12" s="67" t="s">
        <v>54</v>
      </c>
      <c r="B12" s="68">
        <f t="shared" si="0"/>
        <v>9201.145321</v>
      </c>
      <c r="C12" s="68"/>
      <c r="D12" s="68">
        <v>0</v>
      </c>
      <c r="E12" s="89">
        <f t="shared" si="3"/>
        <v>0</v>
      </c>
      <c r="F12" s="85" t="s">
        <v>86</v>
      </c>
      <c r="G12" s="73">
        <v>40459</v>
      </c>
    </row>
    <row r="13" spans="1:8" s="64" customFormat="1">
      <c r="A13" s="67" t="s">
        <v>55</v>
      </c>
      <c r="B13" s="68">
        <f t="shared" si="0"/>
        <v>10333.691941000001</v>
      </c>
      <c r="C13" s="68"/>
      <c r="D13" s="68">
        <v>0</v>
      </c>
      <c r="E13" s="89">
        <f t="shared" si="3"/>
        <v>0</v>
      </c>
      <c r="F13" s="85" t="s">
        <v>86</v>
      </c>
      <c r="G13" s="73">
        <v>45439</v>
      </c>
    </row>
    <row r="14" spans="1:8" s="64" customFormat="1">
      <c r="A14" s="67" t="s">
        <v>56</v>
      </c>
      <c r="B14" s="68">
        <f t="shared" si="0"/>
        <v>18412.751916000001</v>
      </c>
      <c r="C14" s="68"/>
      <c r="D14" s="68">
        <v>0</v>
      </c>
      <c r="E14" s="89">
        <f t="shared" si="3"/>
        <v>0</v>
      </c>
      <c r="F14" s="85" t="s">
        <v>86</v>
      </c>
      <c r="G14" s="73">
        <v>80964</v>
      </c>
    </row>
    <row r="15" spans="1:8" s="64" customFormat="1">
      <c r="A15" s="67" t="s">
        <v>57</v>
      </c>
      <c r="B15" s="68">
        <f t="shared" si="0"/>
        <v>23831.691848000002</v>
      </c>
      <c r="C15" s="68"/>
      <c r="D15" s="68">
        <v>0</v>
      </c>
      <c r="E15" s="89">
        <f t="shared" si="3"/>
        <v>0</v>
      </c>
      <c r="F15" s="85" t="s">
        <v>86</v>
      </c>
      <c r="G15" s="73">
        <v>104792</v>
      </c>
    </row>
    <row r="16" spans="1:8" s="64" customFormat="1">
      <c r="A16" s="67" t="s">
        <v>58</v>
      </c>
      <c r="B16" s="68">
        <f t="shared" si="0"/>
        <v>4213.1643940000004</v>
      </c>
      <c r="C16" s="68"/>
      <c r="D16" s="68">
        <v>0</v>
      </c>
      <c r="E16" s="89">
        <f t="shared" si="3"/>
        <v>0</v>
      </c>
      <c r="F16" s="85" t="s">
        <v>86</v>
      </c>
      <c r="G16" s="73">
        <v>18526</v>
      </c>
    </row>
    <row r="17" spans="1:8" s="64" customFormat="1">
      <c r="A17" s="67" t="s">
        <v>59</v>
      </c>
      <c r="B17" s="68">
        <f t="shared" si="0"/>
        <v>2307.3931740000003</v>
      </c>
      <c r="C17" s="68"/>
      <c r="D17" s="68">
        <v>0</v>
      </c>
      <c r="E17" s="89">
        <f t="shared" si="3"/>
        <v>0</v>
      </c>
      <c r="F17" s="85" t="s">
        <v>86</v>
      </c>
      <c r="G17" s="73">
        <v>10146</v>
      </c>
    </row>
    <row r="18" spans="1:8" s="64" customFormat="1">
      <c r="A18" s="67" t="s">
        <v>60</v>
      </c>
      <c r="B18" s="68">
        <f t="shared" si="0"/>
        <v>7923.0505410000005</v>
      </c>
      <c r="C18" s="68"/>
      <c r="D18" s="68">
        <v>0</v>
      </c>
      <c r="E18" s="89">
        <f t="shared" si="3"/>
        <v>0</v>
      </c>
      <c r="F18" s="85" t="s">
        <v>86</v>
      </c>
      <c r="G18" s="73">
        <v>34839</v>
      </c>
    </row>
    <row r="19" spans="1:8" s="64" customFormat="1">
      <c r="A19" s="67" t="s">
        <v>61</v>
      </c>
      <c r="B19" s="68">
        <f t="shared" si="0"/>
        <v>22912.919088000002</v>
      </c>
      <c r="C19" s="68"/>
      <c r="D19" s="68">
        <v>0</v>
      </c>
      <c r="E19" s="89">
        <f t="shared" si="3"/>
        <v>0</v>
      </c>
      <c r="F19" s="85" t="s">
        <v>86</v>
      </c>
      <c r="G19" s="73">
        <v>100752</v>
      </c>
    </row>
    <row r="20" spans="1:8" s="64" customFormat="1">
      <c r="A20" s="67" t="s">
        <v>62</v>
      </c>
      <c r="B20" s="68">
        <f t="shared" si="0"/>
        <v>48844.143144000001</v>
      </c>
      <c r="C20" s="68"/>
      <c r="D20" s="68">
        <v>0</v>
      </c>
      <c r="E20" s="89">
        <f t="shared" si="3"/>
        <v>0</v>
      </c>
      <c r="F20" s="85" t="s">
        <v>86</v>
      </c>
      <c r="G20" s="73">
        <v>214776</v>
      </c>
    </row>
    <row r="21" spans="1:8" s="64" customFormat="1">
      <c r="A21" s="67" t="s">
        <v>63</v>
      </c>
      <c r="B21" s="68">
        <f t="shared" si="0"/>
        <v>30489.383073000001</v>
      </c>
      <c r="C21" s="68"/>
      <c r="D21" s="68">
        <v>0</v>
      </c>
      <c r="E21" s="89"/>
      <c r="F21" s="85" t="s">
        <v>86</v>
      </c>
      <c r="G21" s="73">
        <v>134067</v>
      </c>
    </row>
    <row r="22" spans="1:8">
      <c r="A22" s="67" t="s">
        <v>64</v>
      </c>
      <c r="B22" s="68">
        <f t="shared" si="0"/>
        <v>33354.407635000003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146665</v>
      </c>
    </row>
    <row r="23" spans="1:8">
      <c r="A23" s="67" t="s">
        <v>65</v>
      </c>
      <c r="B23" s="68">
        <f t="shared" si="0"/>
        <v>127381.020604</v>
      </c>
      <c r="C23" s="68"/>
      <c r="D23" s="68">
        <v>0</v>
      </c>
      <c r="E23" s="89">
        <f t="shared" si="4"/>
        <v>0</v>
      </c>
      <c r="F23" s="85" t="s">
        <v>86</v>
      </c>
      <c r="G23" s="73">
        <v>560116</v>
      </c>
    </row>
    <row r="24" spans="1:8">
      <c r="A24" s="67" t="s">
        <v>66</v>
      </c>
      <c r="B24" s="68">
        <f t="shared" si="0"/>
        <v>0</v>
      </c>
      <c r="C24" s="68"/>
      <c r="D24" s="68">
        <v>0</v>
      </c>
      <c r="E24" s="89">
        <f t="shared" si="4"/>
        <v>0</v>
      </c>
      <c r="F24" s="85" t="s">
        <v>86</v>
      </c>
      <c r="G24" s="73">
        <v>0</v>
      </c>
    </row>
    <row r="25" spans="1:8">
      <c r="A25" s="67" t="s">
        <v>76</v>
      </c>
      <c r="B25" s="68">
        <f t="shared" si="0"/>
        <v>54555.998748000005</v>
      </c>
      <c r="C25" s="68"/>
      <c r="D25" s="68">
        <v>0</v>
      </c>
      <c r="E25" s="89">
        <f t="shared" si="4"/>
        <v>0</v>
      </c>
      <c r="F25" s="85" t="s">
        <v>86</v>
      </c>
      <c r="G25" s="73">
        <v>239892</v>
      </c>
    </row>
    <row r="26" spans="1:8">
      <c r="A26" s="67" t="s">
        <v>75</v>
      </c>
      <c r="B26" s="68">
        <f t="shared" si="0"/>
        <v>7504.1447430000007</v>
      </c>
      <c r="C26" s="68"/>
      <c r="D26" s="68">
        <v>0</v>
      </c>
      <c r="E26" s="89">
        <f t="shared" si="4"/>
        <v>0</v>
      </c>
      <c r="F26" s="85" t="s">
        <v>86</v>
      </c>
      <c r="G26" s="73">
        <v>32997</v>
      </c>
    </row>
    <row r="27" spans="1:8">
      <c r="A27" s="67" t="s">
        <v>74</v>
      </c>
      <c r="B27" s="68">
        <f t="shared" si="0"/>
        <v>0</v>
      </c>
      <c r="C27" s="68"/>
      <c r="D27" s="68">
        <v>0</v>
      </c>
      <c r="E27" s="89">
        <f t="shared" si="4"/>
        <v>0</v>
      </c>
      <c r="F27" s="85" t="s">
        <v>86</v>
      </c>
      <c r="G27" s="73">
        <v>0</v>
      </c>
    </row>
    <row r="28" spans="1:8">
      <c r="A28" s="67" t="s">
        <v>73</v>
      </c>
      <c r="B28" s="68">
        <f t="shared" si="0"/>
        <v>17198.561874999999</v>
      </c>
      <c r="C28" s="68"/>
      <c r="D28" s="68">
        <v>0</v>
      </c>
      <c r="E28" s="89">
        <f t="shared" si="4"/>
        <v>0</v>
      </c>
      <c r="F28" s="85" t="s">
        <v>86</v>
      </c>
      <c r="G28" s="73">
        <v>75625</v>
      </c>
    </row>
    <row r="29" spans="1:8">
      <c r="A29" s="67" t="s">
        <v>72</v>
      </c>
      <c r="B29" s="68">
        <f t="shared" si="0"/>
        <v>13893.708967</v>
      </c>
      <c r="C29" s="68"/>
      <c r="D29" s="68">
        <v>0</v>
      </c>
      <c r="E29" s="89">
        <f t="shared" si="4"/>
        <v>0</v>
      </c>
      <c r="F29" s="85" t="s">
        <v>86</v>
      </c>
      <c r="G29" s="73">
        <v>61093</v>
      </c>
    </row>
    <row r="30" spans="1:8">
      <c r="A30" s="67" t="s">
        <v>71</v>
      </c>
      <c r="B30" s="68">
        <f t="shared" si="0"/>
        <v>32632.579729000001</v>
      </c>
      <c r="C30" s="68"/>
      <c r="D30" s="68">
        <v>0</v>
      </c>
      <c r="E30" s="89">
        <f t="shared" si="4"/>
        <v>0</v>
      </c>
      <c r="F30" s="85" t="s">
        <v>86</v>
      </c>
      <c r="G30" s="73">
        <f>761595-618104</f>
        <v>143491</v>
      </c>
      <c r="H30">
        <v>618104</v>
      </c>
    </row>
    <row r="31" spans="1:8">
      <c r="A31" s="67" t="s">
        <v>70</v>
      </c>
      <c r="B31" s="68">
        <f t="shared" si="0"/>
        <v>52947.691579999999</v>
      </c>
      <c r="C31" s="68"/>
      <c r="D31" s="68">
        <v>0</v>
      </c>
      <c r="E31" s="89">
        <f t="shared" si="4"/>
        <v>0</v>
      </c>
      <c r="F31" s="85" t="s">
        <v>86</v>
      </c>
      <c r="G31" s="73">
        <v>232820</v>
      </c>
    </row>
    <row r="32" spans="1:8">
      <c r="A32" s="67" t="s">
        <v>69</v>
      </c>
      <c r="B32" s="68">
        <f t="shared" si="0"/>
        <v>986.99846000000002</v>
      </c>
      <c r="C32" s="68"/>
      <c r="D32" s="68">
        <v>0</v>
      </c>
      <c r="E32" s="89">
        <f t="shared" si="4"/>
        <v>0</v>
      </c>
      <c r="F32" s="85" t="s">
        <v>86</v>
      </c>
      <c r="G32" s="73">
        <v>4340</v>
      </c>
    </row>
    <row r="33" spans="1:8">
      <c r="A33" s="67" t="s">
        <v>67</v>
      </c>
      <c r="B33" s="68">
        <f t="shared" si="0"/>
        <v>55284.876643000003</v>
      </c>
      <c r="C33" s="68"/>
      <c r="D33" s="68">
        <v>0</v>
      </c>
      <c r="E33" s="89">
        <f t="shared" si="4"/>
        <v>0</v>
      </c>
      <c r="F33" s="85" t="s">
        <v>86</v>
      </c>
      <c r="G33" s="73">
        <f>645247-402150</f>
        <v>243097</v>
      </c>
      <c r="H33">
        <v>402150</v>
      </c>
    </row>
    <row r="34" spans="1:8" s="65" customFormat="1">
      <c r="A34" s="67" t="s">
        <v>81</v>
      </c>
      <c r="B34" s="68">
        <f t="shared" si="0"/>
        <v>1630.821649</v>
      </c>
      <c r="C34" s="68"/>
      <c r="D34" s="68">
        <v>0</v>
      </c>
      <c r="E34" s="89">
        <f t="shared" si="4"/>
        <v>0</v>
      </c>
      <c r="F34" s="85" t="s">
        <v>86</v>
      </c>
      <c r="G34" s="73">
        <v>7171</v>
      </c>
    </row>
    <row r="35" spans="1:8" s="65" customFormat="1">
      <c r="A35" s="67" t="s">
        <v>77</v>
      </c>
      <c r="B35" s="68">
        <f t="shared" si="0"/>
        <v>222.643201</v>
      </c>
      <c r="C35" s="68"/>
      <c r="D35" s="68">
        <v>0</v>
      </c>
      <c r="E35" s="89">
        <f t="shared" si="4"/>
        <v>0</v>
      </c>
      <c r="F35" s="85" t="s">
        <v>88</v>
      </c>
      <c r="G35" s="73">
        <v>979</v>
      </c>
    </row>
    <row r="36" spans="1:8" s="65" customFormat="1">
      <c r="A36" s="67" t="s">
        <v>78</v>
      </c>
      <c r="B36" s="68">
        <f t="shared" si="0"/>
        <v>56548.871445000004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248655</v>
      </c>
    </row>
    <row r="37" spans="1:8" s="65" customFormat="1">
      <c r="A37" s="67" t="s">
        <v>79</v>
      </c>
      <c r="B37" s="68">
        <f t="shared" si="0"/>
        <v>10411.469239</v>
      </c>
      <c r="C37" s="68"/>
      <c r="D37" s="68">
        <v>0</v>
      </c>
      <c r="E37" s="89">
        <f t="shared" si="5"/>
        <v>0</v>
      </c>
      <c r="F37" s="85" t="s">
        <v>86</v>
      </c>
      <c r="G37" s="73">
        <v>45781</v>
      </c>
    </row>
    <row r="38" spans="1:8" s="69" customFormat="1">
      <c r="A38" s="67" t="s">
        <v>80</v>
      </c>
      <c r="B38" s="68">
        <f t="shared" si="0"/>
        <v>10391.456367000001</v>
      </c>
      <c r="C38" s="68"/>
      <c r="D38" s="68">
        <v>0</v>
      </c>
      <c r="E38" s="89">
        <f t="shared" si="5"/>
        <v>0</v>
      </c>
      <c r="F38" s="85" t="s">
        <v>86</v>
      </c>
      <c r="G38" s="73">
        <v>45693</v>
      </c>
    </row>
    <row r="39" spans="1:8" s="65" customFormat="1">
      <c r="A39" s="67" t="s">
        <v>49</v>
      </c>
      <c r="B39" s="68">
        <f t="shared" si="0"/>
        <v>26554.124697000003</v>
      </c>
      <c r="C39" s="68"/>
      <c r="D39" s="68">
        <v>0</v>
      </c>
      <c r="E39" s="89">
        <f t="shared" si="5"/>
        <v>0</v>
      </c>
      <c r="F39" s="85" t="s">
        <v>86</v>
      </c>
      <c r="G39" s="73">
        <v>116763</v>
      </c>
    </row>
    <row r="40" spans="1:8" s="65" customFormat="1">
      <c r="A40" s="67" t="s">
        <v>51</v>
      </c>
      <c r="B40" s="68">
        <f t="shared" si="0"/>
        <v>0</v>
      </c>
      <c r="C40" s="68"/>
      <c r="D40" s="68">
        <v>0</v>
      </c>
      <c r="E40" s="89">
        <f t="shared" si="5"/>
        <v>0</v>
      </c>
      <c r="F40" s="85" t="s">
        <v>87</v>
      </c>
      <c r="G40" s="73">
        <v>0</v>
      </c>
    </row>
    <row r="41" spans="1:8" s="65" customFormat="1" ht="15.75" thickBot="1">
      <c r="A41" s="67" t="s">
        <v>52</v>
      </c>
      <c r="B41" s="68">
        <f t="shared" si="0"/>
        <v>2715.610279</v>
      </c>
      <c r="C41" s="68"/>
      <c r="D41" s="68">
        <v>0</v>
      </c>
      <c r="E41" s="89">
        <f t="shared" si="5"/>
        <v>0</v>
      </c>
      <c r="F41" s="85" t="s">
        <v>86</v>
      </c>
      <c r="G41" s="142">
        <v>11941</v>
      </c>
    </row>
    <row r="42" spans="1:8" ht="16.5" thickTop="1" thickBot="1">
      <c r="A42" s="84"/>
      <c r="B42" s="86">
        <f>SUM(B4:B41)</f>
        <v>3448690.1641142471</v>
      </c>
      <c r="C42" s="68"/>
      <c r="D42" s="84"/>
      <c r="E42" s="86">
        <f>SUM(E4:E41)</f>
        <v>2507712.8028616952</v>
      </c>
      <c r="F42" s="84"/>
      <c r="G42" s="143">
        <f>SUM(G4:G41)</f>
        <v>15164476.864792505</v>
      </c>
      <c r="H42" s="143">
        <f>SUM(H4:H41)</f>
        <v>1402394</v>
      </c>
    </row>
    <row r="43" spans="1:8">
      <c r="A43" s="84"/>
      <c r="B43" s="84"/>
      <c r="D43" s="84"/>
      <c r="E43" s="84"/>
      <c r="F43" s="84"/>
      <c r="G43" s="84"/>
    </row>
    <row r="44" spans="1:8">
      <c r="A44" s="84" t="s">
        <v>133</v>
      </c>
      <c r="B44" s="95">
        <v>0.22741900000000001</v>
      </c>
      <c r="D44" s="84"/>
      <c r="E44" s="84"/>
      <c r="F44" s="84"/>
      <c r="G44" s="84"/>
    </row>
    <row r="45" spans="1:8">
      <c r="F45" s="70"/>
      <c r="G45" s="70"/>
    </row>
    <row r="46" spans="1:8">
      <c r="G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0"/>
  <sheetViews>
    <sheetView topLeftCell="A2" workbookViewId="0">
      <selection activeCell="D35" sqref="D35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14" ht="19.5">
      <c r="A1" s="2" t="s">
        <v>30</v>
      </c>
      <c r="B1" s="74">
        <f>+'Summary 2016'!D4</f>
        <v>2016</v>
      </c>
      <c r="C1" s="88"/>
      <c r="D1" s="151" t="s">
        <v>138</v>
      </c>
      <c r="E1" s="88"/>
      <c r="F1" s="88"/>
      <c r="G1" s="88"/>
      <c r="H1" s="152">
        <f>K1*K2</f>
        <v>963.41893999999991</v>
      </c>
      <c r="I1" s="88" t="s">
        <v>5</v>
      </c>
      <c r="J1" s="88"/>
      <c r="K1" s="88">
        <v>0.437</v>
      </c>
      <c r="L1" s="63" t="s">
        <v>139</v>
      </c>
      <c r="M1" s="88"/>
      <c r="N1" s="88"/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2016'!D4</f>
        <v>2016</v>
      </c>
      <c r="H2" s="27"/>
      <c r="K2" s="88">
        <v>2204.62</v>
      </c>
      <c r="L2" s="63" t="s">
        <v>140</v>
      </c>
    </row>
    <row r="3" spans="1:14" ht="19.5">
      <c r="A3" s="90" t="s">
        <v>0</v>
      </c>
      <c r="B3" s="91">
        <f>+'Summary 2016'!D4</f>
        <v>2016</v>
      </c>
      <c r="C3" s="91" t="s">
        <v>95</v>
      </c>
      <c r="D3" s="91" t="s">
        <v>96</v>
      </c>
      <c r="E3" s="92"/>
      <c r="F3" s="93"/>
      <c r="H3" s="150"/>
      <c r="I3" s="146"/>
    </row>
    <row r="4" spans="1:14">
      <c r="A4" s="67" t="s">
        <v>92</v>
      </c>
      <c r="B4" s="75">
        <f>F4*$B$36</f>
        <v>2159.5708239999999</v>
      </c>
      <c r="C4" s="128">
        <f>IF(B4&lt;&gt;0,$H$1,0)</f>
        <v>963.41893999999991</v>
      </c>
      <c r="D4" s="94">
        <f>(+B4*C4)/2000</f>
        <v>1040.2857170565032</v>
      </c>
      <c r="E4" s="93"/>
      <c r="F4" s="68">
        <v>9496</v>
      </c>
    </row>
    <row r="5" spans="1:14">
      <c r="A5" s="67" t="s">
        <v>90</v>
      </c>
      <c r="B5" s="75">
        <f t="shared" ref="B5:B14" si="0">F5*$B$36</f>
        <v>1441.83646</v>
      </c>
      <c r="C5" s="128">
        <f t="shared" ref="C5:C33" si="1">IF(B5&lt;&gt;0,$H$1,0)</f>
        <v>963.41893999999991</v>
      </c>
      <c r="D5" s="94">
        <f t="shared" ref="D5:D33" si="2">(+B5*C5)/2000</f>
        <v>694.54627697327612</v>
      </c>
      <c r="E5" s="93"/>
      <c r="F5" s="68">
        <v>6340</v>
      </c>
    </row>
    <row r="6" spans="1:14">
      <c r="A6" s="67" t="s">
        <v>91</v>
      </c>
      <c r="B6" s="75">
        <f t="shared" si="0"/>
        <v>1238448.4847932435</v>
      </c>
      <c r="C6" s="128">
        <f t="shared" si="1"/>
        <v>963.41893999999991</v>
      </c>
      <c r="D6" s="94">
        <f t="shared" si="2"/>
        <v>596572.36323205626</v>
      </c>
      <c r="E6" s="93"/>
      <c r="F6" s="68">
        <v>5445668.5008431282</v>
      </c>
    </row>
    <row r="7" spans="1:14" s="88" customFormat="1">
      <c r="A7" s="67" t="s">
        <v>129</v>
      </c>
      <c r="B7" s="75">
        <f t="shared" si="0"/>
        <v>0</v>
      </c>
      <c r="C7" s="128">
        <f t="shared" ref="C7" si="3">IF(B7&lt;&gt;0,$H$1,0)</f>
        <v>0</v>
      </c>
      <c r="D7" s="94">
        <f t="shared" ref="D7" si="4">(+B7*C7)/2000</f>
        <v>0</v>
      </c>
      <c r="E7" s="93"/>
      <c r="F7" s="68">
        <v>0</v>
      </c>
      <c r="H7" s="146"/>
    </row>
    <row r="8" spans="1:14">
      <c r="A8" s="67" t="s">
        <v>93</v>
      </c>
      <c r="B8" s="75">
        <f t="shared" si="0"/>
        <v>13924.865370000001</v>
      </c>
      <c r="C8" s="128">
        <f t="shared" si="1"/>
        <v>963.41893999999991</v>
      </c>
      <c r="D8" s="94">
        <f t="shared" si="2"/>
        <v>6707.7395172040533</v>
      </c>
      <c r="E8" s="93"/>
      <c r="F8" s="68">
        <v>61230</v>
      </c>
    </row>
    <row r="9" spans="1:14">
      <c r="A9" s="67" t="s">
        <v>134</v>
      </c>
      <c r="B9" s="75">
        <f t="shared" si="0"/>
        <v>-6485.4261082989924</v>
      </c>
      <c r="C9" s="128">
        <f t="shared" si="1"/>
        <v>963.41893999999991</v>
      </c>
      <c r="D9" s="94">
        <f t="shared" si="2"/>
        <v>-3124.0911733528701</v>
      </c>
      <c r="E9" s="93"/>
      <c r="F9" s="68">
        <v>-28517.520999999964</v>
      </c>
    </row>
    <row r="10" spans="1:14">
      <c r="A10" s="67" t="s">
        <v>50</v>
      </c>
      <c r="B10" s="75">
        <f t="shared" si="0"/>
        <v>14187.306896</v>
      </c>
      <c r="C10" s="128">
        <f t="shared" ref="C10" si="5">IF(B10&lt;&gt;0,$H$1,0)</f>
        <v>963.41893999999991</v>
      </c>
      <c r="D10" s="94">
        <f t="shared" ref="D10" si="6">(+B10*C10)/2000</f>
        <v>6834.1600855995048</v>
      </c>
      <c r="E10" s="93"/>
      <c r="F10" s="68">
        <v>62384</v>
      </c>
    </row>
    <row r="11" spans="1:14">
      <c r="A11" s="67" t="s">
        <v>48</v>
      </c>
      <c r="B11" s="75">
        <f t="shared" si="0"/>
        <v>-599041.17999782669</v>
      </c>
      <c r="C11" s="128">
        <f>IF(B11&lt;&gt;0,$H$1,0)</f>
        <v>963.41893999999991</v>
      </c>
      <c r="D11" s="94">
        <f>(+B11*C11)/2000</f>
        <v>-288563.80932492769</v>
      </c>
      <c r="E11" s="93"/>
      <c r="F11" s="68">
        <v>-2634085.8943088599</v>
      </c>
    </row>
    <row r="12" spans="1:14">
      <c r="A12" s="67" t="s">
        <v>89</v>
      </c>
      <c r="B12" s="75">
        <f t="shared" si="0"/>
        <v>0</v>
      </c>
      <c r="C12" s="128">
        <f t="shared" si="1"/>
        <v>0</v>
      </c>
      <c r="D12" s="94">
        <f t="shared" si="2"/>
        <v>0</v>
      </c>
      <c r="E12" s="93"/>
      <c r="F12" s="68">
        <v>0</v>
      </c>
    </row>
    <row r="13" spans="1:14" s="88" customFormat="1">
      <c r="A13" s="67" t="s">
        <v>136</v>
      </c>
      <c r="B13" s="75">
        <f>F13*$B$36</f>
        <v>189342.69166800001</v>
      </c>
      <c r="C13" s="128">
        <f t="shared" ref="C13" si="7">IF(B13&lt;&gt;0,$H$1,0)</f>
        <v>963.41893999999991</v>
      </c>
      <c r="D13" s="94">
        <f t="shared" ref="D13" si="8">(+B13*C13)/2000</f>
        <v>91208.167651765689</v>
      </c>
      <c r="E13" s="93"/>
      <c r="F13" s="68">
        <v>832572</v>
      </c>
    </row>
    <row r="14" spans="1:14">
      <c r="A14" s="67" t="s">
        <v>94</v>
      </c>
      <c r="B14" s="75">
        <f t="shared" si="0"/>
        <v>-6058.6566161170012</v>
      </c>
      <c r="C14" s="128">
        <f t="shared" si="1"/>
        <v>963.41893999999991</v>
      </c>
      <c r="D14" s="94">
        <f t="shared" si="2"/>
        <v>-2918.5122674617137</v>
      </c>
      <c r="E14" s="93"/>
      <c r="F14" s="68">
        <v>-26640.943000000003</v>
      </c>
    </row>
    <row r="15" spans="1:14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4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4"/>
    </row>
    <row r="34" spans="1:7" ht="16.5" thickTop="1" thickBot="1">
      <c r="A34" s="66"/>
      <c r="B34" s="81">
        <f>SUM(B4:B33)</f>
        <v>847919.4932890007</v>
      </c>
      <c r="C34" s="82"/>
      <c r="D34" s="83">
        <f>SUM(D4:D33)</f>
        <v>408450.849714913</v>
      </c>
      <c r="F34" s="145">
        <f>SUM(F4:F15)</f>
        <v>3728446.1425342686</v>
      </c>
      <c r="G34" s="5"/>
    </row>
    <row r="36" spans="1:7">
      <c r="A36" s="69" t="s">
        <v>133</v>
      </c>
      <c r="B36" s="95">
        <f>'Known Resources'!B44</f>
        <v>0.22741900000000001</v>
      </c>
    </row>
    <row r="38" spans="1:7">
      <c r="B38" s="148">
        <f>B34/'Summary 2016'!E15</f>
        <v>0.19131446720382714</v>
      </c>
    </row>
    <row r="40" spans="1:7">
      <c r="A40" t="s">
        <v>135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97</v>
      </c>
    </row>
    <row r="3" spans="2:13">
      <c r="B3" s="97" t="s">
        <v>120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98</v>
      </c>
      <c r="C4" s="99">
        <v>249411.34980000003</v>
      </c>
      <c r="D4" s="99">
        <v>588540.53559999994</v>
      </c>
      <c r="E4" s="99">
        <v>652575.45380000002</v>
      </c>
      <c r="F4" s="110" t="s">
        <v>121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121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121</v>
      </c>
      <c r="M6" s="87"/>
    </row>
    <row r="7" spans="2:13">
      <c r="B7" s="88" t="s">
        <v>99</v>
      </c>
      <c r="C7" s="99">
        <v>1165015.3759999999</v>
      </c>
      <c r="D7" s="99">
        <v>1049272.4750000001</v>
      </c>
      <c r="E7" s="99">
        <v>1081686.5190000001</v>
      </c>
      <c r="F7" s="110" t="s">
        <v>121</v>
      </c>
      <c r="M7" s="87"/>
    </row>
    <row r="8" spans="2:13">
      <c r="B8" s="88" t="s">
        <v>100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119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98</v>
      </c>
      <c r="C11" s="105">
        <v>222792</v>
      </c>
      <c r="D11" s="105">
        <v>540252</v>
      </c>
      <c r="E11" s="105">
        <v>615241</v>
      </c>
      <c r="F11" s="110" t="s">
        <v>127</v>
      </c>
      <c r="J11" s="88"/>
    </row>
    <row r="12" spans="2:13">
      <c r="B12" s="88" t="s">
        <v>101</v>
      </c>
      <c r="C12" s="106">
        <v>9936388</v>
      </c>
      <c r="D12" s="106">
        <v>9364549</v>
      </c>
      <c r="E12" s="106">
        <v>9195773</v>
      </c>
      <c r="F12" s="110" t="s">
        <v>122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122</v>
      </c>
      <c r="J13" s="88"/>
    </row>
    <row r="14" spans="2:13" hidden="1">
      <c r="B14" s="88" t="s">
        <v>102</v>
      </c>
      <c r="C14" s="106">
        <v>1293909</v>
      </c>
      <c r="D14" s="106">
        <v>1164903</v>
      </c>
      <c r="E14" s="106">
        <v>1202753</v>
      </c>
      <c r="F14" s="110" t="s">
        <v>103</v>
      </c>
      <c r="J14" s="88"/>
    </row>
    <row r="15" spans="2:13" hidden="1">
      <c r="B15" s="88" t="s">
        <v>104</v>
      </c>
      <c r="C15" s="106">
        <v>1293909</v>
      </c>
      <c r="D15" s="106">
        <v>1164903</v>
      </c>
      <c r="E15" s="106">
        <v>1202753</v>
      </c>
      <c r="F15" s="110" t="s">
        <v>103</v>
      </c>
      <c r="J15" s="88"/>
    </row>
    <row r="16" spans="2:13">
      <c r="B16" s="88" t="s">
        <v>99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124</v>
      </c>
      <c r="J16" s="88"/>
    </row>
    <row r="17" spans="2:10">
      <c r="B17" s="88" t="s">
        <v>100</v>
      </c>
      <c r="C17" s="106">
        <v>6124</v>
      </c>
      <c r="D17" s="106"/>
      <c r="E17" s="106"/>
      <c r="F17" s="110" t="s">
        <v>123</v>
      </c>
      <c r="J17" s="88"/>
    </row>
    <row r="18" spans="2:10">
      <c r="F18" s="110"/>
      <c r="J18" s="88"/>
    </row>
    <row r="19" spans="2:10" hidden="1">
      <c r="B19" s="88" t="s">
        <v>105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106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107</v>
      </c>
      <c r="F23" s="110"/>
      <c r="J23" s="88"/>
    </row>
    <row r="24" spans="2:10" hidden="1">
      <c r="B24" s="88" t="s">
        <v>108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109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110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111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98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99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100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116</v>
      </c>
      <c r="J43" s="88"/>
    </row>
    <row r="44" spans="2:10">
      <c r="B44" s="97" t="s">
        <v>118</v>
      </c>
      <c r="C44" s="98">
        <v>2013</v>
      </c>
      <c r="D44" s="98">
        <v>2014</v>
      </c>
      <c r="E44" s="98">
        <v>2015</v>
      </c>
      <c r="F44" s="88"/>
      <c r="G44" s="115" t="s">
        <v>112</v>
      </c>
      <c r="H44" s="116"/>
      <c r="I44"/>
      <c r="J44" s="87"/>
    </row>
    <row r="45" spans="2:10">
      <c r="B45" s="88" t="s">
        <v>117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114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100</v>
      </c>
      <c r="H47" s="122">
        <v>1.0923905</v>
      </c>
      <c r="I47" s="123" t="s">
        <v>126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128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113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125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115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F327B0-9556-4C12-A2B9-1131219CA779}"/>
</file>

<file path=customXml/itemProps2.xml><?xml version="1.0" encoding="utf-8"?>
<ds:datastoreItem xmlns:ds="http://schemas.openxmlformats.org/officeDocument/2006/customXml" ds:itemID="{F5087D88-1125-42AE-B47A-A7C5EE7A0BE0}"/>
</file>

<file path=customXml/itemProps3.xml><?xml version="1.0" encoding="utf-8"?>
<ds:datastoreItem xmlns:ds="http://schemas.openxmlformats.org/officeDocument/2006/customXml" ds:itemID="{88BD053E-72F1-4E3C-8BEC-4D738EC136A3}"/>
</file>

<file path=customXml/itemProps4.xml><?xml version="1.0" encoding="utf-8"?>
<ds:datastoreItem xmlns:ds="http://schemas.openxmlformats.org/officeDocument/2006/customXml" ds:itemID="{1ED8494D-F8F7-4726-8E53-4C9C6FCBD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