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90E4AB78-D21A-4136-8EFD-D5C6BAB46132}" xr6:coauthVersionLast="46" xr6:coauthVersionMax="46" xr10:uidLastSave="{00000000-0000-0000-0000-000000000000}"/>
  <bookViews>
    <workbookView xWindow="4785" yWindow="-16320" windowWidth="29040" windowHeight="16440" activeTab="5" xr2:uid="{00000000-000D-0000-FFFF-FFFF00000000}"/>
  </bookViews>
  <sheets>
    <sheet name="4 13 22 Forecast Usage by Sched" sheetId="13" r:id="rId1"/>
    <sheet name="Electric 2022 Rate Calc" sheetId="4" r:id="rId2"/>
    <sheet name="Prior Year Amortization" sheetId="14" r:id="rId3"/>
    <sheet name="Earnings Test and 3% Test" sheetId="6" r:id="rId4"/>
    <sheet name="Conversion Factor" sheetId="2" r:id="rId5"/>
    <sheet name="Bill Impact" sheetId="15" r:id="rId6"/>
  </sheets>
  <definedNames>
    <definedName name="_xlnm.Print_Area" localSheetId="4">'Conversion Factor'!$A$1:$F$116</definedName>
    <definedName name="_xlnm.Print_Area" localSheetId="3">'Earnings Test and 3% Test'!$A$1:$H$65</definedName>
    <definedName name="_xlnm.Print_Area" localSheetId="1">'Electric 2022 Rate Calc'!$A$1:$L$80</definedName>
    <definedName name="_xlnm.Print_Area" localSheetId="2">'Prior Year Amortization'!$A$1:$I$37</definedName>
    <definedName name="_xlnm.Print_Titles" localSheetId="3">'Earnings Test and 3% Test'!$1:$4</definedName>
    <definedName name="_xlnm.Print_Titles" localSheetId="1">'Electric 2022 Rate Calc'!$1:$3</definedName>
    <definedName name="Z_5C6B1FA1_B621_4699_B8F7_5011E8FF1BCD_.wvu.PrintArea" localSheetId="4" hidden="1">'Conversion Factor'!$A$1:$F$116</definedName>
    <definedName name="Z_5C6B1FA1_B621_4699_B8F7_5011E8FF1BCD_.wvu.PrintArea" localSheetId="3" hidden="1">'Earnings Test and 3% Test'!$B$1:$H$64</definedName>
    <definedName name="Z_5C6B1FA1_B621_4699_B8F7_5011E8FF1BCD_.wvu.PrintArea" localSheetId="1" hidden="1">'Electric 2022 Rate Calc'!$B$1:$K$68</definedName>
    <definedName name="Z_5C6B1FA1_B621_4699_B8F7_5011E8FF1BCD_.wvu.PrintTitles" localSheetId="3" hidden="1">'Earnings Test and 3% Test'!$1:$4</definedName>
    <definedName name="Z_5C6B1FA1_B621_4699_B8F7_5011E8FF1BCD_.wvu.PrintTitles" localSheetId="1" hidden="1">'Electric 2022 Rate Calc'!$1:$3</definedName>
    <definedName name="Z_5C6B1FA1_B621_4699_B8F7_5011E8FF1BCD_.wvu.Rows" localSheetId="4" hidden="1">'Conversion Factor'!$1:$88</definedName>
    <definedName name="Z_6A207E9B_31ED_4215_AD4F_ABB2957B65E4_.wvu.PrintArea" localSheetId="4" hidden="1">'Conversion Factor'!$A$1:$F$116</definedName>
    <definedName name="Z_6A207E9B_31ED_4215_AD4F_ABB2957B65E4_.wvu.PrintArea" localSheetId="3" hidden="1">'Earnings Test and 3% Test'!$J$6:$T$47</definedName>
    <definedName name="Z_6A207E9B_31ED_4215_AD4F_ABB2957B65E4_.wvu.PrintArea" localSheetId="1" hidden="1">'Electric 2022 Rate Calc'!$B$1:$K$68</definedName>
    <definedName name="Z_6A207E9B_31ED_4215_AD4F_ABB2957B65E4_.wvu.PrintTitles" localSheetId="3" hidden="1">'Earnings Test and 3% Test'!$1:$4</definedName>
    <definedName name="Z_6A207E9B_31ED_4215_AD4F_ABB2957B65E4_.wvu.PrintTitles" localSheetId="1" hidden="1">'Electric 2022 Rate Calc'!$1:$3</definedName>
    <definedName name="Z_6A207E9B_31ED_4215_AD4F_ABB2957B65E4_.wvu.Rows" localSheetId="4" hidden="1">'Conversion Factor'!$1:$88</definedName>
  </definedNames>
  <calcPr calcId="191029"/>
  <customWorkbookViews>
    <customWorkbookView name="Provision Analysis" guid="{6A207E9B-31ED-4215-AD4F-ABB2957B65E4}" maximized="1" xWindow="-9" yWindow="-9" windowWidth="1938" windowHeight="1050" activeSheetId="6"/>
    <customWorkbookView name="Earnings Test" guid="{5C6B1FA1-B621-4699-B8F7-5011E8FF1BCD}" maximized="1" xWindow="-9" yWindow="-9" windowWidth="1938" windowHeight="105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15" l="1"/>
  <c r="J33" i="15"/>
  <c r="J27" i="4" l="1"/>
  <c r="K22" i="4"/>
  <c r="I73" i="4"/>
  <c r="C75" i="4"/>
  <c r="D13" i="6"/>
  <c r="C73" i="4" l="1"/>
  <c r="D30" i="6" l="1"/>
  <c r="E22" i="4"/>
  <c r="L25" i="15" l="1"/>
  <c r="J30" i="15"/>
  <c r="J31" i="15"/>
  <c r="H18" i="14" l="1"/>
  <c r="H19" i="14"/>
  <c r="H20" i="14"/>
  <c r="H35" i="14"/>
  <c r="H36" i="14"/>
  <c r="H37" i="14"/>
  <c r="N5" i="13" l="1"/>
  <c r="E17" i="15" l="1"/>
  <c r="E15" i="15"/>
  <c r="E13" i="15"/>
  <c r="E11" i="15"/>
  <c r="D28" i="6" l="1"/>
  <c r="D26" i="6"/>
  <c r="C26" i="14" l="1"/>
  <c r="C9" i="14"/>
  <c r="E26" i="6" l="1"/>
  <c r="E39" i="6" l="1"/>
  <c r="M5" i="13" l="1"/>
  <c r="E106" i="2" l="1"/>
  <c r="D17" i="15" l="1"/>
  <c r="D15" i="15"/>
  <c r="D13" i="15"/>
  <c r="D11" i="15"/>
  <c r="F57" i="4" l="1"/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B26" i="14" l="1"/>
  <c r="G28" i="14"/>
  <c r="G31" i="14"/>
  <c r="G26" i="14"/>
  <c r="B10" i="14" l="1"/>
  <c r="B27" i="14" s="1"/>
  <c r="L52" i="4"/>
  <c r="L55" i="4"/>
  <c r="L49" i="4"/>
  <c r="F50" i="4"/>
  <c r="L50" i="4" s="1"/>
  <c r="B50" i="4"/>
  <c r="B51" i="4" s="1"/>
  <c r="B52" i="4" s="1"/>
  <c r="B53" i="4" s="1"/>
  <c r="B54" i="4" s="1"/>
  <c r="B55" i="4" s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57" i="4" l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F51" i="4"/>
  <c r="B11" i="14"/>
  <c r="J29" i="15"/>
  <c r="J28" i="15"/>
  <c r="D25" i="15"/>
  <c r="L23" i="15"/>
  <c r="D23" i="15"/>
  <c r="F17" i="15"/>
  <c r="F15" i="15"/>
  <c r="F13" i="15"/>
  <c r="F11" i="15"/>
  <c r="J32" i="15" l="1"/>
  <c r="F53" i="4"/>
  <c r="L51" i="4"/>
  <c r="B12" i="14"/>
  <c r="B28" i="14"/>
  <c r="F23" i="15"/>
  <c r="F25" i="15"/>
  <c r="F54" i="4" l="1"/>
  <c r="L53" i="4"/>
  <c r="B13" i="14"/>
  <c r="B29" i="14"/>
  <c r="L54" i="4" l="1"/>
  <c r="B14" i="14"/>
  <c r="B30" i="14"/>
  <c r="D26" i="14"/>
  <c r="F26" i="14" s="1"/>
  <c r="C27" i="14" s="1"/>
  <c r="B15" i="14" l="1"/>
  <c r="B31" i="14"/>
  <c r="B16" i="14" l="1"/>
  <c r="B32" i="14"/>
  <c r="B17" i="14" l="1"/>
  <c r="B18" i="14" s="1"/>
  <c r="B33" i="14"/>
  <c r="B35" i="14" l="1"/>
  <c r="B19" i="14"/>
  <c r="F58" i="4"/>
  <c r="L57" i="4"/>
  <c r="B34" i="14"/>
  <c r="B36" i="14" l="1"/>
  <c r="B20" i="14"/>
  <c r="B37" i="14" s="1"/>
  <c r="F59" i="4"/>
  <c r="L58" i="4"/>
  <c r="F60" i="4" l="1"/>
  <c r="L59" i="4"/>
  <c r="G15" i="14"/>
  <c r="G12" i="14"/>
  <c r="G10" i="14"/>
  <c r="F61" i="4" l="1"/>
  <c r="L60" i="4"/>
  <c r="G13" i="14"/>
  <c r="G30" i="14" s="1"/>
  <c r="G29" i="14"/>
  <c r="G27" i="14"/>
  <c r="D27" i="14" s="1"/>
  <c r="G16" i="14"/>
  <c r="G32" i="14"/>
  <c r="H56" i="4"/>
  <c r="H50" i="4"/>
  <c r="H51" i="4"/>
  <c r="H52" i="4"/>
  <c r="H53" i="4"/>
  <c r="H54" i="4"/>
  <c r="H55" i="4"/>
  <c r="H57" i="4"/>
  <c r="H58" i="4"/>
  <c r="H59" i="4"/>
  <c r="H60" i="4"/>
  <c r="H61" i="4"/>
  <c r="H62" i="4"/>
  <c r="H63" i="4"/>
  <c r="H64" i="4"/>
  <c r="H65" i="4"/>
  <c r="H66" i="4"/>
  <c r="H67" i="4"/>
  <c r="H68" i="4"/>
  <c r="H49" i="4"/>
  <c r="H46" i="4"/>
  <c r="H43" i="4"/>
  <c r="D39" i="6"/>
  <c r="F27" i="14" l="1"/>
  <c r="C28" i="14" s="1"/>
  <c r="D28" i="14" s="1"/>
  <c r="F28" i="14" s="1"/>
  <c r="C29" i="14" s="1"/>
  <c r="D29" i="14" s="1"/>
  <c r="F29" i="14" s="1"/>
  <c r="C30" i="14" s="1"/>
  <c r="D30" i="14" s="1"/>
  <c r="F30" i="14" s="1"/>
  <c r="C31" i="14" s="1"/>
  <c r="D31" i="14" s="1"/>
  <c r="F31" i="14" s="1"/>
  <c r="C32" i="14" s="1"/>
  <c r="G33" i="14"/>
  <c r="G17" i="14"/>
  <c r="F62" i="4"/>
  <c r="L61" i="4"/>
  <c r="G34" i="14" l="1"/>
  <c r="G18" i="14"/>
  <c r="F63" i="4"/>
  <c r="L62" i="4"/>
  <c r="H3" i="4"/>
  <c r="H9" i="4"/>
  <c r="H10" i="4"/>
  <c r="H11" i="4"/>
  <c r="H12" i="4"/>
  <c r="H13" i="4"/>
  <c r="H14" i="4"/>
  <c r="H15" i="4"/>
  <c r="H16" i="4"/>
  <c r="H17" i="4"/>
  <c r="H18" i="4"/>
  <c r="H19" i="4"/>
  <c r="H20" i="4"/>
  <c r="H8" i="4"/>
  <c r="G35" i="14" l="1"/>
  <c r="G19" i="14"/>
  <c r="F64" i="4"/>
  <c r="L63" i="4"/>
  <c r="G41" i="6"/>
  <c r="G28" i="6"/>
  <c r="G36" i="14" l="1"/>
  <c r="G20" i="14"/>
  <c r="G37" i="14" s="1"/>
  <c r="F65" i="4"/>
  <c r="L64" i="4"/>
  <c r="D30" i="2"/>
  <c r="F66" i="4" l="1"/>
  <c r="L65" i="4"/>
  <c r="F67" i="4" l="1"/>
  <c r="L66" i="4"/>
  <c r="N19" i="13"/>
  <c r="M19" i="13"/>
  <c r="N18" i="13"/>
  <c r="M18" i="13"/>
  <c r="N17" i="13"/>
  <c r="M17" i="13"/>
  <c r="N16" i="13"/>
  <c r="M16" i="13"/>
  <c r="N15" i="13"/>
  <c r="M15" i="13"/>
  <c r="N14" i="13"/>
  <c r="M14" i="13"/>
  <c r="N13" i="13"/>
  <c r="M13" i="13"/>
  <c r="N12" i="13"/>
  <c r="M12" i="13"/>
  <c r="N11" i="13"/>
  <c r="M11" i="13"/>
  <c r="N10" i="13"/>
  <c r="M10" i="13"/>
  <c r="N9" i="13"/>
  <c r="M9" i="13"/>
  <c r="N8" i="13"/>
  <c r="M8" i="13"/>
  <c r="N7" i="13"/>
  <c r="M7" i="13"/>
  <c r="N6" i="13"/>
  <c r="M6" i="13"/>
  <c r="D32" i="14"/>
  <c r="F32" i="14" s="1"/>
  <c r="C33" i="14" s="1"/>
  <c r="D33" i="14" s="1"/>
  <c r="K14" i="4" l="1"/>
  <c r="E15" i="4"/>
  <c r="E19" i="4"/>
  <c r="K19" i="4"/>
  <c r="E18" i="4"/>
  <c r="E12" i="4"/>
  <c r="E16" i="4"/>
  <c r="E20" i="4"/>
  <c r="K18" i="4"/>
  <c r="K16" i="4"/>
  <c r="K20" i="4"/>
  <c r="K15" i="4"/>
  <c r="K12" i="4"/>
  <c r="E13" i="4"/>
  <c r="E17" i="4"/>
  <c r="E14" i="4"/>
  <c r="K13" i="4"/>
  <c r="K17" i="4"/>
  <c r="K10" i="4"/>
  <c r="E11" i="4"/>
  <c r="K11" i="4"/>
  <c r="K9" i="4"/>
  <c r="E10" i="4"/>
  <c r="E9" i="4"/>
  <c r="F33" i="14"/>
  <c r="C34" i="14" s="1"/>
  <c r="F68" i="4"/>
  <c r="L68" i="4" s="1"/>
  <c r="L67" i="4"/>
  <c r="J7" i="4" l="1"/>
  <c r="G30" i="6" l="1"/>
  <c r="H28" i="6" l="1"/>
  <c r="G35" i="6" s="1"/>
  <c r="H26" i="6"/>
  <c r="H30" i="6" l="1"/>
  <c r="G34" i="6"/>
  <c r="E28" i="6"/>
  <c r="E30" i="6" s="1"/>
  <c r="G36" i="6" l="1"/>
  <c r="D15" i="6" l="1"/>
  <c r="D17" i="6" s="1"/>
  <c r="D19" i="6" s="1"/>
  <c r="D21" i="6" s="1"/>
  <c r="G13" i="6"/>
  <c r="G15" i="6" s="1"/>
  <c r="G17" i="6" l="1"/>
  <c r="G19" i="6" s="1"/>
  <c r="H42" i="4" l="1"/>
  <c r="B42" i="4"/>
  <c r="D41" i="6"/>
  <c r="E41" i="6" l="1"/>
  <c r="G49" i="6" l="1"/>
  <c r="G59" i="6" l="1"/>
  <c r="E108" i="2" l="1"/>
  <c r="E114" i="2" s="1"/>
  <c r="D34" i="14" l="1"/>
  <c r="F34" i="14" s="1"/>
  <c r="C35" i="14" s="1"/>
  <c r="E19" i="14"/>
  <c r="E18" i="14"/>
  <c r="E36" i="14"/>
  <c r="E37" i="14"/>
  <c r="E20" i="14"/>
  <c r="E35" i="14"/>
  <c r="D27" i="4"/>
  <c r="E110" i="2"/>
  <c r="E112" i="2" s="1"/>
  <c r="D18" i="6" s="1"/>
  <c r="D35" i="14" l="1"/>
  <c r="F35" i="14" s="1"/>
  <c r="C36" i="14" s="1"/>
  <c r="D36" i="14" s="1"/>
  <c r="F36" i="14" s="1"/>
  <c r="C37" i="14" s="1"/>
  <c r="D37" i="14" s="1"/>
  <c r="F37" i="14" s="1"/>
  <c r="I56" i="4" s="1"/>
  <c r="I75" i="4" s="1"/>
  <c r="D34" i="6"/>
  <c r="E34" i="6" s="1"/>
  <c r="D35" i="6"/>
  <c r="E77" i="2"/>
  <c r="E79" i="2" s="1"/>
  <c r="E87" i="2" s="1"/>
  <c r="E35" i="6" l="1"/>
  <c r="I47" i="4" s="1"/>
  <c r="D36" i="6"/>
  <c r="E81" i="2"/>
  <c r="E83" i="2" s="1"/>
  <c r="I48" i="4" l="1"/>
  <c r="J49" i="4" s="1"/>
  <c r="I49" i="4" s="1"/>
  <c r="J50" i="4" s="1"/>
  <c r="I74" i="4"/>
  <c r="C47" i="4"/>
  <c r="E36" i="6"/>
  <c r="I50" i="4" l="1"/>
  <c r="J51" i="4" s="1"/>
  <c r="C48" i="4"/>
  <c r="D49" i="4" s="1"/>
  <c r="C74" i="4"/>
  <c r="I51" i="4" l="1"/>
  <c r="J52" i="4" s="1"/>
  <c r="C49" i="4"/>
  <c r="D50" i="4" s="1"/>
  <c r="I52" i="4" l="1"/>
  <c r="J53" i="4" s="1"/>
  <c r="C50" i="4"/>
  <c r="D51" i="4" s="1"/>
  <c r="I53" i="4" l="1"/>
  <c r="J54" i="4" s="1"/>
  <c r="C51" i="4"/>
  <c r="E49" i="2"/>
  <c r="E51" i="2" s="1"/>
  <c r="E59" i="2" s="1"/>
  <c r="D52" i="4" l="1"/>
  <c r="C52" i="4" s="1"/>
  <c r="I54" i="4"/>
  <c r="J55" i="4" s="1"/>
  <c r="E53" i="2"/>
  <c r="E55" i="2" s="1"/>
  <c r="D53" i="4" l="1"/>
  <c r="C53" i="4" s="1"/>
  <c r="I55" i="4"/>
  <c r="I8" i="4" s="1"/>
  <c r="I7" i="4" s="1"/>
  <c r="D54" i="4" l="1"/>
  <c r="C54" i="4" s="1"/>
  <c r="D55" i="4" l="1"/>
  <c r="C55" i="4" s="1"/>
  <c r="E18" i="2"/>
  <c r="E20" i="2" s="1"/>
  <c r="E28" i="2" s="1"/>
  <c r="E22" i="2" l="1"/>
  <c r="E24" i="2" s="1"/>
  <c r="J9" i="4" l="1"/>
  <c r="I9" i="4" s="1"/>
  <c r="J10" i="4" s="1"/>
  <c r="I10" i="4" s="1"/>
  <c r="J11" i="4" s="1"/>
  <c r="I11" i="4" s="1"/>
  <c r="J12" i="4" s="1"/>
  <c r="I12" i="4" s="1"/>
  <c r="J13" i="4" s="1"/>
  <c r="I13" i="4" s="1"/>
  <c r="J14" i="4" s="1"/>
  <c r="I14" i="4" s="1"/>
  <c r="J15" i="4" s="1"/>
  <c r="I15" i="4" s="1"/>
  <c r="J16" i="4" s="1"/>
  <c r="I16" i="4" s="1"/>
  <c r="J17" i="4" s="1"/>
  <c r="I17" i="4" s="1"/>
  <c r="J18" i="4" s="1"/>
  <c r="I18" i="4" s="1"/>
  <c r="J19" i="4" s="1"/>
  <c r="I19" i="4" s="1"/>
  <c r="J20" i="4" s="1"/>
  <c r="I20" i="4" s="1"/>
  <c r="J25" i="4"/>
  <c r="H35" i="4" s="1"/>
  <c r="J22" i="4" l="1"/>
  <c r="J24" i="4" s="1"/>
  <c r="J26" i="4" s="1"/>
  <c r="J28" i="4" s="1"/>
  <c r="E43" i="6" l="1"/>
  <c r="E47" i="6" s="1"/>
  <c r="E49" i="6" l="1"/>
  <c r="E51" i="6" s="1"/>
  <c r="E53" i="6" s="1"/>
  <c r="E55" i="6" s="1"/>
  <c r="J29" i="4" l="1"/>
  <c r="J30" i="4" s="1"/>
  <c r="E57" i="6"/>
  <c r="I79" i="4" l="1"/>
  <c r="J31" i="4"/>
  <c r="K64" i="4" s="1"/>
  <c r="E59" i="6"/>
  <c r="E61" i="6" s="1"/>
  <c r="I13" i="15"/>
  <c r="H13" i="15" s="1"/>
  <c r="K30" i="4"/>
  <c r="I15" i="15" l="1"/>
  <c r="J13" i="15"/>
  <c r="K66" i="4"/>
  <c r="K67" i="4"/>
  <c r="K65" i="4"/>
  <c r="K62" i="4"/>
  <c r="K59" i="4"/>
  <c r="K60" i="4"/>
  <c r="K63" i="4"/>
  <c r="K68" i="4"/>
  <c r="K57" i="4"/>
  <c r="J57" i="4" s="1"/>
  <c r="K58" i="4"/>
  <c r="K61" i="4"/>
  <c r="I57" i="4" l="1"/>
  <c r="J58" i="4" s="1"/>
  <c r="G13" i="15"/>
  <c r="I17" i="15"/>
  <c r="H17" i="15" s="1"/>
  <c r="H15" i="15"/>
  <c r="J15" i="15"/>
  <c r="K70" i="4"/>
  <c r="G15" i="15" l="1"/>
  <c r="M15" i="15" s="1"/>
  <c r="H25" i="15"/>
  <c r="J17" i="15"/>
  <c r="G17" i="15"/>
  <c r="M17" i="15" s="1"/>
  <c r="M13" i="15"/>
  <c r="I58" i="4"/>
  <c r="J59" i="4" s="1"/>
  <c r="G25" i="15" l="1"/>
  <c r="M25" i="15" s="1"/>
  <c r="I59" i="4"/>
  <c r="J60" i="4" s="1"/>
  <c r="I60" i="4" l="1"/>
  <c r="J61" i="4" s="1"/>
  <c r="I61" i="4" l="1"/>
  <c r="J62" i="4" s="1"/>
  <c r="I62" i="4" l="1"/>
  <c r="J63" i="4" s="1"/>
  <c r="I63" i="4" l="1"/>
  <c r="J64" i="4" s="1"/>
  <c r="I64" i="4" l="1"/>
  <c r="J65" i="4" s="1"/>
  <c r="I65" i="4" l="1"/>
  <c r="J66" i="4" s="1"/>
  <c r="I66" i="4" l="1"/>
  <c r="J67" i="4" s="1"/>
  <c r="I67" i="4" l="1"/>
  <c r="J68" i="4" s="1"/>
  <c r="J70" i="4" l="1"/>
  <c r="I76" i="4" s="1"/>
  <c r="I68" i="4"/>
  <c r="I77" i="4" s="1"/>
  <c r="I78" i="4" l="1"/>
  <c r="I80" i="4" s="1"/>
  <c r="J32" i="4"/>
  <c r="D9" i="14" l="1"/>
  <c r="F9" i="14" s="1"/>
  <c r="C10" i="14" s="1"/>
  <c r="D10" i="14" l="1"/>
  <c r="F10" i="14" s="1"/>
  <c r="C11" i="14" s="1"/>
  <c r="D11" i="14" l="1"/>
  <c r="F11" i="14" s="1"/>
  <c r="C12" i="14" s="1"/>
  <c r="D12" i="14" l="1"/>
  <c r="F12" i="14" s="1"/>
  <c r="C13" i="14" s="1"/>
  <c r="D13" i="14" l="1"/>
  <c r="F13" i="14" s="1"/>
  <c r="C14" i="14" s="1"/>
  <c r="D14" i="14" l="1"/>
  <c r="F14" i="14" s="1"/>
  <c r="C15" i="14" s="1"/>
  <c r="D15" i="14" l="1"/>
  <c r="F15" i="14" s="1"/>
  <c r="C16" i="14" s="1"/>
  <c r="D16" i="14" l="1"/>
  <c r="F16" i="14" s="1"/>
  <c r="C17" i="14" s="1"/>
  <c r="D17" i="14" l="1"/>
  <c r="F17" i="14" s="1"/>
  <c r="C18" i="14" s="1"/>
  <c r="D18" i="14" l="1"/>
  <c r="F18" i="14" s="1"/>
  <c r="C19" i="14" s="1"/>
  <c r="D19" i="14" l="1"/>
  <c r="F19" i="14" s="1"/>
  <c r="C20" i="14" s="1"/>
  <c r="D20" i="14" l="1"/>
  <c r="F20" i="14" s="1"/>
  <c r="C56" i="4" s="1"/>
  <c r="C8" i="4" s="1"/>
  <c r="C7" i="4" l="1"/>
  <c r="D25" i="4" s="1"/>
  <c r="B35" i="4" s="1"/>
  <c r="D9" i="4" l="1"/>
  <c r="C9" i="4"/>
  <c r="D10" i="4" l="1"/>
  <c r="C10" i="4" s="1"/>
  <c r="D11" i="4" l="1"/>
  <c r="C11" i="4" s="1"/>
  <c r="D12" i="4" l="1"/>
  <c r="C12" i="4" s="1"/>
  <c r="D13" i="4" l="1"/>
  <c r="C13" i="4" s="1"/>
  <c r="D14" i="4" l="1"/>
  <c r="C14" i="4" s="1"/>
  <c r="D15" i="4" l="1"/>
  <c r="C15" i="4" s="1"/>
  <c r="D16" i="4" l="1"/>
  <c r="C16" i="4" s="1"/>
  <c r="D17" i="4" l="1"/>
  <c r="C17" i="4" s="1"/>
  <c r="D18" i="4" l="1"/>
  <c r="C18" i="4" s="1"/>
  <c r="D19" i="4" l="1"/>
  <c r="C19" i="4" s="1"/>
  <c r="D20" i="4" l="1"/>
  <c r="D22" i="4" s="1"/>
  <c r="D24" i="4" s="1"/>
  <c r="D26" i="4" l="1"/>
  <c r="D28" i="4" s="1"/>
  <c r="D43" i="6" s="1"/>
  <c r="C20" i="4"/>
  <c r="D47" i="6" l="1"/>
  <c r="D49" i="6" l="1"/>
  <c r="D51" i="6" s="1"/>
  <c r="D53" i="6" s="1"/>
  <c r="D55" i="6" s="1"/>
  <c r="D29" i="4" s="1"/>
  <c r="D32" i="4" s="1"/>
  <c r="D57" i="6" l="1"/>
  <c r="D59" i="6" s="1"/>
  <c r="D61" i="6" s="1"/>
  <c r="D30" i="4"/>
  <c r="C79" i="4" l="1"/>
  <c r="D31" i="4"/>
  <c r="E68" i="4" s="1"/>
  <c r="E30" i="4"/>
  <c r="I11" i="15"/>
  <c r="H11" i="15" s="1"/>
  <c r="G11" i="15" s="1"/>
  <c r="M11" i="15" s="1"/>
  <c r="E66" i="4"/>
  <c r="E60" i="4"/>
  <c r="E61" i="4"/>
  <c r="E67" i="4"/>
  <c r="E65" i="4" l="1"/>
  <c r="E62" i="4"/>
  <c r="E57" i="4"/>
  <c r="D57" i="4" s="1"/>
  <c r="E63" i="4"/>
  <c r="E59" i="4"/>
  <c r="E58" i="4"/>
  <c r="E64" i="4"/>
  <c r="J11" i="15"/>
  <c r="J34" i="15" s="1"/>
  <c r="H23" i="15"/>
  <c r="E70" i="4" l="1"/>
  <c r="J35" i="15"/>
  <c r="C57" i="4"/>
  <c r="G23" i="15"/>
  <c r="M23" i="15" s="1"/>
  <c r="D58" i="4" l="1"/>
  <c r="C58" i="4" l="1"/>
  <c r="D59" i="4"/>
  <c r="C59" i="4" s="1"/>
  <c r="D60" i="4" l="1"/>
  <c r="C60" i="4" l="1"/>
  <c r="D61" i="4" l="1"/>
  <c r="C61" i="4" s="1"/>
  <c r="D62" i="4" l="1"/>
  <c r="C62" i="4" s="1"/>
  <c r="D63" i="4" l="1"/>
  <c r="C63" i="4" s="1"/>
  <c r="D64" i="4" l="1"/>
  <c r="C64" i="4" s="1"/>
  <c r="D65" i="4" l="1"/>
  <c r="C65" i="4" s="1"/>
  <c r="D66" i="4" l="1"/>
  <c r="C66" i="4" s="1"/>
  <c r="D67" i="4" l="1"/>
  <c r="C67" i="4" s="1"/>
  <c r="D68" i="4" l="1"/>
  <c r="D70" i="4" s="1"/>
  <c r="C76" i="4" s="1"/>
  <c r="C68" i="4" l="1"/>
  <c r="C77" i="4" s="1"/>
  <c r="C78" i="4" s="1"/>
  <c r="C8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3996FAE9-F28D-4619-89FE-247D6736A767}">
      <text>
        <r>
          <rPr>
            <sz val="9"/>
            <color indexed="81"/>
            <rFont val="Tahoma"/>
            <family val="2"/>
          </rPr>
          <t xml:space="preserve">
From Adj Summary Tab of current CBR model</t>
        </r>
      </text>
    </comment>
    <comment ref="D11" authorId="0" shapeId="0" xr:uid="{E39C3103-6D37-4215-9CD5-1FD8E09073D0}">
      <text>
        <r>
          <rPr>
            <sz val="9"/>
            <color indexed="81"/>
            <rFont val="Tahoma"/>
            <family val="2"/>
          </rPr>
          <t xml:space="preserve">
From Decoupling Earnings Test CBR WA Electric Model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forecast kWhs
</t>
        </r>
      </text>
    </comment>
    <comment ref="L8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
2021 normalized billing determinants at present billing rates effective 4/1/2022</t>
        </r>
      </text>
    </comment>
  </commentList>
</comments>
</file>

<file path=xl/sharedStrings.xml><?xml version="1.0" encoding="utf-8"?>
<sst xmlns="http://schemas.openxmlformats.org/spreadsheetml/2006/main" count="325" uniqueCount="198">
  <si>
    <t>Avista Utilities</t>
  </si>
  <si>
    <t>Calculation of Decoupling Mechanism Surcharge or Rebate Amortization Rates</t>
  </si>
  <si>
    <t>Date</t>
  </si>
  <si>
    <t>Interest</t>
  </si>
  <si>
    <t>Annual Total</t>
  </si>
  <si>
    <t>Unamortized Balance (1)</t>
  </si>
  <si>
    <t>Interest (2)</t>
  </si>
  <si>
    <t>Ending Balance</t>
  </si>
  <si>
    <t>Incremental Rate to Recover Estimated Interest</t>
  </si>
  <si>
    <t>Estimated Rate to Recover Deferral Balance</t>
  </si>
  <si>
    <t>Rate before Gross-up for Revenue-related items</t>
  </si>
  <si>
    <t>Times:  Gross-up for Revenue-related items (3)</t>
  </si>
  <si>
    <t>Amortization Rate</t>
  </si>
  <si>
    <t>AVISTA UTILITIES</t>
  </si>
  <si>
    <t>Revenue Conversion Factor</t>
  </si>
  <si>
    <t>Washington - Electric System</t>
  </si>
  <si>
    <t>Twelve Months Ended December 31, 2013</t>
  </si>
  <si>
    <t xml:space="preserve">Line </t>
  </si>
  <si>
    <t>No.</t>
  </si>
  <si>
    <t>Description</t>
  </si>
  <si>
    <t>Factor</t>
  </si>
  <si>
    <t>Revenues</t>
  </si>
  <si>
    <t>Expense:</t>
  </si>
  <si>
    <t xml:space="preserve">  Uncollectibles</t>
  </si>
  <si>
    <t xml:space="preserve">  Commission Fees</t>
  </si>
  <si>
    <t xml:space="preserve">  Washington Excise Tax</t>
  </si>
  <si>
    <t xml:space="preserve">    Total Expense</t>
  </si>
  <si>
    <t>Net Operating Income Before FIT</t>
  </si>
  <si>
    <t xml:space="preserve">  Federal Income Tax @ 35%</t>
  </si>
  <si>
    <t>REVENUE CONVERSION FACTOR</t>
  </si>
  <si>
    <t>UE-140188 Rates Effective 1/1/2015</t>
  </si>
  <si>
    <t>Settlement Basis Conversion Factor</t>
  </si>
  <si>
    <t>Twelve Months Ended June 30, 2013</t>
  </si>
  <si>
    <t xml:space="preserve">  Franchise Fees</t>
  </si>
  <si>
    <t>As Filed Conversion Factor</t>
  </si>
  <si>
    <t>Twelve Months Ended September 30, 2015</t>
  </si>
  <si>
    <t>UE-160228 current GRC</t>
  </si>
  <si>
    <t>Gross Up Factor</t>
  </si>
  <si>
    <t>Residential Electric</t>
  </si>
  <si>
    <t>Non-Residential Electric</t>
  </si>
  <si>
    <t>Decoupling Mechanism Earnings Test and 3% Test</t>
  </si>
  <si>
    <t>Electric</t>
  </si>
  <si>
    <t>Natural Gas</t>
  </si>
  <si>
    <t>Rate Base</t>
  </si>
  <si>
    <t>Net Income</t>
  </si>
  <si>
    <t xml:space="preserve">Calculated ROR </t>
  </si>
  <si>
    <t xml:space="preserve">Base ROR </t>
  </si>
  <si>
    <t>Excess ROR</t>
  </si>
  <si>
    <t>Excess Earnings</t>
  </si>
  <si>
    <t>Conversion Factor</t>
  </si>
  <si>
    <t>Excess Revenue (Excess Earnings/CF)</t>
  </si>
  <si>
    <t>Sharing %</t>
  </si>
  <si>
    <t>Residential Revenue</t>
  </si>
  <si>
    <t>Non-Residential Revenue</t>
  </si>
  <si>
    <t>Total Normalized Revenue</t>
  </si>
  <si>
    <t>Earnings Test Sharing Adjustment</t>
  </si>
  <si>
    <t>Total</t>
  </si>
  <si>
    <t xml:space="preserve">  Residential</t>
  </si>
  <si>
    <t>Proposed Decoupling Recovery Rates</t>
  </si>
  <si>
    <t>Incremental Decoupling Recovery Rates</t>
  </si>
  <si>
    <t>Incremental Decoupling Recovery</t>
  </si>
  <si>
    <t>3% Incremental Surcharge Test</t>
  </si>
  <si>
    <t>Incremental Surcharge %</t>
  </si>
  <si>
    <t>3% Test Rate Adjustment</t>
  </si>
  <si>
    <t>Adjusted Proposed Decoupling Recovery Rates</t>
  </si>
  <si>
    <t>Adjusted Incremental Decoupling Recovery</t>
  </si>
  <si>
    <t>Adjusted Incremental Surcharge %</t>
  </si>
  <si>
    <t>3% Test Rate Adjustment (4)</t>
  </si>
  <si>
    <t>Final Proposed Decoupling Rate</t>
  </si>
  <si>
    <t>Notes</t>
  </si>
  <si>
    <t>Amortization</t>
  </si>
  <si>
    <t>Adjusted for Revenue Related Expenses</t>
  </si>
  <si>
    <t>http://www.ferc.gov/enforcement/acct-matts/interest-rates.asp</t>
  </si>
  <si>
    <t>Estimated Carryover Balance due to 3% test (5)</t>
  </si>
  <si>
    <t>Preliminary Proposed Decoupling Rate</t>
  </si>
  <si>
    <t>Earnings Sharing Adjustment</t>
  </si>
  <si>
    <t>Adjusted December Balance</t>
  </si>
  <si>
    <t xml:space="preserve">  Non-Residential</t>
  </si>
  <si>
    <t>RES</t>
  </si>
  <si>
    <t>Non-RES</t>
  </si>
  <si>
    <t>Total Calendar Energy Usage by Rate Sched:</t>
  </si>
  <si>
    <t>Washington Electric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</si>
  <si>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</si>
  <si>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</si>
  <si>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</si>
  <si>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</si>
  <si>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</si>
  <si>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</si>
  <si>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</si>
  <si>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</si>
  <si>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</si>
  <si>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Line No.</t>
  </si>
  <si>
    <t xml:space="preserve">Total </t>
  </si>
  <si>
    <t>Less Earnings Sharing</t>
  </si>
  <si>
    <t>Customer Surcharge Revenue</t>
  </si>
  <si>
    <t>Carryover Deferred Revenue</t>
  </si>
  <si>
    <t>Summary</t>
  </si>
  <si>
    <t xml:space="preserve">Summary </t>
  </si>
  <si>
    <t>(1)</t>
  </si>
  <si>
    <t>(2)</t>
  </si>
  <si>
    <t>Interest computed on average balance between beginning and end of month at the present FERC rate.  The FERC interest rate is updated quarterly.</t>
  </si>
  <si>
    <t>(3)</t>
  </si>
  <si>
    <t>(4)</t>
  </si>
  <si>
    <t>(5)</t>
  </si>
  <si>
    <t>See page 2 of Attachment A for estimated carryover balance calculations.</t>
  </si>
  <si>
    <t>Forecast Usage</t>
  </si>
  <si>
    <t xml:space="preserve">     Total Requested Recovery</t>
  </si>
  <si>
    <t>Add Revenue Related Expense Adj.</t>
  </si>
  <si>
    <t>Net of Revenue Related Expenses</t>
  </si>
  <si>
    <t>Gross Revenue Adjustment</t>
  </si>
  <si>
    <t>Residential</t>
  </si>
  <si>
    <t>Non-Residential</t>
  </si>
  <si>
    <t>Decoupling Mechanism Prior Surcharge or Rebate Amortization</t>
  </si>
  <si>
    <t>Regulatory Asset Ending Balance</t>
  </si>
  <si>
    <t>Residential Electric Surcharge</t>
  </si>
  <si>
    <t>Regulatory Asset Beginning Balance</t>
  </si>
  <si>
    <t>Interest Rate</t>
  </si>
  <si>
    <t>See pages 6 and 7 of Attachment A for earnings test and 3% test adjustment calculations.</t>
  </si>
  <si>
    <t>See page 4 of Attachment A for estimated carryover balance calculations.</t>
  </si>
  <si>
    <t>Washington Jurisdiction</t>
  </si>
  <si>
    <t>Decoupling</t>
  </si>
  <si>
    <t>Present</t>
  </si>
  <si>
    <t xml:space="preserve">Present </t>
  </si>
  <si>
    <t xml:space="preserve">Proposed </t>
  </si>
  <si>
    <t>Proposed</t>
  </si>
  <si>
    <t xml:space="preserve">Incremental </t>
  </si>
  <si>
    <t>Type of</t>
  </si>
  <si>
    <t>Schedule</t>
  </si>
  <si>
    <t>Billing</t>
  </si>
  <si>
    <t>Rate</t>
  </si>
  <si>
    <t xml:space="preserve">Billing </t>
  </si>
  <si>
    <t>Service</t>
  </si>
  <si>
    <t>Number</t>
  </si>
  <si>
    <t>Determinants</t>
  </si>
  <si>
    <t>Revenue</t>
  </si>
  <si>
    <t>change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</si>
  <si>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</si>
  <si>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</si>
  <si>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</si>
  <si>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</si>
  <si>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</si>
  <si>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</si>
  <si>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</si>
  <si>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</si>
  <si>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</si>
  <si>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1/2</t>
  </si>
  <si>
    <t>General Service</t>
  </si>
  <si>
    <t>Large General Service</t>
  </si>
  <si>
    <t>Pumping Service</t>
  </si>
  <si>
    <t>30/31/32</t>
  </si>
  <si>
    <t>Extra Large General Service</t>
  </si>
  <si>
    <t>N/A</t>
  </si>
  <si>
    <t>ST &amp; Area Lighting</t>
  </si>
  <si>
    <t>41 - 48</t>
  </si>
  <si>
    <t>Non-Residential Group Sub-Totals</t>
  </si>
  <si>
    <t xml:space="preserve">Average Residential Bill </t>
  </si>
  <si>
    <t>Basic Charge</t>
  </si>
  <si>
    <t>First 800 kWhs</t>
  </si>
  <si>
    <t>Next 700 kWhs</t>
  </si>
  <si>
    <t>Over 1,500 kWhs</t>
  </si>
  <si>
    <t>Proposed rate change</t>
  </si>
  <si>
    <t>Residential Bill at Proposed rates</t>
  </si>
  <si>
    <t>Proposed Percent Decrease</t>
  </si>
  <si>
    <t>Non-Residential Electric Surcharge</t>
  </si>
  <si>
    <t>Incr./(Decr.)</t>
  </si>
  <si>
    <t xml:space="preserve">  Federal Income Tax @ 21%</t>
  </si>
  <si>
    <t>Electric Service</t>
  </si>
  <si>
    <t>May - July Forecast Usage</t>
  </si>
  <si>
    <t xml:space="preserve">Prior Year Carryover Balance </t>
  </si>
  <si>
    <t>Add Prior Year Carryover Balance</t>
  </si>
  <si>
    <t xml:space="preserve">Present Decoupling Surcharge Recovery Rates </t>
  </si>
  <si>
    <t>11/12/13</t>
  </si>
  <si>
    <t>21/22/23</t>
  </si>
  <si>
    <t>Effective August 1, 2021 - July 31, 2022</t>
  </si>
  <si>
    <t xml:space="preserve">     Total Requested Rebate</t>
  </si>
  <si>
    <t>Customer Rebate Revenue</t>
  </si>
  <si>
    <t>(2)  The carryover balances will differ from the 3% adjustment amounts due to the revenue related expense gross up partially offset by additional interest on the outstanding balance during the amortization period.</t>
  </si>
  <si>
    <t>Effective August 1, 2022 - July 31, 2023</t>
  </si>
  <si>
    <t>Calculate Estimated Monthly Balances through July 2023</t>
  </si>
  <si>
    <t>2021 Washington Electric Deferrals</t>
  </si>
  <si>
    <t>Residential Bill at 4/1/2022 rates</t>
  </si>
  <si>
    <t>TWELVE MONTHS ENDED December 31, 2021</t>
  </si>
  <si>
    <t>EREV April Mid-month_4 13 22 v2 Load Update</t>
  </si>
  <si>
    <t>Bill Determinant</t>
  </si>
  <si>
    <t>3% Test Adjustment (Note 2)</t>
  </si>
  <si>
    <t>2022 Decoupling Schedule 75 Filing</t>
  </si>
  <si>
    <t>2021 Deferred Revenue</t>
  </si>
  <si>
    <t>Add Interest through 7/31/2023</t>
  </si>
  <si>
    <t>2021 Commission Basis conversion factor, see page 8 of  Attachment A.</t>
  </si>
  <si>
    <t>Docket No. UE-200900</t>
  </si>
  <si>
    <t>2021 Commission Basis Earnings Test for Decoupling</t>
  </si>
  <si>
    <t>2021 Total Earnings Test Sharing</t>
  </si>
  <si>
    <t>Revenue From 2021 Normalized Loads and Customers at Present Billing Rates</t>
  </si>
  <si>
    <t>Revenue From 2021 Normalized Loads and Customers at Present Billing Rates (Note 1)</t>
  </si>
  <si>
    <t>August 2022 - July 2023 Usage (kWhs)</t>
  </si>
  <si>
    <t>(1)  Revenue from 2021 normalized loads and customers at present billing rates effective since November 1, 2021.</t>
  </si>
  <si>
    <t>2021 Commission Basis Conversion Factor</t>
  </si>
  <si>
    <t>KWhs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</si>
</sst>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000_);\(&quot;$&quot;#,##0.00000\)"/>
    <numFmt numFmtId="166" formatCode="0.000000"/>
    <numFmt numFmtId="167" formatCode="0.00000"/>
    <numFmt numFmtId="168" formatCode="_(* #,##0.000000_);_(* \(#,##0.000000\);_(* &quot;-&quot;??_);_(@_)"/>
    <numFmt numFmtId="169" formatCode="_(&quot;$&quot;* #,##0_);_(&quot;$&quot;* \(#,##0\);_(&quot;$&quot;* &quot;-&quot;??_);_(@_)"/>
    <numFmt numFmtId="170" formatCode="&quot;$&quot;#,##0.00000"/>
    <numFmt numFmtId="171" formatCode="mmm\ yy"/>
    <numFmt numFmtId="172" formatCode="_(&quot;$&quot;* #,##0.00000_);_(&quot;$&quot;* \(#,##0.00000\);_(&quot;$&quot;* &quot;-&quot;??_);_(@_)"/>
    <numFmt numFmtId="173" formatCode="0.0%"/>
    <numFmt numFmtId="174" formatCode="_(&quot;$&quot;* #,##0.000000_);_(&quot;$&quot;* \(#,##0.000000\);_(&quot;$&quot;* &quot;-&quot;??_);_(@_)"/>
    <numFmt numFmtId="175" formatCode="_(* #,##0.00000_);_(* \(#,##0.00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indexed="48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0000FF"/>
      <name val="Times New Roman"/>
      <family val="1"/>
    </font>
    <font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84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166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6" fontId="6" fillId="0" borderId="2" xfId="0" applyNumberFormat="1" applyFont="1" applyBorder="1"/>
    <xf numFmtId="166" fontId="6" fillId="0" borderId="0" xfId="0" applyNumberFormat="1" applyFont="1" applyBorder="1"/>
    <xf numFmtId="10" fontId="7" fillId="0" borderId="0" xfId="0" applyNumberFormat="1" applyFont="1"/>
    <xf numFmtId="166" fontId="6" fillId="0" borderId="1" xfId="0" applyNumberFormat="1" applyFont="1" applyBorder="1"/>
    <xf numFmtId="166" fontId="6" fillId="0" borderId="3" xfId="0" applyNumberFormat="1" applyFont="1" applyBorder="1"/>
    <xf numFmtId="0" fontId="1" fillId="0" borderId="0" xfId="3"/>
    <xf numFmtId="167" fontId="6" fillId="0" borderId="3" xfId="0" applyNumberFormat="1" applyFont="1" applyBorder="1"/>
    <xf numFmtId="166" fontId="3" fillId="2" borderId="4" xfId="0" applyNumberFormat="1" applyFont="1" applyFill="1" applyBorder="1"/>
    <xf numFmtId="166" fontId="6" fillId="3" borderId="3" xfId="0" applyNumberFormat="1" applyFont="1" applyFill="1" applyBorder="1"/>
    <xf numFmtId="166" fontId="6" fillId="0" borderId="5" xfId="0" applyNumberFormat="1" applyFont="1" applyBorder="1"/>
    <xf numFmtId="5" fontId="0" fillId="0" borderId="0" xfId="0" applyNumberFormat="1" applyBorder="1"/>
    <xf numFmtId="0" fontId="0" fillId="0" borderId="0" xfId="0" applyBorder="1"/>
    <xf numFmtId="165" fontId="0" fillId="0" borderId="0" xfId="0" applyNumberFormat="1" applyBorder="1"/>
    <xf numFmtId="168" fontId="0" fillId="0" borderId="0" xfId="1" applyNumberFormat="1" applyFont="1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0" fillId="0" borderId="0" xfId="0" applyNumberFormat="1" applyBorder="1" applyAlignment="1">
      <alignment wrapText="1"/>
    </xf>
    <xf numFmtId="10" fontId="0" fillId="0" borderId="0" xfId="2" applyNumberFormat="1" applyFont="1" applyBorder="1"/>
    <xf numFmtId="10" fontId="0" fillId="0" borderId="0" xfId="2" applyNumberFormat="1" applyFont="1"/>
    <xf numFmtId="10" fontId="0" fillId="0" borderId="0" xfId="0" applyNumberFormat="1"/>
    <xf numFmtId="169" fontId="0" fillId="0" borderId="0" xfId="0" applyNumberFormat="1"/>
    <xf numFmtId="166" fontId="10" fillId="0" borderId="0" xfId="2" applyNumberFormat="1" applyFont="1" applyBorder="1"/>
    <xf numFmtId="9" fontId="0" fillId="0" borderId="0" xfId="0" applyNumberFormat="1"/>
    <xf numFmtId="169" fontId="9" fillId="0" borderId="6" xfId="0" applyNumberFormat="1" applyFont="1" applyBorder="1"/>
    <xf numFmtId="169" fontId="0" fillId="0" borderId="7" xfId="0" applyNumberFormat="1" applyBorder="1"/>
    <xf numFmtId="0" fontId="0" fillId="0" borderId="0" xfId="0" applyAlignment="1">
      <alignment horizontal="center"/>
    </xf>
    <xf numFmtId="0" fontId="9" fillId="0" borderId="0" xfId="0" applyFont="1"/>
    <xf numFmtId="169" fontId="0" fillId="0" borderId="0" xfId="5" applyNumberFormat="1" applyFont="1"/>
    <xf numFmtId="164" fontId="0" fillId="0" borderId="0" xfId="1" applyNumberFormat="1" applyFont="1"/>
    <xf numFmtId="170" fontId="0" fillId="0" borderId="0" xfId="0" applyNumberFormat="1"/>
    <xf numFmtId="10" fontId="9" fillId="0" borderId="0" xfId="2" applyNumberFormat="1" applyFont="1"/>
    <xf numFmtId="169" fontId="9" fillId="0" borderId="0" xfId="0" applyNumberFormat="1" applyFont="1" applyBorder="1"/>
    <xf numFmtId="164" fontId="0" fillId="0" borderId="0" xfId="0" applyNumberFormat="1"/>
    <xf numFmtId="0" fontId="0" fillId="0" borderId="0" xfId="0" applyAlignment="1"/>
    <xf numFmtId="17" fontId="0" fillId="0" borderId="0" xfId="0" applyNumberFormat="1" applyBorder="1"/>
    <xf numFmtId="0" fontId="0" fillId="0" borderId="0" xfId="0" applyFill="1" applyBorder="1"/>
    <xf numFmtId="17" fontId="9" fillId="0" borderId="0" xfId="0" applyNumberFormat="1" applyFont="1" applyBorder="1"/>
    <xf numFmtId="5" fontId="9" fillId="0" borderId="0" xfId="0" applyNumberFormat="1" applyFont="1" applyBorder="1"/>
    <xf numFmtId="10" fontId="0" fillId="0" borderId="0" xfId="0" quotePrefix="1" applyNumberFormat="1" applyBorder="1" applyAlignment="1">
      <alignment horizontal="center" wrapText="1"/>
    </xf>
    <xf numFmtId="0" fontId="11" fillId="0" borderId="0" xfId="6" quotePrefix="1" applyBorder="1" applyAlignment="1">
      <alignment horizontal="left"/>
    </xf>
    <xf numFmtId="0" fontId="0" fillId="0" borderId="0" xfId="0" quotePrefix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/>
    </xf>
    <xf numFmtId="171" fontId="0" fillId="0" borderId="0" xfId="0" applyNumberFormat="1"/>
    <xf numFmtId="0" fontId="12" fillId="4" borderId="0" xfId="0" applyFont="1" applyFill="1"/>
    <xf numFmtId="169" fontId="0" fillId="0" borderId="0" xfId="5" applyNumberFormat="1" applyFont="1" applyFill="1"/>
    <xf numFmtId="0" fontId="0" fillId="0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0" xfId="0" applyFont="1" applyAlignment="1">
      <alignment readingOrder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164" fontId="0" fillId="0" borderId="0" xfId="1" applyNumberFormat="1" applyFont="1" applyFill="1"/>
    <xf numFmtId="167" fontId="0" fillId="0" borderId="0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vertical="top"/>
    </xf>
    <xf numFmtId="0" fontId="0" fillId="0" borderId="0" xfId="0" quotePrefix="1" applyBorder="1" applyAlignment="1">
      <alignment horizontal="left" wrapText="1"/>
    </xf>
    <xf numFmtId="5" fontId="0" fillId="0" borderId="0" xfId="0" applyNumberFormat="1"/>
    <xf numFmtId="5" fontId="0" fillId="0" borderId="7" xfId="0" applyNumberFormat="1" applyBorder="1"/>
    <xf numFmtId="0" fontId="0" fillId="0" borderId="0" xfId="0" quotePrefix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Fill="1"/>
    <xf numFmtId="16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7" fontId="0" fillId="0" borderId="0" xfId="0" applyNumberFormat="1"/>
    <xf numFmtId="44" fontId="0" fillId="0" borderId="0" xfId="5" applyNumberFormat="1" applyFont="1"/>
    <xf numFmtId="44" fontId="0" fillId="0" borderId="0" xfId="0" applyNumberFormat="1"/>
    <xf numFmtId="7" fontId="0" fillId="0" borderId="0" xfId="0" applyNumberFormat="1" applyBorder="1"/>
    <xf numFmtId="17" fontId="9" fillId="0" borderId="0" xfId="0" applyNumberFormat="1" applyFont="1" applyBorder="1" applyAlignment="1">
      <alignment horizontal="right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37" fontId="0" fillId="0" borderId="0" xfId="0" applyNumberFormat="1"/>
    <xf numFmtId="172" fontId="0" fillId="0" borderId="0" xfId="5" applyNumberFormat="1" applyFont="1"/>
    <xf numFmtId="172" fontId="12" fillId="0" borderId="0" xfId="5" applyNumberFormat="1" applyFont="1"/>
    <xf numFmtId="172" fontId="0" fillId="0" borderId="0" xfId="0" applyNumberFormat="1"/>
    <xf numFmtId="16" fontId="8" fillId="0" borderId="0" xfId="0" quotePrefix="1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8" fillId="0" borderId="0" xfId="0" applyFont="1" applyAlignment="1">
      <alignment horizontal="left" indent="3"/>
    </xf>
    <xf numFmtId="173" fontId="0" fillId="0" borderId="0" xfId="2" applyNumberFormat="1" applyFont="1"/>
    <xf numFmtId="174" fontId="0" fillId="0" borderId="0" xfId="5" applyNumberFormat="1" applyFont="1"/>
    <xf numFmtId="0" fontId="0" fillId="0" borderId="0" xfId="0" applyAlignment="1">
      <alignment horizontal="right"/>
    </xf>
    <xf numFmtId="7" fontId="0" fillId="0" borderId="0" xfId="5" applyNumberFormat="1" applyFont="1"/>
    <xf numFmtId="7" fontId="0" fillId="0" borderId="7" xfId="5" applyNumberFormat="1" applyFont="1" applyBorder="1"/>
    <xf numFmtId="44" fontId="0" fillId="0" borderId="0" xfId="5" applyFont="1"/>
    <xf numFmtId="0" fontId="0" fillId="0" borderId="0" xfId="0" applyFill="1" applyBorder="1" applyAlignment="1">
      <alignment horizontal="center" wrapText="1"/>
    </xf>
    <xf numFmtId="10" fontId="0" fillId="0" borderId="0" xfId="0" applyNumberFormat="1" applyBorder="1"/>
    <xf numFmtId="37" fontId="9" fillId="0" borderId="0" xfId="0" applyNumberFormat="1" applyFont="1"/>
    <xf numFmtId="169" fontId="9" fillId="0" borderId="0" xfId="0" applyNumberFormat="1" applyFont="1"/>
    <xf numFmtId="169" fontId="9" fillId="0" borderId="0" xfId="0" applyNumberFormat="1" applyFont="1" applyFill="1"/>
    <xf numFmtId="10" fontId="9" fillId="0" borderId="0" xfId="2" applyNumberFormat="1" applyFont="1" applyFill="1"/>
    <xf numFmtId="0" fontId="12" fillId="0" borderId="0" xfId="0" applyFont="1"/>
    <xf numFmtId="0" fontId="12" fillId="0" borderId="0" xfId="0" quotePrefix="1" applyFont="1" applyAlignment="1">
      <alignment horizontal="center"/>
    </xf>
    <xf numFmtId="169" fontId="9" fillId="0" borderId="0" xfId="5" applyNumberFormat="1" applyFont="1"/>
    <xf numFmtId="169" fontId="9" fillId="0" borderId="0" xfId="5" applyNumberFormat="1" applyFont="1" applyFill="1"/>
    <xf numFmtId="172" fontId="9" fillId="0" borderId="0" xfId="0" applyNumberFormat="1" applyFont="1"/>
    <xf numFmtId="10" fontId="18" fillId="0" borderId="0" xfId="0" applyNumberFormat="1" applyFont="1"/>
    <xf numFmtId="7" fontId="0" fillId="0" borderId="0" xfId="5" applyNumberFormat="1" applyFont="1" applyFill="1"/>
    <xf numFmtId="0" fontId="0" fillId="0" borderId="0" xfId="0" applyAlignment="1">
      <alignment horizontal="center" wrapText="1"/>
    </xf>
    <xf numFmtId="44" fontId="9" fillId="0" borderId="4" xfId="0" applyNumberFormat="1" applyFont="1" applyBorder="1"/>
    <xf numFmtId="10" fontId="14" fillId="0" borderId="0" xfId="0" applyNumberFormat="1" applyFont="1" applyFill="1"/>
    <xf numFmtId="166" fontId="6" fillId="0" borderId="0" xfId="0" applyNumberFormat="1" applyFont="1" applyFill="1" applyBorder="1"/>
    <xf numFmtId="43" fontId="0" fillId="0" borderId="0" xfId="0" applyNumberFormat="1"/>
    <xf numFmtId="175" fontId="0" fillId="0" borderId="0" xfId="0" applyNumberFormat="1"/>
    <xf numFmtId="10" fontId="14" fillId="0" borderId="0" xfId="0" applyNumberFormat="1" applyFont="1" applyFill="1" applyBorder="1" applyAlignment="1">
      <alignment horizontal="center" wrapText="1"/>
    </xf>
    <xf numFmtId="10" fontId="14" fillId="0" borderId="0" xfId="0" applyNumberFormat="1" applyFont="1" applyBorder="1" applyAlignment="1">
      <alignment horizontal="center" wrapText="1"/>
    </xf>
    <xf numFmtId="17" fontId="14" fillId="0" borderId="0" xfId="0" applyNumberFormat="1" applyFont="1" applyBorder="1"/>
    <xf numFmtId="169" fontId="18" fillId="0" borderId="0" xfId="0" applyNumberFormat="1" applyFont="1" applyFill="1"/>
    <xf numFmtId="5" fontId="14" fillId="0" borderId="0" xfId="0" applyNumberFormat="1" applyFont="1" applyFill="1" applyBorder="1"/>
    <xf numFmtId="44" fontId="14" fillId="0" borderId="0" xfId="5" applyNumberFormat="1" applyFont="1" applyFill="1"/>
    <xf numFmtId="169" fontId="14" fillId="0" borderId="0" xfId="0" applyNumberFormat="1" applyFont="1" applyFill="1"/>
    <xf numFmtId="169" fontId="14" fillId="0" borderId="0" xfId="5" applyNumberFormat="1" applyFont="1" applyFill="1"/>
    <xf numFmtId="170" fontId="14" fillId="0" borderId="0" xfId="0" applyNumberFormat="1" applyFont="1" applyFill="1"/>
    <xf numFmtId="166" fontId="19" fillId="0" borderId="0" xfId="0" applyNumberFormat="1" applyFont="1" applyFill="1" applyBorder="1"/>
    <xf numFmtId="172" fontId="20" fillId="0" borderId="0" xfId="5" applyNumberFormat="1" applyFont="1" applyFill="1"/>
    <xf numFmtId="172" fontId="8" fillId="0" borderId="0" xfId="5" applyNumberFormat="1" applyFont="1" applyFill="1"/>
    <xf numFmtId="164" fontId="0" fillId="0" borderId="0" xfId="5" applyNumberFormat="1" applyFont="1"/>
    <xf numFmtId="171" fontId="0" fillId="0" borderId="0" xfId="0" applyNumberFormat="1" applyFill="1"/>
    <xf numFmtId="7" fontId="14" fillId="0" borderId="0" xfId="5" applyNumberFormat="1" applyFont="1" applyFill="1"/>
    <xf numFmtId="169" fontId="21" fillId="0" borderId="0" xfId="5" applyNumberFormat="1" applyFont="1" applyFill="1"/>
    <xf numFmtId="169" fontId="21" fillId="0" borderId="0" xfId="0" applyNumberFormat="1" applyFont="1"/>
    <xf numFmtId="17" fontId="0" fillId="0" borderId="0" xfId="0" applyNumberFormat="1" applyFill="1" applyBorder="1"/>
    <xf numFmtId="17" fontId="14" fillId="0" borderId="0" xfId="0" applyNumberFormat="1" applyFont="1" applyFill="1" applyBorder="1"/>
    <xf numFmtId="0" fontId="9" fillId="0" borderId="0" xfId="0" applyFont="1" applyFill="1" applyAlignment="1"/>
    <xf numFmtId="10" fontId="14" fillId="0" borderId="0" xfId="2" applyNumberFormat="1" applyFont="1" applyFill="1"/>
    <xf numFmtId="43" fontId="0" fillId="0" borderId="0" xfId="1" applyFont="1"/>
    <xf numFmtId="0" fontId="13" fillId="0" borderId="0" xfId="0" applyFont="1" applyFill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wrapText="1"/>
    </xf>
    <xf numFmtId="0" fontId="17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quotePrefix="1" applyFill="1" applyBorder="1" applyAlignment="1">
      <alignment horizontal="justify" wrapText="1"/>
    </xf>
    <xf numFmtId="0" fontId="0" fillId="0" borderId="0" xfId="0" quotePrefix="1" applyBorder="1" applyAlignment="1">
      <alignment horizontal="justify" wrapText="1"/>
    </xf>
    <xf numFmtId="0" fontId="0" fillId="0" borderId="0" xfId="0" quotePrefix="1" applyFill="1" applyBorder="1" applyAlignment="1">
      <alignment horizontal="left" wrapText="1"/>
    </xf>
    <xf numFmtId="0" fontId="0" fillId="0" borderId="0" xfId="0" quotePrefix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9" fillId="0" borderId="0" xfId="0" applyFont="1" applyFill="1" applyAlignment="1">
      <alignment horizontal="center"/>
    </xf>
    <xf numFmtId="0" fontId="0" fillId="0" borderId="0" xfId="0" quotePrefix="1" applyFill="1" applyAlignment="1">
      <alignment horizontal="justify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left" wrapText="1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right"/>
    </xf>
  </cellXfs>
  <cellStyles count="7">
    <cellStyle name="Comma" xfId="1" builtinId="3"/>
    <cellStyle name="Currency" xfId="5" builtinId="4"/>
    <cellStyle name="Hyperlink" xfId="6" builtinId="8"/>
    <cellStyle name="Normal" xfId="0" builtinId="0"/>
    <cellStyle name="Normal 10" xfId="3" xr:uid="{00000000-0005-0000-0000-000004000000}"/>
    <cellStyle name="Normal 2 2" xfId="4" xr:uid="{00000000-0005-0000-0000-000005000000}"/>
    <cellStyle name="Percent" xfId="2" builtinId="5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rc.gov/enforcement/acct-matts/interest-rates.asp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www.ferc.gov/enforcement/acct-matts/interest-rates.as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2"/>
  <sheetViews>
    <sheetView workbookViewId="0">
      <selection activeCell="F25" sqref="F25"/>
    </sheetView>
  </sheetViews>
  <sheetFormatPr defaultRowHeight="14.5" outlineLevelCol="1" x14ac:dyDescent="0.35"/>
  <cols>
    <col min="2" max="2" width="2.7265625" customWidth="1"/>
    <col min="3" max="3" width="13.453125" customWidth="1" outlineLevel="1"/>
    <col min="4" max="4" width="12.26953125" customWidth="1" outlineLevel="1"/>
    <col min="5" max="5" width="11.81640625" customWidth="1" outlineLevel="1"/>
    <col min="6" max="6" width="14.1796875" customWidth="1" outlineLevel="1"/>
    <col min="7" max="7" width="10.54296875" customWidth="1" outlineLevel="1"/>
    <col min="8" max="8" width="12" customWidth="1" outlineLevel="1"/>
    <col min="9" max="10" width="11.81640625" customWidth="1" outlineLevel="1"/>
    <col min="11" max="11" width="11.54296875" customWidth="1" outlineLevel="1"/>
    <col min="12" max="12" width="2.54296875" customWidth="1"/>
    <col min="13" max="14" width="14.26953125" bestFit="1" customWidth="1"/>
    <col min="16" max="17" width="14.26953125" bestFit="1" customWidth="1"/>
    <col min="18" max="18" width="12.26953125" bestFit="1" customWidth="1"/>
    <col min="19" max="19" width="12" bestFit="1" customWidth="1"/>
  </cols>
  <sheetData>
    <row r="1" spans="1:19" x14ac:dyDescent="0.35">
      <c r="A1" s="161"/>
      <c r="B1" s="65" t="s">
        <v>182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9" x14ac:dyDescent="0.35">
      <c r="A2" s="161"/>
      <c r="B2" t="s">
        <v>183</v>
      </c>
    </row>
    <row r="3" spans="1:19" ht="14.5" customHeight="1" x14ac:dyDescent="0.35">
      <c r="A3" s="63"/>
      <c r="C3" s="68" t="s">
        <v>80</v>
      </c>
      <c r="M3" s="162" t="s">
        <v>81</v>
      </c>
      <c r="N3" s="163"/>
    </row>
    <row r="4" spans="1:19" x14ac:dyDescent="0.35">
      <c r="C4" s="69" t="s">
        <v>82</v>
      </c>
      <c r="D4" s="69" t="s">
        <v>83</v>
      </c>
      <c r="E4" s="69" t="s">
        <v>84</v>
      </c>
      <c r="F4" s="69" t="s">
        <v>85</v>
      </c>
      <c r="G4" s="69" t="s">
        <v>86</v>
      </c>
      <c r="H4" s="69" t="s">
        <v>87</v>
      </c>
      <c r="I4" s="69" t="s">
        <v>88</v>
      </c>
      <c r="J4" s="69" t="s">
        <v>89</v>
      </c>
      <c r="K4" s="69" t="s">
        <v>90</v>
      </c>
      <c r="M4" s="66" t="s">
        <v>78</v>
      </c>
      <c r="N4" s="67" t="s">
        <v>79</v>
      </c>
    </row>
    <row r="5" spans="1:19" x14ac:dyDescent="0.35">
      <c r="A5" s="152">
        <v>44682</v>
      </c>
      <c r="B5" s="65"/>
      <c r="C5" s="87">
        <v>192962526.01390886</v>
      </c>
      <c r="D5" s="87">
        <v>47371448.076570325</v>
      </c>
      <c r="E5" s="87">
        <v>5364860.5328845019</v>
      </c>
      <c r="F5" s="87">
        <v>105093794.62493862</v>
      </c>
      <c r="G5" s="87">
        <v>2461719.6871493533</v>
      </c>
      <c r="H5" s="87">
        <v>88626072.460799992</v>
      </c>
      <c r="I5" s="87">
        <v>5486912.1587193841</v>
      </c>
      <c r="J5" s="87">
        <v>351067.32468354155</v>
      </c>
      <c r="K5" s="87">
        <v>1344255.0279822224</v>
      </c>
      <c r="L5" s="65"/>
      <c r="M5" s="87">
        <f>C5</f>
        <v>192962526.01390886</v>
      </c>
      <c r="N5" s="87">
        <f>SUM(D5:G5,I5:J5)</f>
        <v>166129802.40494573</v>
      </c>
      <c r="P5" s="49"/>
      <c r="Q5" s="49"/>
      <c r="R5" s="49"/>
      <c r="S5" s="49"/>
    </row>
    <row r="6" spans="1:19" x14ac:dyDescent="0.35">
      <c r="A6" s="152">
        <f>A5+31</f>
        <v>44713</v>
      </c>
      <c r="B6" s="65"/>
      <c r="C6" s="87">
        <v>152833002.18335333</v>
      </c>
      <c r="D6" s="87">
        <v>42957619.221720777</v>
      </c>
      <c r="E6" s="87">
        <v>4062345.2384223654</v>
      </c>
      <c r="F6" s="87">
        <v>104357615.74911489</v>
      </c>
      <c r="G6" s="87">
        <v>1942547.4845173699</v>
      </c>
      <c r="H6" s="87">
        <v>87432237.357199997</v>
      </c>
      <c r="I6" s="87">
        <v>13031848.350868225</v>
      </c>
      <c r="J6" s="87">
        <v>746510.90605729655</v>
      </c>
      <c r="K6" s="87">
        <v>1358266.9656728241</v>
      </c>
      <c r="L6" s="65"/>
      <c r="M6" s="87">
        <f t="shared" ref="M6:M19" si="0">C6</f>
        <v>152833002.18335333</v>
      </c>
      <c r="N6" s="87">
        <f t="shared" ref="N6:N19" si="1">SUM(D6:G6,I6:J6)</f>
        <v>167098486.95070091</v>
      </c>
      <c r="P6" s="49"/>
      <c r="Q6" s="49"/>
      <c r="R6" s="49"/>
      <c r="S6" s="49"/>
    </row>
    <row r="7" spans="1:19" x14ac:dyDescent="0.35">
      <c r="A7" s="152">
        <f t="shared" ref="A7:A19" si="2">A6+31</f>
        <v>44744</v>
      </c>
      <c r="B7" s="65"/>
      <c r="C7" s="87">
        <v>154825140.74512219</v>
      </c>
      <c r="D7" s="87">
        <v>43980715.140520349</v>
      </c>
      <c r="E7" s="87">
        <v>4098069.1482757335</v>
      </c>
      <c r="F7" s="87">
        <v>111185960.06589922</v>
      </c>
      <c r="G7" s="87">
        <v>2136051.6041514575</v>
      </c>
      <c r="H7" s="87">
        <v>94094090.236599997</v>
      </c>
      <c r="I7" s="87">
        <v>21483047.201791957</v>
      </c>
      <c r="J7" s="87">
        <v>1098826.9469388369</v>
      </c>
      <c r="K7" s="87">
        <v>1359434.2934126426</v>
      </c>
      <c r="L7" s="65"/>
      <c r="M7" s="87">
        <f t="shared" si="0"/>
        <v>154825140.74512219</v>
      </c>
      <c r="N7" s="87">
        <f t="shared" si="1"/>
        <v>183982670.10757759</v>
      </c>
      <c r="P7" s="49"/>
      <c r="Q7" s="49"/>
      <c r="R7" s="49"/>
      <c r="S7" s="49"/>
    </row>
    <row r="8" spans="1:19" x14ac:dyDescent="0.35">
      <c r="A8" s="152">
        <f t="shared" si="2"/>
        <v>44775</v>
      </c>
      <c r="B8" s="65"/>
      <c r="C8" s="87">
        <v>176666007.97109687</v>
      </c>
      <c r="D8" s="87">
        <v>52071953.510426082</v>
      </c>
      <c r="E8" s="87">
        <v>4542218.856359588</v>
      </c>
      <c r="F8" s="87">
        <v>118767604.59353788</v>
      </c>
      <c r="G8" s="87">
        <v>2454576.119936957</v>
      </c>
      <c r="H8" s="87">
        <v>87700622.613999993</v>
      </c>
      <c r="I8" s="87">
        <v>24566877.806475237</v>
      </c>
      <c r="J8" s="87">
        <v>2007463.5167962871</v>
      </c>
      <c r="K8" s="87">
        <v>1378506.6407070295</v>
      </c>
      <c r="L8" s="65"/>
      <c r="M8" s="87">
        <f t="shared" si="0"/>
        <v>176666007.97109687</v>
      </c>
      <c r="N8" s="87">
        <f t="shared" si="1"/>
        <v>204410694.40353203</v>
      </c>
      <c r="P8" s="49"/>
      <c r="Q8" s="49"/>
      <c r="R8" s="49"/>
      <c r="S8" s="49"/>
    </row>
    <row r="9" spans="1:19" x14ac:dyDescent="0.35">
      <c r="A9" s="152">
        <f t="shared" si="2"/>
        <v>44806</v>
      </c>
      <c r="B9" s="65"/>
      <c r="C9" s="87">
        <v>188161657.85167614</v>
      </c>
      <c r="D9" s="87">
        <v>50079528.356902748</v>
      </c>
      <c r="E9" s="87">
        <v>3959993.1929380922</v>
      </c>
      <c r="F9" s="87">
        <v>106648142.62888722</v>
      </c>
      <c r="G9" s="87">
        <v>2320376.8468565741</v>
      </c>
      <c r="H9" s="87">
        <v>96787791.037900001</v>
      </c>
      <c r="I9" s="87">
        <v>26231460.934657976</v>
      </c>
      <c r="J9" s="87">
        <v>1741728.0004669316</v>
      </c>
      <c r="K9" s="87">
        <v>1370874.2650759486</v>
      </c>
      <c r="L9" s="65"/>
      <c r="M9" s="87">
        <f t="shared" si="0"/>
        <v>188161657.85167614</v>
      </c>
      <c r="N9" s="87">
        <f t="shared" si="1"/>
        <v>190981229.96070951</v>
      </c>
      <c r="P9" s="49"/>
      <c r="Q9" s="49"/>
      <c r="R9" s="49"/>
      <c r="S9" s="49"/>
    </row>
    <row r="10" spans="1:19" x14ac:dyDescent="0.35">
      <c r="A10" s="152">
        <f t="shared" si="2"/>
        <v>44837</v>
      </c>
      <c r="B10" s="65"/>
      <c r="C10" s="87">
        <v>152441794.27470639</v>
      </c>
      <c r="D10" s="87">
        <v>44029753.683074646</v>
      </c>
      <c r="E10" s="87">
        <v>3838458.605438448</v>
      </c>
      <c r="F10" s="87">
        <v>97086629.826086089</v>
      </c>
      <c r="G10" s="87">
        <v>2036948.1936083296</v>
      </c>
      <c r="H10" s="87">
        <v>89323040.037599996</v>
      </c>
      <c r="I10" s="87">
        <v>20744937.430712238</v>
      </c>
      <c r="J10" s="87">
        <v>1087107.6689462769</v>
      </c>
      <c r="K10" s="87">
        <v>1380010.1257047779</v>
      </c>
      <c r="L10" s="65"/>
      <c r="M10" s="87">
        <f t="shared" si="0"/>
        <v>152441794.27470639</v>
      </c>
      <c r="N10" s="87">
        <f t="shared" si="1"/>
        <v>168823835.407866</v>
      </c>
      <c r="P10" s="49"/>
      <c r="Q10" s="49"/>
      <c r="R10" s="49"/>
      <c r="S10" s="49"/>
    </row>
    <row r="11" spans="1:19" x14ac:dyDescent="0.35">
      <c r="A11" s="152">
        <f t="shared" si="2"/>
        <v>44868</v>
      </c>
      <c r="B11" s="65"/>
      <c r="C11" s="87">
        <v>165581257.06154984</v>
      </c>
      <c r="D11" s="87">
        <v>45481263.308157049</v>
      </c>
      <c r="E11" s="87">
        <v>4899047.6531962696</v>
      </c>
      <c r="F11" s="87">
        <v>110320578.60167456</v>
      </c>
      <c r="G11" s="87">
        <v>2392952.2914498565</v>
      </c>
      <c r="H11" s="87">
        <v>90096321.179200009</v>
      </c>
      <c r="I11" s="87">
        <v>10572406.532292362</v>
      </c>
      <c r="J11" s="87">
        <v>466088.54343588755</v>
      </c>
      <c r="K11" s="87">
        <v>1350831.3689368428</v>
      </c>
      <c r="L11" s="65"/>
      <c r="M11" s="87">
        <f t="shared" si="0"/>
        <v>165581257.06154984</v>
      </c>
      <c r="N11" s="87">
        <f t="shared" si="1"/>
        <v>174132336.93020597</v>
      </c>
      <c r="P11" s="49"/>
      <c r="Q11" s="49"/>
      <c r="R11" s="49"/>
      <c r="S11" s="49"/>
    </row>
    <row r="12" spans="1:19" x14ac:dyDescent="0.35">
      <c r="A12" s="152">
        <f t="shared" si="2"/>
        <v>44899</v>
      </c>
      <c r="B12" s="65"/>
      <c r="C12" s="87">
        <v>217585239.31312349</v>
      </c>
      <c r="D12" s="87">
        <v>51318547.204864435</v>
      </c>
      <c r="E12" s="87">
        <v>5692568.9925264902</v>
      </c>
      <c r="F12" s="87">
        <v>109420285.45480931</v>
      </c>
      <c r="G12" s="87">
        <v>2581717.4455219856</v>
      </c>
      <c r="H12" s="87">
        <v>87488989.530400008</v>
      </c>
      <c r="I12" s="87">
        <v>2372694.4453385836</v>
      </c>
      <c r="J12" s="87">
        <v>238822.10045084698</v>
      </c>
      <c r="K12" s="87">
        <v>1353966.8657090797</v>
      </c>
      <c r="L12" s="65"/>
      <c r="M12" s="87">
        <f t="shared" si="0"/>
        <v>217585239.31312349</v>
      </c>
      <c r="N12" s="87">
        <f t="shared" si="1"/>
        <v>171624635.64351162</v>
      </c>
      <c r="P12" s="49"/>
      <c r="Q12" s="49"/>
      <c r="R12" s="49"/>
      <c r="S12" s="49"/>
    </row>
    <row r="13" spans="1:19" x14ac:dyDescent="0.35">
      <c r="A13" s="152">
        <f t="shared" si="2"/>
        <v>44930</v>
      </c>
      <c r="B13" s="65"/>
      <c r="C13" s="87">
        <v>288081063.99777061</v>
      </c>
      <c r="D13" s="87">
        <v>55642446.43090184</v>
      </c>
      <c r="E13" s="87">
        <v>7254542.1839734083</v>
      </c>
      <c r="F13" s="87">
        <v>104779301.84945963</v>
      </c>
      <c r="G13" s="87">
        <v>3081759.4254414919</v>
      </c>
      <c r="H13" s="87">
        <v>90541875.968199998</v>
      </c>
      <c r="I13" s="87">
        <v>2860985.9981258423</v>
      </c>
      <c r="J13" s="87">
        <v>287266.50583972177</v>
      </c>
      <c r="K13" s="87">
        <v>1387869.3700815029</v>
      </c>
      <c r="L13" s="65"/>
      <c r="M13" s="87">
        <f t="shared" si="0"/>
        <v>288081063.99777061</v>
      </c>
      <c r="N13" s="87">
        <f t="shared" si="1"/>
        <v>173906302.39374197</v>
      </c>
      <c r="P13" s="49"/>
      <c r="Q13" s="49"/>
      <c r="R13" s="49"/>
      <c r="S13" s="49"/>
    </row>
    <row r="14" spans="1:19" x14ac:dyDescent="0.35">
      <c r="A14" s="152">
        <f t="shared" si="2"/>
        <v>44961</v>
      </c>
      <c r="B14" s="65"/>
      <c r="C14" s="87">
        <v>300378769.70065677</v>
      </c>
      <c r="D14" s="87">
        <v>54846513.769899845</v>
      </c>
      <c r="E14" s="87">
        <v>7345017.3829325195</v>
      </c>
      <c r="F14" s="87">
        <v>102431077.04715122</v>
      </c>
      <c r="G14" s="87">
        <v>3229566.5262466655</v>
      </c>
      <c r="H14" s="87">
        <v>94369853.699700013</v>
      </c>
      <c r="I14" s="87">
        <v>3715799.5558463084</v>
      </c>
      <c r="J14" s="87">
        <v>342741.44719409902</v>
      </c>
      <c r="K14" s="87">
        <v>1353243.7689603779</v>
      </c>
      <c r="L14" s="65"/>
      <c r="M14" s="87">
        <f t="shared" si="0"/>
        <v>300378769.70065677</v>
      </c>
      <c r="N14" s="87">
        <f t="shared" si="1"/>
        <v>171910715.72927067</v>
      </c>
      <c r="P14" s="49"/>
      <c r="Q14" s="49"/>
      <c r="R14" s="49"/>
      <c r="S14" s="49"/>
    </row>
    <row r="15" spans="1:19" x14ac:dyDescent="0.35">
      <c r="A15" s="152">
        <f t="shared" si="2"/>
        <v>44992</v>
      </c>
      <c r="B15" s="65"/>
      <c r="C15" s="87">
        <v>255156725.29535589</v>
      </c>
      <c r="D15" s="87">
        <v>52037520.61547406</v>
      </c>
      <c r="E15" s="87">
        <v>7070594.9987097522</v>
      </c>
      <c r="F15" s="87">
        <v>103267689.81047422</v>
      </c>
      <c r="G15" s="87">
        <v>3212163.3179717441</v>
      </c>
      <c r="H15" s="87">
        <v>84879993.509000003</v>
      </c>
      <c r="I15" s="87">
        <v>3932227.6989805209</v>
      </c>
      <c r="J15" s="87">
        <v>297895.27081453957</v>
      </c>
      <c r="K15" s="87">
        <v>1301799.9532029093</v>
      </c>
      <c r="L15" s="65"/>
      <c r="M15" s="87">
        <f t="shared" si="0"/>
        <v>255156725.29535589</v>
      </c>
      <c r="N15" s="87">
        <f t="shared" si="1"/>
        <v>169818091.71242481</v>
      </c>
      <c r="P15" s="49"/>
      <c r="Q15" s="49"/>
      <c r="R15" s="49"/>
      <c r="S15" s="49"/>
    </row>
    <row r="16" spans="1:19" x14ac:dyDescent="0.35">
      <c r="A16" s="152">
        <f t="shared" si="2"/>
        <v>45023</v>
      </c>
      <c r="B16" s="65"/>
      <c r="C16" s="87">
        <v>227356990.10271099</v>
      </c>
      <c r="D16" s="87">
        <v>49754245.471775405</v>
      </c>
      <c r="E16" s="87">
        <v>6360874.1808000412</v>
      </c>
      <c r="F16" s="87">
        <v>99021045.089985758</v>
      </c>
      <c r="G16" s="87">
        <v>2803531.0147477151</v>
      </c>
      <c r="H16" s="87">
        <v>88464791.545699999</v>
      </c>
      <c r="I16" s="87">
        <v>3747867.8033349393</v>
      </c>
      <c r="J16" s="87">
        <v>284601.2480271823</v>
      </c>
      <c r="K16" s="87">
        <v>1362579.9289348186</v>
      </c>
      <c r="L16" s="65"/>
      <c r="M16" s="87">
        <f t="shared" si="0"/>
        <v>227356990.10271099</v>
      </c>
      <c r="N16" s="87">
        <f t="shared" si="1"/>
        <v>161972164.80867106</v>
      </c>
      <c r="P16" s="49"/>
      <c r="Q16" s="49"/>
      <c r="R16" s="49"/>
      <c r="S16" s="49"/>
    </row>
    <row r="17" spans="1:19" x14ac:dyDescent="0.35">
      <c r="A17" s="152">
        <f t="shared" si="2"/>
        <v>45054</v>
      </c>
      <c r="B17" s="65"/>
      <c r="C17" s="87">
        <v>185932178.31825978</v>
      </c>
      <c r="D17" s="87">
        <v>43830864.969072625</v>
      </c>
      <c r="E17" s="87">
        <v>5014872.8601567298</v>
      </c>
      <c r="F17" s="87">
        <v>95573048.701819003</v>
      </c>
      <c r="G17" s="87">
        <v>2243892.4276616727</v>
      </c>
      <c r="H17" s="87">
        <v>91685353.690499991</v>
      </c>
      <c r="I17" s="87">
        <v>5222824.2819685023</v>
      </c>
      <c r="J17" s="87">
        <v>365424.20505196496</v>
      </c>
      <c r="K17" s="87">
        <v>1325052.3887890396</v>
      </c>
      <c r="L17" s="65"/>
      <c r="M17" s="87">
        <f t="shared" si="0"/>
        <v>185932178.31825978</v>
      </c>
      <c r="N17" s="87">
        <f t="shared" si="1"/>
        <v>152250927.44573051</v>
      </c>
      <c r="P17" s="49"/>
      <c r="Q17" s="49"/>
      <c r="R17" s="49"/>
      <c r="S17" s="49"/>
    </row>
    <row r="18" spans="1:19" x14ac:dyDescent="0.35">
      <c r="A18" s="152">
        <f t="shared" si="2"/>
        <v>45085</v>
      </c>
      <c r="B18" s="65"/>
      <c r="C18" s="87">
        <v>164401746.63322636</v>
      </c>
      <c r="D18" s="87">
        <v>43149070.719235912</v>
      </c>
      <c r="E18" s="87">
        <v>4397762.9871975109</v>
      </c>
      <c r="F18" s="87">
        <v>100687228.72505036</v>
      </c>
      <c r="G18" s="87">
        <v>2080586.9430796711</v>
      </c>
      <c r="H18" s="87">
        <v>89686938.8759</v>
      </c>
      <c r="I18" s="87">
        <v>11958086.876977764</v>
      </c>
      <c r="J18" s="87">
        <v>726917.68156874669</v>
      </c>
      <c r="K18" s="87">
        <v>1332170.9229202326</v>
      </c>
      <c r="L18" s="65"/>
      <c r="M18" s="87">
        <f t="shared" si="0"/>
        <v>164401746.63322636</v>
      </c>
      <c r="N18" s="87">
        <f t="shared" si="1"/>
        <v>162999653.93310997</v>
      </c>
      <c r="P18" s="49"/>
      <c r="Q18" s="49"/>
      <c r="R18" s="49"/>
      <c r="S18" s="49"/>
    </row>
    <row r="19" spans="1:19" x14ac:dyDescent="0.35">
      <c r="A19" s="152">
        <f t="shared" si="2"/>
        <v>45116</v>
      </c>
      <c r="B19" s="65"/>
      <c r="C19" s="87">
        <v>157360038.10036749</v>
      </c>
      <c r="D19" s="87">
        <v>44417574.634786651</v>
      </c>
      <c r="E19" s="87">
        <v>4392729.52005341</v>
      </c>
      <c r="F19" s="87">
        <v>106994978.2463609</v>
      </c>
      <c r="G19" s="87">
        <v>2142645.2272695941</v>
      </c>
      <c r="H19" s="87">
        <v>92564434.080500007</v>
      </c>
      <c r="I19" s="87">
        <v>19760036.875950407</v>
      </c>
      <c r="J19" s="87">
        <v>1070664.7739928332</v>
      </c>
      <c r="K19" s="87">
        <v>1334637.9482702252</v>
      </c>
      <c r="L19" s="65"/>
      <c r="M19" s="87">
        <f t="shared" si="0"/>
        <v>157360038.10036749</v>
      </c>
      <c r="N19" s="87">
        <f t="shared" si="1"/>
        <v>178778629.27841377</v>
      </c>
      <c r="P19" s="49"/>
      <c r="Q19" s="49"/>
      <c r="R19" s="49"/>
      <c r="S19" s="49"/>
    </row>
    <row r="20" spans="1:19" x14ac:dyDescent="0.35">
      <c r="A20" s="62"/>
      <c r="C20" s="45"/>
      <c r="D20" s="45"/>
      <c r="E20" s="45"/>
      <c r="F20" s="45"/>
      <c r="G20" s="45"/>
      <c r="H20" s="45"/>
      <c r="I20" s="45"/>
      <c r="J20" s="45"/>
      <c r="K20" s="45"/>
      <c r="M20" s="49"/>
      <c r="N20" s="49"/>
      <c r="P20" s="49"/>
      <c r="Q20" s="49"/>
      <c r="R20" s="49"/>
      <c r="S20" s="49"/>
    </row>
    <row r="21" spans="1:19" x14ac:dyDescent="0.35">
      <c r="A21" s="62"/>
      <c r="C21" s="45"/>
      <c r="D21" s="45"/>
      <c r="E21" s="45"/>
      <c r="F21" s="45"/>
      <c r="G21" s="45"/>
      <c r="H21" s="45"/>
      <c r="I21" s="45"/>
      <c r="J21" s="45"/>
      <c r="K21" s="45"/>
      <c r="M21" s="49"/>
      <c r="N21" s="49"/>
    </row>
    <row r="22" spans="1:19" x14ac:dyDescent="0.35">
      <c r="A22" s="62"/>
      <c r="C22" s="45"/>
      <c r="D22" s="45"/>
      <c r="E22" s="45"/>
      <c r="F22" s="45"/>
      <c r="G22" s="45"/>
      <c r="H22" s="45"/>
      <c r="I22" s="45"/>
      <c r="J22" s="45"/>
      <c r="K22" s="45"/>
      <c r="M22" s="49"/>
      <c r="N22" s="49"/>
    </row>
    <row r="23" spans="1:19" x14ac:dyDescent="0.35">
      <c r="A23" s="62"/>
      <c r="C23" s="45"/>
      <c r="D23" s="45"/>
      <c r="E23" s="45"/>
      <c r="F23" s="45"/>
      <c r="G23" s="45"/>
      <c r="H23" s="45"/>
      <c r="I23" s="45"/>
      <c r="J23" s="45"/>
      <c r="K23" s="45"/>
      <c r="M23" s="49"/>
      <c r="N23" s="49"/>
    </row>
    <row r="37" spans="1:17" x14ac:dyDescent="0.35">
      <c r="C37" s="44"/>
      <c r="D37" s="44"/>
      <c r="E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</row>
    <row r="38" spans="1:17" x14ac:dyDescent="0.35">
      <c r="C38" s="44"/>
      <c r="D38" s="44"/>
      <c r="E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</row>
    <row r="39" spans="1:17" x14ac:dyDescent="0.35">
      <c r="C39" s="44"/>
      <c r="D39" s="44"/>
      <c r="E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</row>
    <row r="40" spans="1:17" x14ac:dyDescent="0.35">
      <c r="C40" s="44"/>
      <c r="D40" s="44"/>
      <c r="E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</row>
    <row r="41" spans="1:17" x14ac:dyDescent="0.35"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</row>
    <row r="42" spans="1:17" x14ac:dyDescent="0.35"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 x14ac:dyDescent="0.35"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</row>
    <row r="44" spans="1:17" x14ac:dyDescent="0.35"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</row>
    <row r="45" spans="1:17" x14ac:dyDescent="0.35">
      <c r="A45" s="116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</row>
    <row r="58" spans="3:11" x14ac:dyDescent="0.35">
      <c r="C58" s="151"/>
      <c r="D58" s="151"/>
      <c r="E58" s="151"/>
      <c r="F58" s="151"/>
      <c r="G58" s="151"/>
      <c r="H58" s="151"/>
      <c r="I58" s="151"/>
      <c r="J58" s="151"/>
      <c r="K58" s="151"/>
    </row>
    <row r="59" spans="3:11" x14ac:dyDescent="0.35">
      <c r="C59" s="151"/>
      <c r="D59" s="151"/>
      <c r="E59" s="151"/>
      <c r="F59" s="151"/>
      <c r="G59" s="151"/>
      <c r="H59" s="151"/>
      <c r="I59" s="151"/>
      <c r="J59" s="151"/>
      <c r="K59" s="151"/>
    </row>
    <row r="60" spans="3:11" x14ac:dyDescent="0.35">
      <c r="C60" s="151"/>
      <c r="D60" s="151"/>
      <c r="E60" s="151"/>
      <c r="F60" s="151"/>
      <c r="G60" s="151"/>
      <c r="H60" s="151"/>
      <c r="I60" s="151"/>
      <c r="J60" s="151"/>
      <c r="K60" s="151"/>
    </row>
    <row r="61" spans="3:11" x14ac:dyDescent="0.35">
      <c r="C61" s="151"/>
      <c r="D61" s="151"/>
      <c r="E61" s="151"/>
      <c r="F61" s="151"/>
      <c r="G61" s="151"/>
      <c r="H61" s="151"/>
      <c r="I61" s="151"/>
      <c r="J61" s="151"/>
      <c r="K61" s="151"/>
    </row>
    <row r="62" spans="3:11" x14ac:dyDescent="0.35">
      <c r="C62" s="151"/>
      <c r="D62" s="151"/>
      <c r="E62" s="151"/>
      <c r="F62" s="151"/>
      <c r="G62" s="151"/>
      <c r="H62" s="151"/>
      <c r="I62" s="151"/>
      <c r="J62" s="151"/>
      <c r="K62" s="151"/>
    </row>
    <row r="63" spans="3:11" x14ac:dyDescent="0.35">
      <c r="C63" s="151"/>
      <c r="D63" s="151"/>
      <c r="E63" s="151"/>
      <c r="F63" s="151"/>
      <c r="G63" s="151"/>
      <c r="H63" s="151"/>
      <c r="I63" s="151"/>
      <c r="J63" s="151"/>
      <c r="K63" s="151"/>
    </row>
    <row r="64" spans="3:11" x14ac:dyDescent="0.35">
      <c r="C64" s="151"/>
      <c r="D64" s="151"/>
      <c r="E64" s="151"/>
      <c r="F64" s="151"/>
      <c r="G64" s="151"/>
      <c r="H64" s="151"/>
      <c r="I64" s="151"/>
      <c r="J64" s="151"/>
      <c r="K64" s="151"/>
    </row>
    <row r="65" spans="3:11" x14ac:dyDescent="0.35">
      <c r="C65" s="151"/>
      <c r="D65" s="151"/>
      <c r="E65" s="151"/>
      <c r="F65" s="151"/>
      <c r="G65" s="151"/>
      <c r="H65" s="151"/>
      <c r="I65" s="151"/>
      <c r="J65" s="151"/>
      <c r="K65" s="151"/>
    </row>
    <row r="66" spans="3:11" x14ac:dyDescent="0.35">
      <c r="C66" s="151"/>
      <c r="D66" s="151"/>
      <c r="E66" s="151"/>
      <c r="F66" s="151"/>
      <c r="G66" s="151"/>
      <c r="H66" s="151"/>
      <c r="I66" s="151"/>
      <c r="J66" s="151"/>
      <c r="K66" s="151"/>
    </row>
    <row r="67" spans="3:11" x14ac:dyDescent="0.35">
      <c r="C67" s="151"/>
      <c r="D67" s="151"/>
      <c r="E67" s="151"/>
      <c r="F67" s="151"/>
      <c r="G67" s="151"/>
      <c r="H67" s="151"/>
      <c r="I67" s="151"/>
      <c r="J67" s="151"/>
      <c r="K67" s="151"/>
    </row>
    <row r="68" spans="3:11" x14ac:dyDescent="0.35">
      <c r="C68" s="151"/>
      <c r="D68" s="151"/>
      <c r="E68" s="151"/>
      <c r="F68" s="151"/>
      <c r="G68" s="151"/>
      <c r="H68" s="151"/>
      <c r="I68" s="151"/>
      <c r="J68" s="151"/>
      <c r="K68" s="151"/>
    </row>
    <row r="69" spans="3:11" x14ac:dyDescent="0.35">
      <c r="C69" s="151"/>
      <c r="D69" s="151"/>
      <c r="E69" s="151"/>
      <c r="F69" s="151"/>
      <c r="G69" s="151"/>
      <c r="H69" s="151"/>
      <c r="I69" s="151"/>
      <c r="J69" s="151"/>
      <c r="K69" s="151"/>
    </row>
    <row r="70" spans="3:11" x14ac:dyDescent="0.35">
      <c r="C70" s="151"/>
      <c r="D70" s="151"/>
      <c r="E70" s="151"/>
      <c r="F70" s="151"/>
      <c r="G70" s="151"/>
      <c r="H70" s="151"/>
      <c r="I70" s="151"/>
      <c r="J70" s="151"/>
      <c r="K70" s="151"/>
    </row>
    <row r="71" spans="3:11" x14ac:dyDescent="0.35">
      <c r="C71" s="151"/>
      <c r="D71" s="151"/>
      <c r="E71" s="151"/>
      <c r="F71" s="151"/>
      <c r="G71" s="151"/>
      <c r="H71" s="151"/>
      <c r="I71" s="151"/>
      <c r="J71" s="151"/>
      <c r="K71" s="151"/>
    </row>
    <row r="72" spans="3:11" x14ac:dyDescent="0.35">
      <c r="C72" s="151"/>
      <c r="D72" s="151"/>
      <c r="E72" s="151"/>
      <c r="F72" s="151"/>
      <c r="G72" s="151"/>
      <c r="H72" s="151"/>
      <c r="I72" s="151"/>
      <c r="J72" s="151"/>
      <c r="K72" s="151"/>
    </row>
  </sheetData>
  <mergeCells count="2">
    <mergeCell ref="A1:A2"/>
    <mergeCell ref="M3:N3"/>
  </mergeCell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0"/>
  <sheetViews>
    <sheetView zoomScaleNormal="100" workbookViewId="0">
      <selection activeCell="B9" sqref="B9"/>
    </sheetView>
  </sheetViews>
  <sheetFormatPr defaultRowHeight="14.5" x14ac:dyDescent="0.35"/>
  <cols>
    <col min="1" max="1" width="4.54296875" customWidth="1"/>
    <col min="2" max="2" width="32.1796875" customWidth="1"/>
    <col min="3" max="3" width="16.81640625" customWidth="1"/>
    <col min="4" max="4" width="16" customWidth="1"/>
    <col min="5" max="5" width="16.7265625" customWidth="1"/>
    <col min="6" max="6" width="8.26953125" customWidth="1"/>
    <col min="7" max="7" width="4.81640625" customWidth="1"/>
    <col min="8" max="8" width="31.81640625" customWidth="1"/>
    <col min="9" max="9" width="18" customWidth="1"/>
    <col min="10" max="10" width="16.26953125" customWidth="1"/>
    <col min="11" max="11" width="16.7265625" customWidth="1"/>
    <col min="13" max="14" width="11.7265625" customWidth="1"/>
    <col min="15" max="15" width="10.453125" customWidth="1"/>
    <col min="16" max="16" width="12.7265625" customWidth="1"/>
  </cols>
  <sheetData>
    <row r="1" spans="1:11" x14ac:dyDescent="0.35">
      <c r="B1" s="166" t="s">
        <v>0</v>
      </c>
      <c r="C1" s="166"/>
      <c r="D1" s="166"/>
      <c r="E1" s="166"/>
      <c r="F1" s="50"/>
      <c r="G1" s="50"/>
      <c r="H1" s="166" t="s">
        <v>0</v>
      </c>
      <c r="I1" s="166"/>
      <c r="J1" s="166"/>
      <c r="K1" s="166"/>
    </row>
    <row r="2" spans="1:11" x14ac:dyDescent="0.35">
      <c r="B2" s="166" t="s">
        <v>1</v>
      </c>
      <c r="C2" s="166"/>
      <c r="D2" s="166"/>
      <c r="E2" s="166"/>
      <c r="F2" s="50"/>
      <c r="G2" s="50"/>
      <c r="H2" s="166" t="s">
        <v>1</v>
      </c>
      <c r="I2" s="166"/>
      <c r="J2" s="166"/>
      <c r="K2" s="166"/>
    </row>
    <row r="3" spans="1:11" x14ac:dyDescent="0.35">
      <c r="B3" s="166" t="s">
        <v>177</v>
      </c>
      <c r="C3" s="166"/>
      <c r="D3" s="166"/>
      <c r="E3" s="166"/>
      <c r="F3" s="50"/>
      <c r="G3" s="50"/>
      <c r="H3" s="166" t="str">
        <f>B3</f>
        <v>Effective August 1, 2022 - July 31, 2023</v>
      </c>
      <c r="I3" s="166"/>
      <c r="J3" s="166"/>
      <c r="K3" s="166"/>
    </row>
    <row r="5" spans="1:11" ht="18.5" x14ac:dyDescent="0.45">
      <c r="B5" s="165" t="s">
        <v>38</v>
      </c>
      <c r="C5" s="165"/>
      <c r="D5" s="165"/>
      <c r="E5" s="165"/>
      <c r="F5" s="59"/>
      <c r="G5" s="26"/>
      <c r="H5" s="165" t="s">
        <v>39</v>
      </c>
      <c r="I5" s="165"/>
      <c r="J5" s="165"/>
      <c r="K5" s="165"/>
    </row>
    <row r="6" spans="1:11" ht="29.5" customHeight="1" x14ac:dyDescent="0.35">
      <c r="A6" s="73" t="s">
        <v>91</v>
      </c>
      <c r="B6" s="58" t="s">
        <v>2</v>
      </c>
      <c r="C6" s="58" t="s">
        <v>5</v>
      </c>
      <c r="D6" s="58" t="s">
        <v>6</v>
      </c>
      <c r="E6" s="70" t="s">
        <v>105</v>
      </c>
      <c r="F6" s="58"/>
      <c r="G6" s="73" t="s">
        <v>91</v>
      </c>
      <c r="H6" s="58" t="s">
        <v>2</v>
      </c>
      <c r="I6" s="58" t="s">
        <v>5</v>
      </c>
      <c r="J6" s="58" t="s">
        <v>6</v>
      </c>
      <c r="K6" s="70" t="s">
        <v>105</v>
      </c>
    </row>
    <row r="7" spans="1:11" x14ac:dyDescent="0.35">
      <c r="A7" s="74">
        <v>1</v>
      </c>
      <c r="B7" s="58"/>
      <c r="C7" s="72">
        <f>ROUND(C8/E22,5)</f>
        <v>-2.2000000000000001E-3</v>
      </c>
      <c r="D7" s="139">
        <v>3.2500000000000001E-2</v>
      </c>
      <c r="E7" s="58"/>
      <c r="F7" s="58"/>
      <c r="G7" s="74">
        <v>1</v>
      </c>
      <c r="H7" s="58"/>
      <c r="I7" s="58">
        <f>ROUND(I8/K22,5)</f>
        <v>1.24E-3</v>
      </c>
      <c r="J7" s="140">
        <f>D7</f>
        <v>3.2500000000000001E-2</v>
      </c>
      <c r="K7" s="58"/>
    </row>
    <row r="8" spans="1:11" x14ac:dyDescent="0.35">
      <c r="A8" s="74">
        <v>2</v>
      </c>
      <c r="B8" s="141">
        <v>44762</v>
      </c>
      <c r="C8" s="25">
        <f>C55+C56</f>
        <v>-5446101.0842440305</v>
      </c>
      <c r="D8" s="25"/>
      <c r="E8" s="26"/>
      <c r="F8" s="26"/>
      <c r="G8" s="74">
        <v>2</v>
      </c>
      <c r="H8" s="51">
        <f>B8</f>
        <v>44762</v>
      </c>
      <c r="I8" s="25">
        <f>I55+I56</f>
        <v>2583044.438568762</v>
      </c>
      <c r="J8" s="25"/>
      <c r="K8" s="26"/>
    </row>
    <row r="9" spans="1:11" x14ac:dyDescent="0.35">
      <c r="A9" s="74">
        <v>3</v>
      </c>
      <c r="B9" s="51">
        <f>B8+31</f>
        <v>44793</v>
      </c>
      <c r="C9" s="25">
        <f>C8+D9-$C$7*E9</f>
        <v>-5071659.4063286977</v>
      </c>
      <c r="D9" s="25">
        <f>(C8-$C$7*E9/2)*$D$7/12</f>
        <v>-14223.539621080357</v>
      </c>
      <c r="E9" s="31">
        <f>'4 13 22 Forecast Usage by Sched'!M8</f>
        <v>176666007.97109687</v>
      </c>
      <c r="F9" s="31"/>
      <c r="G9" s="74">
        <v>3</v>
      </c>
      <c r="H9" s="51">
        <f t="shared" ref="H9:H20" si="0">B9</f>
        <v>44793</v>
      </c>
      <c r="I9" s="25">
        <f>I8+J9-$I$7*K9</f>
        <v>2336227.6832384868</v>
      </c>
      <c r="J9" s="25">
        <f>(I8-$I$7*K9/2)*$J$7/12</f>
        <v>6652.5057301044662</v>
      </c>
      <c r="K9" s="31">
        <f>'4 13 22 Forecast Usage by Sched'!N8</f>
        <v>204410694.40353203</v>
      </c>
    </row>
    <row r="10" spans="1:11" x14ac:dyDescent="0.35">
      <c r="A10" s="74">
        <v>4</v>
      </c>
      <c r="B10" s="51">
        <f t="shared" ref="B10:B20" si="1">B9+31</f>
        <v>44824</v>
      </c>
      <c r="C10" s="25">
        <f t="shared" ref="C10:C20" si="2">C9+D10-$C$7*E10</f>
        <v>-4670878.9383414667</v>
      </c>
      <c r="D10" s="25">
        <f t="shared" ref="D10:D20" si="3">(C9-$C$7*E10/2)*$D$7/12</f>
        <v>-13175.179286457105</v>
      </c>
      <c r="E10" s="31">
        <f>'4 13 22 Forecast Usage by Sched'!M9</f>
        <v>188161657.85167614</v>
      </c>
      <c r="F10" s="31"/>
      <c r="G10" s="74">
        <v>4</v>
      </c>
      <c r="H10" s="51">
        <f t="shared" si="0"/>
        <v>44824</v>
      </c>
      <c r="I10" s="25">
        <f t="shared" ref="I10:I20" si="4">I9+J10-$I$7*K10</f>
        <v>2105417.5520806685</v>
      </c>
      <c r="J10" s="25">
        <f t="shared" ref="J10:J20" si="5">(I9-$I$7*K10/2)*$J$7/12</f>
        <v>6006.5939934618764</v>
      </c>
      <c r="K10" s="31">
        <f>'4 13 22 Forecast Usage by Sched'!N9</f>
        <v>190981229.96070951</v>
      </c>
    </row>
    <row r="11" spans="1:11" x14ac:dyDescent="0.35">
      <c r="A11" s="74">
        <v>5</v>
      </c>
      <c r="B11" s="51">
        <f t="shared" si="1"/>
        <v>44855</v>
      </c>
      <c r="C11" s="25">
        <f t="shared" si="2"/>
        <v>-4347703.138549678</v>
      </c>
      <c r="D11" s="25">
        <f t="shared" si="3"/>
        <v>-12196.14761256474</v>
      </c>
      <c r="E11" s="31">
        <f>'4 13 22 Forecast Usage by Sched'!M10</f>
        <v>152441794.27470639</v>
      </c>
      <c r="F11" s="31"/>
      <c r="G11" s="74">
        <v>5</v>
      </c>
      <c r="H11" s="51">
        <f t="shared" si="0"/>
        <v>44855</v>
      </c>
      <c r="I11" s="25">
        <f t="shared" si="4"/>
        <v>1901494.6853548442</v>
      </c>
      <c r="J11" s="25">
        <f t="shared" si="5"/>
        <v>5418.6891799294362</v>
      </c>
      <c r="K11" s="31">
        <f>'4 13 22 Forecast Usage by Sched'!N10</f>
        <v>168823835.407866</v>
      </c>
    </row>
    <row r="12" spans="1:11" x14ac:dyDescent="0.35">
      <c r="A12" s="74">
        <v>6</v>
      </c>
      <c r="B12" s="51">
        <f t="shared" si="1"/>
        <v>44886</v>
      </c>
      <c r="C12" s="25">
        <f t="shared" si="2"/>
        <v>-3994706.1081861779</v>
      </c>
      <c r="D12" s="25">
        <f t="shared" si="3"/>
        <v>-11281.735171909511</v>
      </c>
      <c r="E12" s="31">
        <f>'4 13 22 Forecast Usage by Sched'!M11</f>
        <v>165581257.06154984</v>
      </c>
      <c r="F12" s="31"/>
      <c r="G12" s="74">
        <v>6</v>
      </c>
      <c r="H12" s="51">
        <f t="shared" si="0"/>
        <v>44886</v>
      </c>
      <c r="I12" s="25">
        <f t="shared" si="4"/>
        <v>1690428.0717851294</v>
      </c>
      <c r="J12" s="25">
        <f t="shared" si="5"/>
        <v>4857.4842237407329</v>
      </c>
      <c r="K12" s="31">
        <f>'4 13 22 Forecast Usage by Sched'!N11</f>
        <v>174132336.93020597</v>
      </c>
    </row>
    <row r="13" spans="1:11" x14ac:dyDescent="0.35">
      <c r="A13" s="74">
        <v>7</v>
      </c>
      <c r="B13" s="51">
        <f t="shared" si="1"/>
        <v>44917</v>
      </c>
      <c r="C13" s="25">
        <f t="shared" si="2"/>
        <v>-3526189.3547148565</v>
      </c>
      <c r="D13" s="25">
        <f t="shared" si="3"/>
        <v>-10170.773017550551</v>
      </c>
      <c r="E13" s="31">
        <f>'4 13 22 Forecast Usage by Sched'!M12</f>
        <v>217585239.31312349</v>
      </c>
      <c r="F13" s="31"/>
      <c r="G13" s="74">
        <v>7</v>
      </c>
      <c r="H13" s="51">
        <f t="shared" si="0"/>
        <v>44917</v>
      </c>
      <c r="I13" s="25">
        <f t="shared" si="4"/>
        <v>1481903.5799142416</v>
      </c>
      <c r="J13" s="25">
        <f t="shared" si="5"/>
        <v>4290.0563270666617</v>
      </c>
      <c r="K13" s="31">
        <f>'4 13 22 Forecast Usage by Sched'!N12</f>
        <v>171624635.64351162</v>
      </c>
    </row>
    <row r="14" spans="1:11" x14ac:dyDescent="0.35">
      <c r="A14" s="74">
        <v>8</v>
      </c>
      <c r="B14" s="51">
        <f t="shared" si="1"/>
        <v>44948</v>
      </c>
      <c r="C14" s="25">
        <f t="shared" si="2"/>
        <v>-2901102.8685856205</v>
      </c>
      <c r="D14" s="25">
        <f t="shared" si="3"/>
        <v>-8691.8546658593787</v>
      </c>
      <c r="E14" s="31">
        <f>'4 13 22 Forecast Usage by Sched'!M13</f>
        <v>288081063.99777061</v>
      </c>
      <c r="F14" s="31"/>
      <c r="G14" s="74">
        <v>8</v>
      </c>
      <c r="H14" s="51">
        <f t="shared" si="0"/>
        <v>44948</v>
      </c>
      <c r="I14" s="25">
        <f t="shared" si="4"/>
        <v>1269981.2361421664</v>
      </c>
      <c r="J14" s="25">
        <f t="shared" si="5"/>
        <v>3721.4711961649123</v>
      </c>
      <c r="K14" s="31">
        <f>'4 13 22 Forecast Usage by Sched'!N13</f>
        <v>173906302.39374197</v>
      </c>
    </row>
    <row r="15" spans="1:11" x14ac:dyDescent="0.35">
      <c r="A15" s="74">
        <v>9</v>
      </c>
      <c r="B15" s="51">
        <f t="shared" si="1"/>
        <v>44979</v>
      </c>
      <c r="C15" s="25">
        <f t="shared" si="2"/>
        <v>-2247231.8504285286</v>
      </c>
      <c r="D15" s="25">
        <f t="shared" si="3"/>
        <v>-6962.2751843528495</v>
      </c>
      <c r="E15" s="31">
        <f>'4 13 22 Forecast Usage by Sched'!M14</f>
        <v>300378769.70065677</v>
      </c>
      <c r="F15" s="31"/>
      <c r="G15" s="74">
        <v>9</v>
      </c>
      <c r="H15" s="51">
        <f t="shared" si="0"/>
        <v>44979</v>
      </c>
      <c r="I15" s="25">
        <f t="shared" si="4"/>
        <v>1059962.8144089272</v>
      </c>
      <c r="J15" s="25">
        <f t="shared" si="5"/>
        <v>3150.8657710563002</v>
      </c>
      <c r="K15" s="31">
        <f>'4 13 22 Forecast Usage by Sched'!N14</f>
        <v>171910715.72927067</v>
      </c>
    </row>
    <row r="16" spans="1:11" x14ac:dyDescent="0.35">
      <c r="A16" s="74">
        <v>10</v>
      </c>
      <c r="B16" s="51">
        <f t="shared" si="1"/>
        <v>45010</v>
      </c>
      <c r="C16" s="25">
        <f t="shared" si="2"/>
        <v>-1691213.1532962138</v>
      </c>
      <c r="D16" s="25">
        <f t="shared" si="3"/>
        <v>-5326.0985174681846</v>
      </c>
      <c r="E16" s="31">
        <f>'4 13 22 Forecast Usage by Sched'!M15</f>
        <v>255156725.29535589</v>
      </c>
      <c r="F16" s="31"/>
      <c r="G16" s="74">
        <v>10</v>
      </c>
      <c r="H16" s="51">
        <f t="shared" si="0"/>
        <v>45010</v>
      </c>
      <c r="I16" s="25">
        <f t="shared" si="4"/>
        <v>851973.96042887762</v>
      </c>
      <c r="J16" s="25">
        <f t="shared" si="5"/>
        <v>2585.5797433570647</v>
      </c>
      <c r="K16" s="31">
        <f>'4 13 22 Forecast Usage by Sched'!N15</f>
        <v>169818091.71242481</v>
      </c>
    </row>
    <row r="17" spans="1:11" x14ac:dyDescent="0.35">
      <c r="A17" s="74">
        <v>11</v>
      </c>
      <c r="B17" s="51">
        <f t="shared" si="1"/>
        <v>45041</v>
      </c>
      <c r="C17" s="25">
        <f t="shared" si="2"/>
        <v>-1194930.8096607458</v>
      </c>
      <c r="D17" s="25">
        <f t="shared" si="3"/>
        <v>-3903.0345904962528</v>
      </c>
      <c r="E17" s="31">
        <f>'4 13 22 Forecast Usage by Sched'!M16</f>
        <v>227356990.10271099</v>
      </c>
      <c r="F17" s="31"/>
      <c r="G17" s="74">
        <v>11</v>
      </c>
      <c r="H17" s="51">
        <f t="shared" si="0"/>
        <v>45041</v>
      </c>
      <c r="I17" s="25">
        <f t="shared" si="4"/>
        <v>653163.92728221253</v>
      </c>
      <c r="J17" s="25">
        <f t="shared" si="5"/>
        <v>2035.4512160869833</v>
      </c>
      <c r="K17" s="31">
        <f>'4 13 22 Forecast Usage by Sched'!N16</f>
        <v>161972164.80867106</v>
      </c>
    </row>
    <row r="18" spans="1:11" x14ac:dyDescent="0.35">
      <c r="A18" s="74">
        <v>12</v>
      </c>
      <c r="B18" s="51">
        <f t="shared" si="1"/>
        <v>45072</v>
      </c>
      <c r="C18" s="25">
        <f t="shared" si="2"/>
        <v>-788562.36535549909</v>
      </c>
      <c r="D18" s="25">
        <f t="shared" si="3"/>
        <v>-2682.3479949247044</v>
      </c>
      <c r="E18" s="31">
        <f>'4 13 22 Forecast Usage by Sched'!M17</f>
        <v>185932178.31825978</v>
      </c>
      <c r="F18" s="31"/>
      <c r="G18" s="74">
        <v>12</v>
      </c>
      <c r="H18" s="51">
        <f t="shared" si="0"/>
        <v>45072</v>
      </c>
      <c r="I18" s="25">
        <f t="shared" si="4"/>
        <v>465886.10820356</v>
      </c>
      <c r="J18" s="25">
        <f t="shared" si="5"/>
        <v>1513.3309540533699</v>
      </c>
      <c r="K18" s="31">
        <f>'4 13 22 Forecast Usage by Sched'!N17</f>
        <v>152250927.44573051</v>
      </c>
    </row>
    <row r="19" spans="1:11" x14ac:dyDescent="0.35">
      <c r="A19" s="74">
        <v>13</v>
      </c>
      <c r="B19" s="51">
        <f t="shared" si="1"/>
        <v>45103</v>
      </c>
      <c r="C19" s="25">
        <f t="shared" si="2"/>
        <v>-428524.43229839409</v>
      </c>
      <c r="D19" s="25">
        <f t="shared" si="3"/>
        <v>-1645.9095359929897</v>
      </c>
      <c r="E19" s="31">
        <f>'4 13 22 Forecast Usage by Sched'!M18</f>
        <v>164401746.63322636</v>
      </c>
      <c r="F19" s="31"/>
      <c r="G19" s="74">
        <v>13</v>
      </c>
      <c r="H19" s="51">
        <f t="shared" si="0"/>
        <v>45103</v>
      </c>
      <c r="I19" s="25">
        <f t="shared" si="4"/>
        <v>264754.60861732555</v>
      </c>
      <c r="J19" s="25">
        <f t="shared" si="5"/>
        <v>988.07129082196127</v>
      </c>
      <c r="K19" s="31">
        <f>'4 13 22 Forecast Usage by Sched'!N18</f>
        <v>162999653.93310997</v>
      </c>
    </row>
    <row r="20" spans="1:11" x14ac:dyDescent="0.35">
      <c r="A20" s="74">
        <v>14</v>
      </c>
      <c r="B20" s="51">
        <f t="shared" si="1"/>
        <v>45134</v>
      </c>
      <c r="C20" s="25">
        <f t="shared" si="2"/>
        <v>-83024.133701553044</v>
      </c>
      <c r="D20" s="25">
        <f t="shared" si="3"/>
        <v>-691.78522396747258</v>
      </c>
      <c r="E20" s="31">
        <f>'4 13 22 Forecast Usage by Sched'!M19</f>
        <v>157360038.10036749</v>
      </c>
      <c r="F20" s="31"/>
      <c r="G20" s="74">
        <v>14</v>
      </c>
      <c r="H20" s="51">
        <f t="shared" si="0"/>
        <v>45134</v>
      </c>
      <c r="I20" s="25">
        <f t="shared" si="4"/>
        <v>43485.952928767685</v>
      </c>
      <c r="J20" s="25">
        <f t="shared" si="5"/>
        <v>416.84461667525358</v>
      </c>
      <c r="K20" s="31">
        <f>'4 13 22 Forecast Usage by Sched'!N19</f>
        <v>178778629.27841377</v>
      </c>
    </row>
    <row r="21" spans="1:11" x14ac:dyDescent="0.35">
      <c r="B21" s="26"/>
      <c r="C21" s="26"/>
      <c r="D21" s="26"/>
      <c r="E21" s="26"/>
      <c r="F21" s="26"/>
      <c r="G21" s="74"/>
      <c r="H21" s="26"/>
      <c r="I21" s="26"/>
      <c r="J21" s="26"/>
      <c r="K21" s="26"/>
    </row>
    <row r="22" spans="1:11" x14ac:dyDescent="0.35">
      <c r="A22" s="74">
        <v>15</v>
      </c>
      <c r="B22" s="26" t="s">
        <v>4</v>
      </c>
      <c r="C22" s="26"/>
      <c r="D22" s="25">
        <f>SUM(D9:D21)</f>
        <v>-90950.680422624093</v>
      </c>
      <c r="E22" s="32">
        <f>SUM(E9:E21)</f>
        <v>2479103468.6205006</v>
      </c>
      <c r="F22" s="32"/>
      <c r="G22" s="74">
        <v>15</v>
      </c>
      <c r="H22" s="26" t="s">
        <v>4</v>
      </c>
      <c r="I22" s="26"/>
      <c r="J22" s="25">
        <f>SUM(J9:J21)</f>
        <v>41636.944242519014</v>
      </c>
      <c r="K22" s="32">
        <f>SUM(K9:K21)</f>
        <v>2081609217.6471879</v>
      </c>
    </row>
    <row r="23" spans="1:11" x14ac:dyDescent="0.35">
      <c r="B23" s="26"/>
      <c r="C23" s="26"/>
      <c r="D23" s="25"/>
      <c r="E23" s="32"/>
      <c r="F23" s="32"/>
      <c r="G23" s="74"/>
      <c r="H23" s="26"/>
      <c r="I23" s="26"/>
      <c r="J23" s="25"/>
      <c r="K23" s="32"/>
    </row>
    <row r="24" spans="1:11" ht="28.15" customHeight="1" x14ac:dyDescent="0.35">
      <c r="A24" s="74">
        <v>16</v>
      </c>
      <c r="B24" s="164" t="s">
        <v>8</v>
      </c>
      <c r="C24" s="164"/>
      <c r="D24" s="27">
        <f>ROUND(D22/E22,5)</f>
        <v>-4.0000000000000003E-5</v>
      </c>
      <c r="E24" s="32"/>
      <c r="F24" s="32"/>
      <c r="G24" s="74">
        <v>16</v>
      </c>
      <c r="H24" s="164" t="s">
        <v>8</v>
      </c>
      <c r="I24" s="164"/>
      <c r="J24" s="27">
        <f>ROUND(J22/K22,5)</f>
        <v>2.0000000000000002E-5</v>
      </c>
      <c r="K24" s="32"/>
    </row>
    <row r="25" spans="1:11" ht="28.15" customHeight="1" x14ac:dyDescent="0.35">
      <c r="A25" s="74">
        <v>17</v>
      </c>
      <c r="B25" s="164" t="s">
        <v>9</v>
      </c>
      <c r="C25" s="164"/>
      <c r="D25" s="27">
        <f>C7</f>
        <v>-2.2000000000000001E-3</v>
      </c>
      <c r="E25" s="32"/>
      <c r="F25" s="32"/>
      <c r="G25" s="74">
        <v>17</v>
      </c>
      <c r="H25" s="164" t="s">
        <v>9</v>
      </c>
      <c r="I25" s="164"/>
      <c r="J25" s="27">
        <f>I7</f>
        <v>1.24E-3</v>
      </c>
      <c r="K25" s="32"/>
    </row>
    <row r="26" spans="1:11" ht="28.9" customHeight="1" x14ac:dyDescent="0.35">
      <c r="A26" s="74">
        <v>18</v>
      </c>
      <c r="B26" s="164" t="s">
        <v>10</v>
      </c>
      <c r="C26" s="164"/>
      <c r="D26" s="27">
        <f>D24+D25</f>
        <v>-2.2400000000000002E-3</v>
      </c>
      <c r="E26" s="33"/>
      <c r="F26" s="33"/>
      <c r="G26" s="74">
        <v>18</v>
      </c>
      <c r="H26" s="164" t="s">
        <v>10</v>
      </c>
      <c r="I26" s="164"/>
      <c r="J26" s="27">
        <f>J24+J25</f>
        <v>1.2600000000000001E-3</v>
      </c>
      <c r="K26" s="33"/>
    </row>
    <row r="27" spans="1:11" ht="28.9" customHeight="1" x14ac:dyDescent="0.35">
      <c r="A27" s="74">
        <v>19</v>
      </c>
      <c r="B27" s="168" t="s">
        <v>11</v>
      </c>
      <c r="C27" s="168"/>
      <c r="D27" s="28">
        <f>'Conversion Factor'!$E$114</f>
        <v>1.044716</v>
      </c>
      <c r="E27" s="32"/>
      <c r="F27" s="32"/>
      <c r="G27" s="74">
        <v>19</v>
      </c>
      <c r="H27" s="168" t="s">
        <v>11</v>
      </c>
      <c r="I27" s="168"/>
      <c r="J27" s="28">
        <f>D27</f>
        <v>1.044716</v>
      </c>
      <c r="K27" s="32"/>
    </row>
    <row r="28" spans="1:11" ht="30" customHeight="1" x14ac:dyDescent="0.35">
      <c r="A28" s="74">
        <v>20</v>
      </c>
      <c r="B28" s="26" t="s">
        <v>74</v>
      </c>
      <c r="C28" s="26"/>
      <c r="D28" s="27">
        <f>ROUND(D26*D27,5)</f>
        <v>-2.3400000000000001E-3</v>
      </c>
      <c r="E28" s="32"/>
      <c r="F28" s="32"/>
      <c r="G28" s="74">
        <v>20</v>
      </c>
      <c r="H28" s="26" t="s">
        <v>74</v>
      </c>
      <c r="I28" s="26"/>
      <c r="J28" s="27">
        <f>ROUND(J26*J27,5)</f>
        <v>1.32E-3</v>
      </c>
      <c r="K28" s="32"/>
    </row>
    <row r="29" spans="1:11" ht="27.65" customHeight="1" x14ac:dyDescent="0.35">
      <c r="A29" s="74">
        <v>21</v>
      </c>
      <c r="B29" s="26" t="s">
        <v>67</v>
      </c>
      <c r="C29" s="26"/>
      <c r="D29" s="27">
        <f>'Earnings Test and 3% Test'!D55</f>
        <v>0</v>
      </c>
      <c r="E29" s="32"/>
      <c r="F29" s="32"/>
      <c r="G29" s="74">
        <v>21</v>
      </c>
      <c r="H29" s="26" t="s">
        <v>67</v>
      </c>
      <c r="I29" s="26"/>
      <c r="J29" s="27">
        <f>'Earnings Test and 3% Test'!E55</f>
        <v>0</v>
      </c>
      <c r="K29" s="32"/>
    </row>
    <row r="30" spans="1:11" ht="27.65" customHeight="1" x14ac:dyDescent="0.35">
      <c r="A30" s="74">
        <v>22</v>
      </c>
      <c r="B30" s="26" t="s">
        <v>68</v>
      </c>
      <c r="C30" s="26"/>
      <c r="D30" s="27">
        <f>D28+D29</f>
        <v>-2.3400000000000001E-3</v>
      </c>
      <c r="E30" s="32" t="str">
        <f>IF(D30&lt;0,"Rebate Rate","Surcharge Rate")</f>
        <v>Rebate Rate</v>
      </c>
      <c r="F30" s="32"/>
      <c r="G30" s="74">
        <v>22</v>
      </c>
      <c r="H30" s="26" t="s">
        <v>68</v>
      </c>
      <c r="I30" s="26"/>
      <c r="J30" s="27">
        <f>J28+J29</f>
        <v>1.32E-3</v>
      </c>
      <c r="K30" s="32" t="str">
        <f>IF(J30&lt;0,"Rebate Rate","Surcharge Rate")</f>
        <v>Surcharge Rate</v>
      </c>
    </row>
    <row r="31" spans="1:11" ht="28.15" customHeight="1" x14ac:dyDescent="0.35">
      <c r="A31" s="74">
        <v>23</v>
      </c>
      <c r="B31" s="26"/>
      <c r="C31" s="29" t="s">
        <v>71</v>
      </c>
      <c r="D31" s="27">
        <f>ROUND(D30*'Conversion Factor'!$E$108,5)</f>
        <v>-2.2399999999999998E-3</v>
      </c>
      <c r="E31" s="32" t="s">
        <v>12</v>
      </c>
      <c r="F31" s="32"/>
      <c r="G31" s="74">
        <v>23</v>
      </c>
      <c r="H31" s="26"/>
      <c r="I31" s="29" t="s">
        <v>71</v>
      </c>
      <c r="J31" s="27">
        <f>ROUND(J30*'Conversion Factor'!$E$108,5)</f>
        <v>1.2600000000000001E-3</v>
      </c>
      <c r="K31" s="32" t="s">
        <v>12</v>
      </c>
    </row>
    <row r="32" spans="1:11" ht="29.5" customHeight="1" x14ac:dyDescent="0.35">
      <c r="A32" s="74">
        <v>24</v>
      </c>
      <c r="B32" s="26" t="s">
        <v>73</v>
      </c>
      <c r="C32" s="26"/>
      <c r="D32" s="25">
        <f>IF(D29=0,0,C68)</f>
        <v>0</v>
      </c>
      <c r="E32" s="32"/>
      <c r="F32" s="32"/>
      <c r="G32" s="74">
        <v>24</v>
      </c>
      <c r="H32" s="26" t="s">
        <v>73</v>
      </c>
      <c r="I32" s="26"/>
      <c r="J32" s="25">
        <f>IF(J29=0,0,I68)</f>
        <v>0</v>
      </c>
      <c r="K32" s="32"/>
    </row>
    <row r="33" spans="1:12" ht="18" customHeight="1" x14ac:dyDescent="0.35">
      <c r="B33" s="26"/>
      <c r="C33" s="26"/>
      <c r="D33" s="34"/>
      <c r="E33" s="26"/>
      <c r="F33" s="26"/>
      <c r="G33" s="26"/>
      <c r="H33" s="168"/>
      <c r="I33" s="168"/>
      <c r="J33" s="34"/>
      <c r="K33" s="26"/>
    </row>
    <row r="34" spans="1:12" ht="16.149999999999999" customHeight="1" x14ac:dyDescent="0.35">
      <c r="A34" s="52" t="s">
        <v>69</v>
      </c>
      <c r="B34" s="52"/>
      <c r="C34" s="26"/>
      <c r="D34" s="34"/>
      <c r="E34" s="26"/>
      <c r="F34" s="26"/>
      <c r="G34" s="52" t="s">
        <v>69</v>
      </c>
      <c r="H34" s="52"/>
      <c r="I34" s="26"/>
      <c r="J34" s="34"/>
      <c r="K34" s="26"/>
    </row>
    <row r="35" spans="1:12" ht="43.15" customHeight="1" x14ac:dyDescent="0.35">
      <c r="A35" s="82" t="s">
        <v>98</v>
      </c>
      <c r="B35" s="169" t="str">
        <f>"Deferral balance at the end of the month, Rate of "&amp;TEXT(D25,"$0.00000")&amp;" to recover the July 2022 balance of "&amp;TEXT(C8,"$000,000")&amp;" over 12 months.  See page 2 and 5 of Attachment A for July 2022 balance calculation."</f>
        <v>Deferral balance at the end of the month, Rate of -$0.00220 to recover the July 2022 balance of -$5,446,101 over 12 months.  See page 2 and 5 of Attachment A for July 2022 balance calculation.</v>
      </c>
      <c r="C35" s="169"/>
      <c r="D35" s="169"/>
      <c r="E35" s="169"/>
      <c r="F35" s="26"/>
      <c r="G35" s="82" t="s">
        <v>98</v>
      </c>
      <c r="H35" s="169" t="str">
        <f>"Deferral balance at the end of the month, Rate of "&amp;TEXT(J25,"$0.00000")&amp;" to recover the July 2022 balance of "&amp;TEXT(I8,"$000,000")&amp;" over 12 months.  See page 4 and 5 of Attachment A for July 2022 balance calculation."</f>
        <v>Deferral balance at the end of the month, Rate of $0.00124 to recover the July 2022 balance of $2,583,044 over 12 months.  See page 4 and 5 of Attachment A for July 2022 balance calculation.</v>
      </c>
      <c r="I35" s="169"/>
      <c r="J35" s="169"/>
      <c r="K35" s="169"/>
    </row>
    <row r="36" spans="1:12" ht="28.9" customHeight="1" x14ac:dyDescent="0.35">
      <c r="A36" s="82" t="s">
        <v>99</v>
      </c>
      <c r="B36" s="170" t="s">
        <v>100</v>
      </c>
      <c r="C36" s="170"/>
      <c r="D36" s="170"/>
      <c r="E36" s="170"/>
      <c r="F36" s="26"/>
      <c r="G36" s="82" t="s">
        <v>99</v>
      </c>
      <c r="H36" s="170" t="s">
        <v>100</v>
      </c>
      <c r="I36" s="170"/>
      <c r="J36" s="170"/>
      <c r="K36" s="170"/>
    </row>
    <row r="37" spans="1:12" ht="15.65" customHeight="1" x14ac:dyDescent="0.35">
      <c r="B37" s="56" t="s">
        <v>72</v>
      </c>
      <c r="C37" s="57"/>
      <c r="D37" s="57"/>
      <c r="E37" s="57"/>
      <c r="F37" s="26"/>
      <c r="H37" s="56" t="s">
        <v>72</v>
      </c>
      <c r="I37" s="79"/>
      <c r="J37" s="79"/>
      <c r="K37" s="79"/>
    </row>
    <row r="38" spans="1:12" ht="18" customHeight="1" x14ac:dyDescent="0.35">
      <c r="A38" s="97" t="s">
        <v>101</v>
      </c>
      <c r="B38" s="171" t="s">
        <v>188</v>
      </c>
      <c r="C38" s="171"/>
      <c r="D38" s="171"/>
      <c r="E38" s="171"/>
      <c r="F38" s="26"/>
      <c r="G38" s="97" t="s">
        <v>101</v>
      </c>
      <c r="H38" s="171" t="s">
        <v>188</v>
      </c>
      <c r="I38" s="171"/>
      <c r="J38" s="171"/>
      <c r="K38" s="171"/>
    </row>
    <row r="39" spans="1:12" ht="18" customHeight="1" x14ac:dyDescent="0.35">
      <c r="A39" s="97" t="s">
        <v>102</v>
      </c>
      <c r="B39" s="172" t="s">
        <v>117</v>
      </c>
      <c r="C39" s="172"/>
      <c r="D39" s="172"/>
      <c r="E39" s="172"/>
      <c r="F39" s="26"/>
      <c r="G39" s="97" t="s">
        <v>102</v>
      </c>
      <c r="H39" s="172" t="s">
        <v>117</v>
      </c>
      <c r="I39" s="172"/>
      <c r="J39" s="172"/>
      <c r="K39" s="172"/>
    </row>
    <row r="40" spans="1:12" ht="18" customHeight="1" x14ac:dyDescent="0.35">
      <c r="A40" s="97" t="s">
        <v>103</v>
      </c>
      <c r="B40" s="172" t="s">
        <v>104</v>
      </c>
      <c r="C40" s="172"/>
      <c r="D40" s="172"/>
      <c r="E40" s="172"/>
      <c r="F40" s="26"/>
      <c r="G40" s="97" t="s">
        <v>103</v>
      </c>
      <c r="H40" s="172" t="s">
        <v>118</v>
      </c>
      <c r="I40" s="172"/>
      <c r="J40" s="172"/>
      <c r="K40" s="172"/>
    </row>
    <row r="41" spans="1:12" ht="14.5" customHeight="1" x14ac:dyDescent="0.35">
      <c r="B41" s="60"/>
      <c r="C41" s="60"/>
      <c r="D41" s="34"/>
      <c r="E41" s="26"/>
      <c r="F41" s="26"/>
      <c r="G41" s="26"/>
      <c r="H41" s="60"/>
      <c r="I41" s="60"/>
      <c r="J41" s="34"/>
      <c r="K41" s="26"/>
    </row>
    <row r="42" spans="1:12" ht="27.65" customHeight="1" x14ac:dyDescent="0.45">
      <c r="B42" s="173" t="str">
        <f>B5</f>
        <v>Residential Electric</v>
      </c>
      <c r="C42" s="173"/>
      <c r="D42" s="173"/>
      <c r="E42" s="173"/>
      <c r="F42" s="58"/>
      <c r="G42" s="26"/>
      <c r="H42" s="173" t="str">
        <f>H5</f>
        <v>Non-Residential Electric</v>
      </c>
      <c r="I42" s="173"/>
      <c r="J42" s="173"/>
      <c r="K42" s="173"/>
    </row>
    <row r="43" spans="1:12" x14ac:dyDescent="0.35">
      <c r="B43" s="167" t="s">
        <v>178</v>
      </c>
      <c r="C43" s="167"/>
      <c r="D43" s="167"/>
      <c r="E43" s="167"/>
      <c r="F43" s="26"/>
      <c r="G43" s="26"/>
      <c r="H43" s="167" t="str">
        <f>B43</f>
        <v>Calculate Estimated Monthly Balances through July 2023</v>
      </c>
      <c r="I43" s="167"/>
      <c r="J43" s="167"/>
      <c r="K43" s="167"/>
    </row>
    <row r="44" spans="1:12" ht="27.65" customHeight="1" x14ac:dyDescent="0.35">
      <c r="A44" s="75" t="s">
        <v>91</v>
      </c>
      <c r="B44" s="26"/>
      <c r="C44" s="58" t="s">
        <v>7</v>
      </c>
      <c r="D44" s="58" t="s">
        <v>3</v>
      </c>
      <c r="E44" s="59" t="s">
        <v>70</v>
      </c>
      <c r="F44" s="120" t="s">
        <v>116</v>
      </c>
      <c r="G44" s="75" t="s">
        <v>91</v>
      </c>
      <c r="H44" s="26"/>
      <c r="I44" s="58" t="s">
        <v>7</v>
      </c>
      <c r="J44" s="58" t="s">
        <v>3</v>
      </c>
      <c r="K44" s="61" t="s">
        <v>70</v>
      </c>
      <c r="L44" s="120" t="s">
        <v>116</v>
      </c>
    </row>
    <row r="45" spans="1:12" x14ac:dyDescent="0.35">
      <c r="B45" s="26"/>
      <c r="C45" s="26"/>
      <c r="D45" s="55"/>
      <c r="E45" s="26"/>
      <c r="F45" s="26"/>
      <c r="G45" s="26"/>
      <c r="H45" s="26"/>
      <c r="I45" s="26"/>
      <c r="J45" s="55"/>
      <c r="K45" s="26"/>
    </row>
    <row r="46" spans="1:12" x14ac:dyDescent="0.35">
      <c r="A46" s="76">
        <v>1</v>
      </c>
      <c r="B46" s="157">
        <v>44531</v>
      </c>
      <c r="C46" s="143">
        <v>-5123505</v>
      </c>
      <c r="D46" s="26"/>
      <c r="E46" s="26"/>
      <c r="F46" s="26"/>
      <c r="G46" s="76">
        <v>1</v>
      </c>
      <c r="H46" s="156">
        <f>B46</f>
        <v>44531</v>
      </c>
      <c r="I46" s="143">
        <v>2389111</v>
      </c>
      <c r="J46" s="26"/>
      <c r="K46" s="26"/>
    </row>
    <row r="47" spans="1:12" x14ac:dyDescent="0.35">
      <c r="A47" s="76">
        <v>2</v>
      </c>
      <c r="B47" s="51" t="s">
        <v>75</v>
      </c>
      <c r="C47" s="25">
        <f>-'Earnings Test and 3% Test'!E34</f>
        <v>0</v>
      </c>
      <c r="D47" s="26"/>
      <c r="E47" s="26"/>
      <c r="F47" s="26"/>
      <c r="G47" s="76">
        <v>2</v>
      </c>
      <c r="H47" s="51" t="s">
        <v>75</v>
      </c>
      <c r="I47" s="25">
        <f>-'Earnings Test and 3% Test'!E35</f>
        <v>0</v>
      </c>
      <c r="J47" s="26"/>
      <c r="K47" s="26"/>
    </row>
    <row r="48" spans="1:12" x14ac:dyDescent="0.35">
      <c r="A48" s="76">
        <v>3</v>
      </c>
      <c r="B48" s="51" t="s">
        <v>76</v>
      </c>
      <c r="C48" s="25">
        <f>C46+C47</f>
        <v>-5123505</v>
      </c>
      <c r="D48" s="26"/>
      <c r="E48" s="26"/>
      <c r="F48" s="26"/>
      <c r="G48" s="76">
        <v>3</v>
      </c>
      <c r="H48" s="51" t="s">
        <v>76</v>
      </c>
      <c r="I48" s="25">
        <f>I46+I47</f>
        <v>2389111</v>
      </c>
      <c r="J48" s="26"/>
      <c r="K48" s="26"/>
    </row>
    <row r="49" spans="1:12" x14ac:dyDescent="0.35">
      <c r="A49" s="76">
        <v>4</v>
      </c>
      <c r="B49" s="141">
        <v>44562</v>
      </c>
      <c r="C49" s="25">
        <f>C48+D49-E49</f>
        <v>-5137381.1593749998</v>
      </c>
      <c r="D49" s="25">
        <f>(C48-E49/2)*F49/12</f>
        <v>-13876.159375000001</v>
      </c>
      <c r="E49" s="26"/>
      <c r="F49" s="34">
        <v>3.2500000000000001E-2</v>
      </c>
      <c r="G49" s="76">
        <v>4</v>
      </c>
      <c r="H49" s="51">
        <f>B49</f>
        <v>44562</v>
      </c>
      <c r="I49" s="25">
        <f>I48+J49-K49</f>
        <v>2395581.5089583332</v>
      </c>
      <c r="J49" s="25">
        <f>(I48-K49/2)*L49/12</f>
        <v>6470.5089583333329</v>
      </c>
      <c r="K49" s="26"/>
      <c r="L49" s="36">
        <f>F49</f>
        <v>3.2500000000000001E-2</v>
      </c>
    </row>
    <row r="50" spans="1:12" x14ac:dyDescent="0.35">
      <c r="A50" s="76">
        <v>5</v>
      </c>
      <c r="B50" s="51">
        <f>B49+31</f>
        <v>44593</v>
      </c>
      <c r="C50" s="25">
        <f t="shared" ref="C50:C55" si="6">C49+D50-E50</f>
        <v>-5151294.9000149742</v>
      </c>
      <c r="D50" s="25">
        <f t="shared" ref="D50:D55" si="7">(C49-E50/2)*F50/12</f>
        <v>-13913.740639973958</v>
      </c>
      <c r="E50" s="26"/>
      <c r="F50" s="121">
        <f>F49</f>
        <v>3.2500000000000001E-2</v>
      </c>
      <c r="G50" s="76">
        <v>5</v>
      </c>
      <c r="H50" s="51">
        <f t="shared" ref="H50:H68" si="8">B50</f>
        <v>44593</v>
      </c>
      <c r="I50" s="25">
        <f t="shared" ref="I50:I55" si="9">I49+J50-K50</f>
        <v>2402069.5422117622</v>
      </c>
      <c r="J50" s="25">
        <f t="shared" ref="J50:J55" si="10">(I49-K50/2)*L50/12</f>
        <v>6488.03325342882</v>
      </c>
      <c r="K50" s="26"/>
      <c r="L50" s="36">
        <f t="shared" ref="L50:L68" si="11">F50</f>
        <v>3.2500000000000001E-2</v>
      </c>
    </row>
    <row r="51" spans="1:12" x14ac:dyDescent="0.35">
      <c r="A51" s="76">
        <v>6</v>
      </c>
      <c r="B51" s="51">
        <f t="shared" ref="B51:B55" si="12">B50+31</f>
        <v>44624</v>
      </c>
      <c r="C51" s="25">
        <f t="shared" si="6"/>
        <v>-5165246.3237025151</v>
      </c>
      <c r="D51" s="25">
        <f t="shared" si="7"/>
        <v>-13951.423687540555</v>
      </c>
      <c r="E51" s="26"/>
      <c r="F51" s="121">
        <f t="shared" ref="F51:F54" si="13">F50</f>
        <v>3.2500000000000001E-2</v>
      </c>
      <c r="G51" s="76">
        <v>6</v>
      </c>
      <c r="H51" s="51">
        <f t="shared" si="8"/>
        <v>44624</v>
      </c>
      <c r="I51" s="25">
        <f t="shared" si="9"/>
        <v>2408575.1472219191</v>
      </c>
      <c r="J51" s="25">
        <f t="shared" si="10"/>
        <v>6505.6050101568553</v>
      </c>
      <c r="K51" s="26"/>
      <c r="L51" s="36">
        <f t="shared" si="11"/>
        <v>3.2500000000000001E-2</v>
      </c>
    </row>
    <row r="52" spans="1:12" x14ac:dyDescent="0.35">
      <c r="A52" s="76">
        <v>7</v>
      </c>
      <c r="B52" s="51">
        <f t="shared" si="12"/>
        <v>44655</v>
      </c>
      <c r="C52" s="25">
        <f t="shared" si="6"/>
        <v>-5179235.5324958758</v>
      </c>
      <c r="D52" s="25">
        <f t="shared" si="7"/>
        <v>-13989.20879336098</v>
      </c>
      <c r="E52" s="26"/>
      <c r="F52" s="121">
        <v>3.2500000000000001E-2</v>
      </c>
      <c r="G52" s="76">
        <v>7</v>
      </c>
      <c r="H52" s="51">
        <f t="shared" si="8"/>
        <v>44655</v>
      </c>
      <c r="I52" s="25">
        <f t="shared" si="9"/>
        <v>2415098.3715789784</v>
      </c>
      <c r="J52" s="25">
        <f t="shared" si="10"/>
        <v>6523.2243570593646</v>
      </c>
      <c r="K52" s="26"/>
      <c r="L52" s="36">
        <f t="shared" si="11"/>
        <v>3.2500000000000001E-2</v>
      </c>
    </row>
    <row r="53" spans="1:12" x14ac:dyDescent="0.35">
      <c r="A53" s="76">
        <v>8</v>
      </c>
      <c r="B53" s="51">
        <f t="shared" si="12"/>
        <v>44686</v>
      </c>
      <c r="C53" s="25">
        <f t="shared" si="6"/>
        <v>-5193262.6287297187</v>
      </c>
      <c r="D53" s="25">
        <f t="shared" si="7"/>
        <v>-14027.096233842998</v>
      </c>
      <c r="E53" s="26"/>
      <c r="F53" s="121">
        <f t="shared" si="13"/>
        <v>3.2500000000000001E-2</v>
      </c>
      <c r="G53" s="76">
        <v>8</v>
      </c>
      <c r="H53" s="51">
        <f t="shared" si="8"/>
        <v>44686</v>
      </c>
      <c r="I53" s="25">
        <f t="shared" si="9"/>
        <v>2421639.2630020049</v>
      </c>
      <c r="J53" s="25">
        <f t="shared" si="10"/>
        <v>6540.8914230264008</v>
      </c>
      <c r="K53" s="26"/>
      <c r="L53" s="36">
        <f t="shared" si="11"/>
        <v>3.2500000000000001E-2</v>
      </c>
    </row>
    <row r="54" spans="1:12" x14ac:dyDescent="0.35">
      <c r="A54" s="76">
        <v>9</v>
      </c>
      <c r="B54" s="51">
        <f t="shared" si="12"/>
        <v>44717</v>
      </c>
      <c r="C54" s="25">
        <f t="shared" si="6"/>
        <v>-5207327.7150158621</v>
      </c>
      <c r="D54" s="25">
        <f t="shared" si="7"/>
        <v>-14065.086286142991</v>
      </c>
      <c r="E54" s="26"/>
      <c r="F54" s="121">
        <f t="shared" si="13"/>
        <v>3.2500000000000001E-2</v>
      </c>
      <c r="G54" s="76">
        <v>9</v>
      </c>
      <c r="H54" s="51">
        <f t="shared" si="8"/>
        <v>44717</v>
      </c>
      <c r="I54" s="25">
        <f t="shared" si="9"/>
        <v>2428197.8693393022</v>
      </c>
      <c r="J54" s="25">
        <f t="shared" si="10"/>
        <v>6558.6063372970966</v>
      </c>
      <c r="K54" s="26"/>
      <c r="L54" s="36">
        <f t="shared" si="11"/>
        <v>3.2500000000000001E-2</v>
      </c>
    </row>
    <row r="55" spans="1:12" x14ac:dyDescent="0.35">
      <c r="A55" s="76">
        <v>10</v>
      </c>
      <c r="B55" s="53">
        <f t="shared" si="12"/>
        <v>44748</v>
      </c>
      <c r="C55" s="54">
        <f t="shared" si="6"/>
        <v>-5221430.8942440301</v>
      </c>
      <c r="D55" s="25">
        <f t="shared" si="7"/>
        <v>-14103.179228167961</v>
      </c>
      <c r="E55" s="26"/>
      <c r="F55" s="121">
        <v>3.2500000000000001E-2</v>
      </c>
      <c r="G55" s="76">
        <v>10</v>
      </c>
      <c r="H55" s="53">
        <f t="shared" si="8"/>
        <v>44748</v>
      </c>
      <c r="I55" s="54">
        <f t="shared" si="9"/>
        <v>2434774.2385687628</v>
      </c>
      <c r="J55" s="25">
        <f t="shared" si="10"/>
        <v>6576.3692294606108</v>
      </c>
      <c r="K55" s="26"/>
      <c r="L55" s="36">
        <f t="shared" si="11"/>
        <v>3.2500000000000001E-2</v>
      </c>
    </row>
    <row r="56" spans="1:12" x14ac:dyDescent="0.35">
      <c r="A56" s="84">
        <v>14</v>
      </c>
      <c r="B56" s="96" t="s">
        <v>168</v>
      </c>
      <c r="C56" s="54">
        <f>'Prior Year Amortization'!F20</f>
        <v>-224670.19000000012</v>
      </c>
      <c r="D56" s="25"/>
      <c r="E56" s="26"/>
      <c r="F56" s="26"/>
      <c r="G56" s="84">
        <v>14</v>
      </c>
      <c r="H56" s="96" t="str">
        <f t="shared" si="8"/>
        <v xml:space="preserve">Prior Year Carryover Balance </v>
      </c>
      <c r="I56" s="54">
        <f>'Prior Year Amortization'!F37</f>
        <v>148270.19999999925</v>
      </c>
      <c r="J56" s="25"/>
      <c r="K56" s="26"/>
    </row>
    <row r="57" spans="1:12" x14ac:dyDescent="0.35">
      <c r="A57" s="84">
        <v>15</v>
      </c>
      <c r="B57" s="51">
        <f>B55+31</f>
        <v>44779</v>
      </c>
      <c r="C57" s="25">
        <f>C55+D57+C56-E57</f>
        <v>-5064583.1966010891</v>
      </c>
      <c r="D57" s="25">
        <f>(C55+C56-E57/2)*F57/12</f>
        <v>-14213.970212315255</v>
      </c>
      <c r="E57" s="25">
        <f>E9*D$31</f>
        <v>-395731.85785525694</v>
      </c>
      <c r="F57" s="121">
        <f>F55</f>
        <v>3.2500000000000001E-2</v>
      </c>
      <c r="G57" s="84">
        <v>15</v>
      </c>
      <c r="H57" s="51">
        <f t="shared" si="8"/>
        <v>44779</v>
      </c>
      <c r="I57" s="25">
        <f>I55+J57+I56-K57</f>
        <v>2332133.9332274427</v>
      </c>
      <c r="J57" s="25">
        <f>(I55+I56-K57/2)*L57/12</f>
        <v>6646.9696071310382</v>
      </c>
      <c r="K57" s="25">
        <f t="shared" ref="K57:K68" si="14">K9*J$31</f>
        <v>257557.47494845037</v>
      </c>
      <c r="L57" s="36">
        <f t="shared" si="11"/>
        <v>3.2500000000000001E-2</v>
      </c>
    </row>
    <row r="58" spans="1:12" x14ac:dyDescent="0.35">
      <c r="A58" s="84">
        <v>16</v>
      </c>
      <c r="B58" s="51">
        <f t="shared" ref="B58:B67" si="15">B57+31</f>
        <v>44810</v>
      </c>
      <c r="C58" s="25">
        <f t="shared" ref="C58:C67" si="16">C57+D58-E58</f>
        <v>-4656246.9054753119</v>
      </c>
      <c r="D58" s="25">
        <f t="shared" ref="D58:D68" si="17">(C57-E58/2)*F58/12</f>
        <v>-13145.822461977868</v>
      </c>
      <c r="E58" s="25">
        <f t="shared" ref="E58:E68" si="18">E10*D$31</f>
        <v>-421482.11358775449</v>
      </c>
      <c r="F58" s="121">
        <f t="shared" ref="F58:F68" si="19">F57</f>
        <v>3.2500000000000001E-2</v>
      </c>
      <c r="G58" s="84">
        <v>16</v>
      </c>
      <c r="H58" s="51">
        <f t="shared" si="8"/>
        <v>44810</v>
      </c>
      <c r="I58" s="25">
        <f t="shared" ref="I58:I68" si="20">I57+J58-K58</f>
        <v>2097487.9178224858</v>
      </c>
      <c r="J58" s="25">
        <f>(I57-K58/2)*L58/12</f>
        <v>5990.3343455371978</v>
      </c>
      <c r="K58" s="25">
        <f t="shared" si="14"/>
        <v>240636.349750494</v>
      </c>
      <c r="L58" s="36">
        <f t="shared" si="11"/>
        <v>3.2500000000000001E-2</v>
      </c>
    </row>
    <row r="59" spans="1:12" ht="14.5" customHeight="1" x14ac:dyDescent="0.35">
      <c r="A59" s="84">
        <v>17</v>
      </c>
      <c r="B59" s="51">
        <f t="shared" si="15"/>
        <v>44841</v>
      </c>
      <c r="C59" s="25">
        <f t="shared" si="16"/>
        <v>-4326925.5482263323</v>
      </c>
      <c r="D59" s="25">
        <f t="shared" si="17"/>
        <v>-12148.261926362358</v>
      </c>
      <c r="E59" s="25">
        <f t="shared" si="18"/>
        <v>-341469.61917534232</v>
      </c>
      <c r="F59" s="121">
        <f t="shared" si="19"/>
        <v>3.2500000000000001E-2</v>
      </c>
      <c r="G59" s="84">
        <v>17</v>
      </c>
      <c r="H59" s="51">
        <f t="shared" si="8"/>
        <v>44841</v>
      </c>
      <c r="I59" s="25">
        <f t="shared" si="20"/>
        <v>1890162.5259835124</v>
      </c>
      <c r="J59" s="25">
        <f t="shared" ref="J59:J68" si="21">(I58-K59/2)*L59/12</f>
        <v>5392.640774937895</v>
      </c>
      <c r="K59" s="25">
        <f t="shared" si="14"/>
        <v>212718.03261391117</v>
      </c>
      <c r="L59" s="36">
        <f t="shared" si="11"/>
        <v>3.2500000000000001E-2</v>
      </c>
    </row>
    <row r="60" spans="1:12" x14ac:dyDescent="0.35">
      <c r="A60" s="84">
        <v>18</v>
      </c>
      <c r="B60" s="51">
        <f t="shared" si="15"/>
        <v>44872</v>
      </c>
      <c r="C60" s="25">
        <f t="shared" si="16"/>
        <v>-3967240.0259551532</v>
      </c>
      <c r="D60" s="25">
        <f t="shared" si="17"/>
        <v>-11216.493546692951</v>
      </c>
      <c r="E60" s="25">
        <f t="shared" si="18"/>
        <v>-370902.01581787161</v>
      </c>
      <c r="F60" s="121">
        <f t="shared" si="19"/>
        <v>3.2500000000000001E-2</v>
      </c>
      <c r="G60" s="84">
        <v>18</v>
      </c>
      <c r="H60" s="51">
        <f t="shared" si="8"/>
        <v>44872</v>
      </c>
      <c r="I60" s="25">
        <f t="shared" si="20"/>
        <v>1675577.8583261045</v>
      </c>
      <c r="J60" s="25">
        <f t="shared" si="21"/>
        <v>4822.0768746515159</v>
      </c>
      <c r="K60" s="25">
        <f t="shared" si="14"/>
        <v>219406.74453205953</v>
      </c>
      <c r="L60" s="36">
        <f t="shared" si="11"/>
        <v>3.2500000000000001E-2</v>
      </c>
    </row>
    <row r="61" spans="1:12" x14ac:dyDescent="0.35">
      <c r="A61" s="84">
        <v>19</v>
      </c>
      <c r="B61" s="51">
        <f t="shared" si="15"/>
        <v>44903</v>
      </c>
      <c r="C61" s="25">
        <f t="shared" si="16"/>
        <v>-3489933.6897381353</v>
      </c>
      <c r="D61" s="25">
        <f t="shared" si="17"/>
        <v>-10084.599844378734</v>
      </c>
      <c r="E61" s="25">
        <f t="shared" si="18"/>
        <v>-487390.93606139661</v>
      </c>
      <c r="F61" s="121">
        <f t="shared" si="19"/>
        <v>3.2500000000000001E-2</v>
      </c>
      <c r="G61" s="84">
        <v>19</v>
      </c>
      <c r="H61" s="51">
        <f t="shared" si="8"/>
        <v>44903</v>
      </c>
      <c r="I61" s="25">
        <f t="shared" si="20"/>
        <v>1463576.0062470129</v>
      </c>
      <c r="J61" s="25">
        <f t="shared" si="21"/>
        <v>4245.188831733125</v>
      </c>
      <c r="K61" s="25">
        <f t="shared" si="14"/>
        <v>216247.04091082467</v>
      </c>
      <c r="L61" s="36">
        <f t="shared" si="11"/>
        <v>3.2500000000000001E-2</v>
      </c>
    </row>
    <row r="62" spans="1:12" x14ac:dyDescent="0.35">
      <c r="A62" s="84">
        <v>20</v>
      </c>
      <c r="B62" s="51">
        <f t="shared" si="15"/>
        <v>44934</v>
      </c>
      <c r="C62" s="25">
        <f t="shared" si="16"/>
        <v>-2853210.1642320435</v>
      </c>
      <c r="D62" s="25">
        <f t="shared" si="17"/>
        <v>-8578.0578489142135</v>
      </c>
      <c r="E62" s="25">
        <f t="shared" si="18"/>
        <v>-645301.58335500606</v>
      </c>
      <c r="F62" s="121">
        <f t="shared" si="19"/>
        <v>3.2500000000000001E-2</v>
      </c>
      <c r="G62" s="84">
        <v>20</v>
      </c>
      <c r="H62" s="51">
        <f t="shared" si="8"/>
        <v>44934</v>
      </c>
      <c r="I62" s="25">
        <f t="shared" si="20"/>
        <v>1248121.1892860243</v>
      </c>
      <c r="J62" s="25">
        <f t="shared" si="21"/>
        <v>3667.1240551263381</v>
      </c>
      <c r="K62" s="25">
        <f t="shared" si="14"/>
        <v>219121.9410161149</v>
      </c>
      <c r="L62" s="36">
        <f t="shared" si="11"/>
        <v>3.2500000000000001E-2</v>
      </c>
    </row>
    <row r="63" spans="1:12" x14ac:dyDescent="0.35">
      <c r="A63" s="84">
        <v>21</v>
      </c>
      <c r="B63" s="51">
        <f t="shared" si="15"/>
        <v>44965</v>
      </c>
      <c r="C63" s="25">
        <f t="shared" si="16"/>
        <v>-2187178.0153626087</v>
      </c>
      <c r="D63" s="25">
        <f t="shared" si="17"/>
        <v>-6816.2952600364597</v>
      </c>
      <c r="E63" s="25">
        <f t="shared" si="18"/>
        <v>-672848.44412947109</v>
      </c>
      <c r="F63" s="121">
        <f t="shared" si="19"/>
        <v>3.2500000000000001E-2</v>
      </c>
      <c r="G63" s="84">
        <v>21</v>
      </c>
      <c r="H63" s="51">
        <f t="shared" si="8"/>
        <v>44965</v>
      </c>
      <c r="I63" s="25">
        <f t="shared" si="20"/>
        <v>1034600.6930294131</v>
      </c>
      <c r="J63" s="25">
        <f t="shared" si="21"/>
        <v>3087.0055622699147</v>
      </c>
      <c r="K63" s="25">
        <f t="shared" si="14"/>
        <v>216607.50181888105</v>
      </c>
      <c r="L63" s="36">
        <f t="shared" si="11"/>
        <v>3.2500000000000001E-2</v>
      </c>
    </row>
    <row r="64" spans="1:12" x14ac:dyDescent="0.35">
      <c r="A64" s="84">
        <v>22</v>
      </c>
      <c r="B64" s="51">
        <f t="shared" si="15"/>
        <v>44996</v>
      </c>
      <c r="C64" s="25">
        <f t="shared" si="16"/>
        <v>-1620776.5824258893</v>
      </c>
      <c r="D64" s="25">
        <f t="shared" si="17"/>
        <v>-5149.6317248778196</v>
      </c>
      <c r="E64" s="25">
        <f t="shared" si="18"/>
        <v>-571551.06466159713</v>
      </c>
      <c r="F64" s="121">
        <f t="shared" si="19"/>
        <v>3.2500000000000001E-2</v>
      </c>
      <c r="G64" s="84">
        <v>22</v>
      </c>
      <c r="H64" s="51">
        <f t="shared" si="8"/>
        <v>44996</v>
      </c>
      <c r="I64" s="25">
        <f t="shared" si="20"/>
        <v>823142.1888963948</v>
      </c>
      <c r="J64" s="25">
        <f t="shared" si="21"/>
        <v>2512.2914246370024</v>
      </c>
      <c r="K64" s="25">
        <f t="shared" si="14"/>
        <v>213970.79555765528</v>
      </c>
      <c r="L64" s="36">
        <f t="shared" si="11"/>
        <v>3.2500000000000001E-2</v>
      </c>
    </row>
    <row r="65" spans="1:12" x14ac:dyDescent="0.35">
      <c r="A65" s="84">
        <v>23</v>
      </c>
      <c r="B65" s="51">
        <f t="shared" si="15"/>
        <v>45027</v>
      </c>
      <c r="C65" s="25">
        <f t="shared" si="16"/>
        <v>-1115196.8783032419</v>
      </c>
      <c r="D65" s="25">
        <f t="shared" si="17"/>
        <v>-3699.9537074252271</v>
      </c>
      <c r="E65" s="25">
        <f t="shared" si="18"/>
        <v>-509279.65783007257</v>
      </c>
      <c r="F65" s="121">
        <f t="shared" si="19"/>
        <v>3.2500000000000001E-2</v>
      </c>
      <c r="G65" s="84">
        <v>23</v>
      </c>
      <c r="H65" s="51">
        <f t="shared" si="8"/>
        <v>45027</v>
      </c>
      <c r="I65" s="25">
        <f t="shared" si="20"/>
        <v>621010.23965952557</v>
      </c>
      <c r="J65" s="25">
        <f t="shared" si="21"/>
        <v>1952.9784220562742</v>
      </c>
      <c r="K65" s="25">
        <f t="shared" si="14"/>
        <v>204084.92765892553</v>
      </c>
      <c r="L65" s="36">
        <f t="shared" si="11"/>
        <v>3.2500000000000001E-2</v>
      </c>
    </row>
    <row r="66" spans="1:12" x14ac:dyDescent="0.35">
      <c r="A66" s="84">
        <v>24</v>
      </c>
      <c r="B66" s="51">
        <f t="shared" si="15"/>
        <v>45058</v>
      </c>
      <c r="C66" s="25">
        <f t="shared" si="16"/>
        <v>-701165.12947484595</v>
      </c>
      <c r="D66" s="25">
        <f t="shared" si="17"/>
        <v>-2456.3306045058921</v>
      </c>
      <c r="E66" s="25">
        <f t="shared" si="18"/>
        <v>-416488.07943290187</v>
      </c>
      <c r="F66" s="121">
        <f t="shared" si="19"/>
        <v>3.2500000000000001E-2</v>
      </c>
      <c r="G66" s="84">
        <v>24</v>
      </c>
      <c r="H66" s="51">
        <f t="shared" si="8"/>
        <v>45058</v>
      </c>
      <c r="I66" s="25">
        <f t="shared" si="20"/>
        <v>430596.19566536206</v>
      </c>
      <c r="J66" s="25">
        <f t="shared" si="21"/>
        <v>1422.1245874569374</v>
      </c>
      <c r="K66" s="25">
        <f t="shared" si="14"/>
        <v>191836.16858162044</v>
      </c>
      <c r="L66" s="36">
        <f t="shared" si="11"/>
        <v>3.2500000000000001E-2</v>
      </c>
    </row>
    <row r="67" spans="1:12" x14ac:dyDescent="0.35">
      <c r="A67" s="84">
        <v>25</v>
      </c>
      <c r="B67" s="51">
        <f t="shared" si="15"/>
        <v>45089</v>
      </c>
      <c r="C67" s="25">
        <f t="shared" si="16"/>
        <v>-334305.52061062586</v>
      </c>
      <c r="D67" s="25">
        <f t="shared" si="17"/>
        <v>-1400.3035942069212</v>
      </c>
      <c r="E67" s="25">
        <f t="shared" si="18"/>
        <v>-368259.91245842702</v>
      </c>
      <c r="F67" s="121">
        <f t="shared" si="19"/>
        <v>3.2500000000000001E-2</v>
      </c>
      <c r="G67" s="84">
        <v>25</v>
      </c>
      <c r="H67" s="51">
        <f t="shared" si="8"/>
        <v>45089</v>
      </c>
      <c r="I67" s="25">
        <f t="shared" si="20"/>
        <v>226104.71158004712</v>
      </c>
      <c r="J67" s="25">
        <f t="shared" si="21"/>
        <v>888.07987040365344</v>
      </c>
      <c r="K67" s="25">
        <f t="shared" si="14"/>
        <v>205379.56395571856</v>
      </c>
      <c r="L67" s="36">
        <f t="shared" si="11"/>
        <v>3.2500000000000001E-2</v>
      </c>
    </row>
    <row r="68" spans="1:12" x14ac:dyDescent="0.35">
      <c r="A68" s="84">
        <v>26</v>
      </c>
      <c r="B68" s="53">
        <f>B67+31</f>
        <v>45120</v>
      </c>
      <c r="C68" s="54">
        <f>C67+D68-E68</f>
        <v>17752.87939811463</v>
      </c>
      <c r="D68" s="25">
        <f t="shared" si="17"/>
        <v>-428.08533608266367</v>
      </c>
      <c r="E68" s="25">
        <f t="shared" si="18"/>
        <v>-352486.48534482316</v>
      </c>
      <c r="F68" s="121">
        <f t="shared" si="19"/>
        <v>3.2500000000000001E-2</v>
      </c>
      <c r="G68" s="76">
        <v>26</v>
      </c>
      <c r="H68" s="53">
        <f t="shared" si="8"/>
        <v>45120</v>
      </c>
      <c r="I68" s="54">
        <f t="shared" si="20"/>
        <v>1150.9645802354207</v>
      </c>
      <c r="J68" s="25">
        <f t="shared" si="21"/>
        <v>307.32589098966747</v>
      </c>
      <c r="K68" s="25">
        <f t="shared" si="14"/>
        <v>225261.07289080136</v>
      </c>
      <c r="L68" s="36">
        <f t="shared" si="11"/>
        <v>3.2500000000000001E-2</v>
      </c>
    </row>
    <row r="69" spans="1:12" x14ac:dyDescent="0.35">
      <c r="B69" s="26"/>
      <c r="C69" s="26"/>
      <c r="D69" s="26"/>
      <c r="E69" s="26"/>
    </row>
    <row r="70" spans="1:12" x14ac:dyDescent="0.35">
      <c r="A70" s="86">
        <v>27</v>
      </c>
      <c r="B70" s="29" t="s">
        <v>92</v>
      </c>
      <c r="C70" s="26"/>
      <c r="D70" s="25">
        <f>SUM(D49:D69)</f>
        <v>-187263.70031180579</v>
      </c>
      <c r="E70" s="25">
        <f>SUM(E57:E68)</f>
        <v>-5553191.7697099214</v>
      </c>
      <c r="G70" s="86">
        <v>27</v>
      </c>
      <c r="H70" s="29" t="s">
        <v>92</v>
      </c>
      <c r="I70" s="26"/>
      <c r="J70" s="25">
        <f>SUM(J49:J69)</f>
        <v>86597.378815693039</v>
      </c>
      <c r="K70" s="25">
        <f>SUM(K57:K68)</f>
        <v>2622827.614235457</v>
      </c>
    </row>
    <row r="71" spans="1:12" x14ac:dyDescent="0.35">
      <c r="A71" s="86"/>
      <c r="B71" s="29"/>
      <c r="C71" s="26"/>
      <c r="D71" s="25"/>
      <c r="E71" s="25"/>
      <c r="G71" s="86"/>
      <c r="H71" s="29"/>
      <c r="I71" s="26"/>
      <c r="J71" s="25"/>
      <c r="K71" s="25"/>
    </row>
    <row r="72" spans="1:12" x14ac:dyDescent="0.35">
      <c r="B72" s="43" t="s">
        <v>97</v>
      </c>
      <c r="H72" s="43" t="s">
        <v>96</v>
      </c>
    </row>
    <row r="73" spans="1:12" x14ac:dyDescent="0.35">
      <c r="A73" s="86">
        <v>28</v>
      </c>
      <c r="B73" s="65" t="s">
        <v>186</v>
      </c>
      <c r="C73" s="80">
        <f>C46</f>
        <v>-5123505</v>
      </c>
      <c r="G73" s="86">
        <v>28</v>
      </c>
      <c r="H73" s="65" t="s">
        <v>186</v>
      </c>
      <c r="I73" s="80">
        <f>I46</f>
        <v>2389111</v>
      </c>
    </row>
    <row r="74" spans="1:12" x14ac:dyDescent="0.35">
      <c r="A74" s="86">
        <v>29</v>
      </c>
      <c r="B74" t="s">
        <v>93</v>
      </c>
      <c r="C74" s="80">
        <f>C47</f>
        <v>0</v>
      </c>
      <c r="G74" s="86">
        <v>29</v>
      </c>
      <c r="H74" t="s">
        <v>93</v>
      </c>
      <c r="I74" s="80">
        <f>I47</f>
        <v>0</v>
      </c>
    </row>
    <row r="75" spans="1:12" x14ac:dyDescent="0.35">
      <c r="A75" s="86">
        <v>30</v>
      </c>
      <c r="B75" t="s">
        <v>169</v>
      </c>
      <c r="C75" s="80">
        <f>C56</f>
        <v>-224670.19000000012</v>
      </c>
      <c r="G75" s="86">
        <v>30</v>
      </c>
      <c r="H75" t="s">
        <v>169</v>
      </c>
      <c r="I75" s="80">
        <f>I56</f>
        <v>148270.19999999925</v>
      </c>
    </row>
    <row r="76" spans="1:12" x14ac:dyDescent="0.35">
      <c r="A76" s="86">
        <v>31</v>
      </c>
      <c r="B76" t="s">
        <v>187</v>
      </c>
      <c r="C76" s="80">
        <f>D70</f>
        <v>-187263.70031180579</v>
      </c>
      <c r="G76" s="86">
        <v>31</v>
      </c>
      <c r="H76" t="s">
        <v>187</v>
      </c>
      <c r="I76" s="80">
        <f>J70</f>
        <v>86597.378815693039</v>
      </c>
    </row>
    <row r="77" spans="1:12" x14ac:dyDescent="0.35">
      <c r="A77" s="86">
        <v>32</v>
      </c>
      <c r="B77" t="s">
        <v>107</v>
      </c>
      <c r="C77" s="80">
        <f>(D30-D31)*E22-C68</f>
        <v>-265663.22626016533</v>
      </c>
      <c r="G77" s="86">
        <v>32</v>
      </c>
      <c r="H77" t="s">
        <v>107</v>
      </c>
      <c r="I77" s="80">
        <f>(J30-J31)*K22-I68</f>
        <v>123745.58847859573</v>
      </c>
    </row>
    <row r="78" spans="1:12" x14ac:dyDescent="0.35">
      <c r="A78" s="86">
        <v>33</v>
      </c>
      <c r="B78" t="s">
        <v>174</v>
      </c>
      <c r="C78" s="81">
        <f>SUM(C73:C77)</f>
        <v>-5801102.1165719721</v>
      </c>
      <c r="G78" s="86">
        <v>33</v>
      </c>
      <c r="H78" t="s">
        <v>106</v>
      </c>
      <c r="I78" s="81">
        <f>SUM(I73:I77)</f>
        <v>2747724.1672942881</v>
      </c>
    </row>
    <row r="79" spans="1:12" x14ac:dyDescent="0.35">
      <c r="A79" s="86">
        <v>34</v>
      </c>
      <c r="B79" t="s">
        <v>175</v>
      </c>
      <c r="C79" s="80">
        <f>D30*E22</f>
        <v>-5801102.1165719712</v>
      </c>
      <c r="G79" s="86">
        <v>34</v>
      </c>
      <c r="H79" t="s">
        <v>94</v>
      </c>
      <c r="I79" s="80">
        <f>J30*K22</f>
        <v>2747724.1672942881</v>
      </c>
    </row>
    <row r="80" spans="1:12" x14ac:dyDescent="0.35">
      <c r="A80" s="86">
        <v>35</v>
      </c>
      <c r="B80" t="s">
        <v>95</v>
      </c>
      <c r="C80" s="80">
        <f>C78-C79</f>
        <v>0</v>
      </c>
      <c r="G80" s="86">
        <v>35</v>
      </c>
      <c r="H80" t="s">
        <v>95</v>
      </c>
      <c r="I80" s="80">
        <f>I78-I79</f>
        <v>0</v>
      </c>
    </row>
  </sheetData>
  <customSheetViews>
    <customSheetView guid="{6A207E9B-31ED-4215-AD4F-ABB2957B65E4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1"/>
    </customSheetView>
    <customSheetView guid="{5C6B1FA1-B621-4699-B8F7-5011E8FF1BCD}" showPageBreaks="1" printArea="1" topLeftCell="A2">
      <selection activeCell="C27" sqref="C27"/>
      <rowBreaks count="1" manualBreakCount="1">
        <brk id="42" max="9" man="1"/>
      </rowBreaks>
      <colBreaks count="1" manualBreakCount="1">
        <brk id="5" max="70" man="1"/>
      </colBreaks>
      <pageMargins left="0.7" right="0.7" top="0.55000000000000004" bottom="0.48" header="0.3" footer="0.3"/>
      <printOptions horizontalCentered="1"/>
      <pageSetup scale="88" orientation="portrait" r:id="rId2"/>
    </customSheetView>
  </customSheetViews>
  <mergeCells count="31">
    <mergeCell ref="B38:E38"/>
    <mergeCell ref="B39:E39"/>
    <mergeCell ref="B40:E40"/>
    <mergeCell ref="B1:E1"/>
    <mergeCell ref="B2:E2"/>
    <mergeCell ref="B3:E3"/>
    <mergeCell ref="B35:E35"/>
    <mergeCell ref="B36:E36"/>
    <mergeCell ref="B24:C24"/>
    <mergeCell ref="B43:E43"/>
    <mergeCell ref="B25:C25"/>
    <mergeCell ref="H25:I25"/>
    <mergeCell ref="B26:C26"/>
    <mergeCell ref="H26:I26"/>
    <mergeCell ref="B27:C27"/>
    <mergeCell ref="H27:I27"/>
    <mergeCell ref="H43:K43"/>
    <mergeCell ref="H35:K35"/>
    <mergeCell ref="H36:K36"/>
    <mergeCell ref="H38:K38"/>
    <mergeCell ref="H39:K39"/>
    <mergeCell ref="H40:K40"/>
    <mergeCell ref="B42:E42"/>
    <mergeCell ref="H42:K42"/>
    <mergeCell ref="H33:I33"/>
    <mergeCell ref="H24:I24"/>
    <mergeCell ref="B5:E5"/>
    <mergeCell ref="H5:K5"/>
    <mergeCell ref="H1:K1"/>
    <mergeCell ref="H2:K2"/>
    <mergeCell ref="H3:K3"/>
  </mergeCells>
  <hyperlinks>
    <hyperlink ref="B37" r:id="rId3" xr:uid="{00000000-0004-0000-0100-000000000000}"/>
    <hyperlink ref="H37" r:id="rId4" xr:uid="{00000000-0004-0000-0100-000001000000}"/>
  </hyperlinks>
  <printOptions horizontalCentered="1"/>
  <pageMargins left="0.7" right="0.7" top="0.55000000000000004" bottom="0.48" header="0.3" footer="0.3"/>
  <pageSetup scale="88" orientation="portrait" useFirstPageNumber="1" r:id="rId5"/>
  <headerFooter scaleWithDoc="0">
    <oddFooter>&amp;CATTACHMENT A&amp;RPage &amp;P of 9</oddFooter>
  </headerFooter>
  <rowBreaks count="1" manualBreakCount="1">
    <brk id="41" max="11" man="1"/>
  </rowBreaks>
  <colBreaks count="1" manualBreakCount="1">
    <brk id="6" max="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"/>
  <sheetViews>
    <sheetView topLeftCell="A10" zoomScaleNormal="100" workbookViewId="0">
      <selection activeCell="E17" sqref="E17"/>
    </sheetView>
  </sheetViews>
  <sheetFormatPr defaultRowHeight="14.5" x14ac:dyDescent="0.35"/>
  <cols>
    <col min="1" max="1" width="4.1796875" customWidth="1"/>
    <col min="3" max="3" width="16.26953125" customWidth="1"/>
    <col min="4" max="4" width="11.26953125" customWidth="1"/>
    <col min="5" max="5" width="15" bestFit="1" customWidth="1"/>
    <col min="6" max="6" width="15.26953125" customWidth="1"/>
    <col min="7" max="7" width="8.26953125" customWidth="1"/>
    <col min="8" max="8" width="13.26953125" customWidth="1"/>
    <col min="9" max="9" width="0.7265625" customWidth="1"/>
    <col min="10" max="10" width="4.26953125" customWidth="1"/>
    <col min="11" max="12" width="11.54296875" bestFit="1" customWidth="1"/>
  </cols>
  <sheetData>
    <row r="1" spans="1:9" x14ac:dyDescent="0.35">
      <c r="B1" s="166" t="s">
        <v>0</v>
      </c>
      <c r="C1" s="166"/>
      <c r="D1" s="166"/>
      <c r="E1" s="166"/>
      <c r="F1" s="166"/>
      <c r="G1" s="166"/>
      <c r="H1" s="166"/>
    </row>
    <row r="2" spans="1:9" x14ac:dyDescent="0.35">
      <c r="B2" s="166" t="s">
        <v>112</v>
      </c>
      <c r="C2" s="166"/>
      <c r="D2" s="166"/>
      <c r="E2" s="166"/>
      <c r="F2" s="166"/>
      <c r="G2" s="166"/>
      <c r="H2" s="166"/>
    </row>
    <row r="3" spans="1:9" x14ac:dyDescent="0.35">
      <c r="B3" s="166" t="s">
        <v>173</v>
      </c>
      <c r="C3" s="166"/>
      <c r="D3" s="166"/>
      <c r="E3" s="166"/>
      <c r="F3" s="166"/>
      <c r="G3" s="166"/>
      <c r="H3" s="166"/>
    </row>
    <row r="4" spans="1:9" x14ac:dyDescent="0.35">
      <c r="B4" s="174" t="s">
        <v>189</v>
      </c>
      <c r="C4" s="174"/>
      <c r="D4" s="174"/>
      <c r="E4" s="174"/>
      <c r="F4" s="174"/>
      <c r="G4" s="174"/>
      <c r="H4" s="174"/>
    </row>
    <row r="6" spans="1:9" x14ac:dyDescent="0.35">
      <c r="B6" s="166" t="s">
        <v>114</v>
      </c>
      <c r="C6" s="166"/>
      <c r="D6" s="166"/>
      <c r="E6" s="166"/>
      <c r="F6" s="166"/>
      <c r="G6" s="166"/>
      <c r="H6" s="166"/>
    </row>
    <row r="7" spans="1:9" ht="43.9" customHeight="1" x14ac:dyDescent="0.35">
      <c r="A7" s="91" t="s">
        <v>91</v>
      </c>
      <c r="B7" s="86" t="s">
        <v>2</v>
      </c>
      <c r="C7" s="85" t="s">
        <v>115</v>
      </c>
      <c r="D7" s="86" t="s">
        <v>3</v>
      </c>
      <c r="E7" s="86" t="s">
        <v>70</v>
      </c>
      <c r="F7" s="85" t="s">
        <v>113</v>
      </c>
      <c r="G7" s="85" t="s">
        <v>116</v>
      </c>
      <c r="H7" s="85" t="s">
        <v>167</v>
      </c>
    </row>
    <row r="9" spans="1:9" x14ac:dyDescent="0.35">
      <c r="A9" s="86">
        <v>1</v>
      </c>
      <c r="B9" s="92">
        <v>44409</v>
      </c>
      <c r="C9" s="144">
        <f>-404093.5-826229.91</f>
        <v>-1230323.4100000001</v>
      </c>
      <c r="D9" s="95">
        <f>ROUND(((C9+C9+E9)/2)*G9/12,2)</f>
        <v>-3262.48</v>
      </c>
      <c r="E9" s="144">
        <v>51431.77</v>
      </c>
      <c r="F9" s="94">
        <f>C9+D9+E9</f>
        <v>-1182154.1200000001</v>
      </c>
      <c r="G9" s="135">
        <v>3.2500000000000001E-2</v>
      </c>
      <c r="I9" s="94"/>
    </row>
    <row r="10" spans="1:9" x14ac:dyDescent="0.35">
      <c r="A10" s="86">
        <v>2</v>
      </c>
      <c r="B10" s="92">
        <f>B9+31</f>
        <v>44440</v>
      </c>
      <c r="C10" s="93">
        <f>F9</f>
        <v>-1182154.1200000001</v>
      </c>
      <c r="D10" s="95">
        <f t="shared" ref="D10:D17" si="0">ROUND(((C10+C10+E10)/2)*G10/12,2)</f>
        <v>-3113.07</v>
      </c>
      <c r="E10" s="144">
        <v>65425.63</v>
      </c>
      <c r="F10" s="94">
        <f t="shared" ref="F10:F17" si="1">C10+D10+E10</f>
        <v>-1119841.5600000003</v>
      </c>
      <c r="G10" s="36">
        <f>G9</f>
        <v>3.2500000000000001E-2</v>
      </c>
    </row>
    <row r="11" spans="1:9" x14ac:dyDescent="0.35">
      <c r="A11" s="86">
        <v>3</v>
      </c>
      <c r="B11" s="92">
        <f t="shared" ref="B11:B20" si="2">B10+31</f>
        <v>44471</v>
      </c>
      <c r="C11" s="93">
        <f t="shared" ref="C11:C17" si="3">F10</f>
        <v>-1119841.5600000003</v>
      </c>
      <c r="D11" s="95">
        <f t="shared" si="0"/>
        <v>-2934.4</v>
      </c>
      <c r="E11" s="144">
        <v>72744.639999999999</v>
      </c>
      <c r="F11" s="94">
        <f t="shared" si="1"/>
        <v>-1050031.3200000003</v>
      </c>
      <c r="G11" s="135">
        <v>3.2500000000000001E-2</v>
      </c>
    </row>
    <row r="12" spans="1:9" x14ac:dyDescent="0.35">
      <c r="A12" s="86">
        <v>4</v>
      </c>
      <c r="B12" s="92">
        <f t="shared" si="2"/>
        <v>44502</v>
      </c>
      <c r="C12" s="93">
        <f t="shared" si="3"/>
        <v>-1050031.3200000003</v>
      </c>
      <c r="D12" s="95">
        <f t="shared" si="0"/>
        <v>-2720.72</v>
      </c>
      <c r="E12" s="144">
        <v>90914.49</v>
      </c>
      <c r="F12" s="94">
        <f t="shared" si="1"/>
        <v>-961837.55000000028</v>
      </c>
      <c r="G12" s="36">
        <f>G11</f>
        <v>3.2500000000000001E-2</v>
      </c>
    </row>
    <row r="13" spans="1:9" x14ac:dyDescent="0.35">
      <c r="A13" s="86">
        <v>5</v>
      </c>
      <c r="B13" s="92">
        <f t="shared" si="2"/>
        <v>44533</v>
      </c>
      <c r="C13" s="93">
        <f t="shared" si="3"/>
        <v>-961837.55000000028</v>
      </c>
      <c r="D13" s="95">
        <f t="shared" si="0"/>
        <v>-2442.0300000000002</v>
      </c>
      <c r="E13" s="144">
        <v>120332.57</v>
      </c>
      <c r="F13" s="94">
        <f t="shared" si="1"/>
        <v>-843947.01000000024</v>
      </c>
      <c r="G13" s="36">
        <f>G12</f>
        <v>3.2500000000000001E-2</v>
      </c>
    </row>
    <row r="14" spans="1:9" x14ac:dyDescent="0.35">
      <c r="A14" s="86">
        <v>6</v>
      </c>
      <c r="B14" s="92">
        <f t="shared" si="2"/>
        <v>44564</v>
      </c>
      <c r="C14" s="93">
        <f t="shared" si="3"/>
        <v>-843947.01000000024</v>
      </c>
      <c r="D14" s="95">
        <f t="shared" si="0"/>
        <v>-2111.79</v>
      </c>
      <c r="E14" s="144">
        <v>128419.8</v>
      </c>
      <c r="F14" s="94">
        <f t="shared" si="1"/>
        <v>-717639.00000000023</v>
      </c>
      <c r="G14" s="135">
        <v>3.2500000000000001E-2</v>
      </c>
    </row>
    <row r="15" spans="1:9" x14ac:dyDescent="0.35">
      <c r="A15" s="86">
        <v>7</v>
      </c>
      <c r="B15" s="92">
        <f t="shared" si="2"/>
        <v>44595</v>
      </c>
      <c r="C15" s="93">
        <f t="shared" si="3"/>
        <v>-717639.00000000023</v>
      </c>
      <c r="D15" s="95">
        <f t="shared" si="0"/>
        <v>-1801.19</v>
      </c>
      <c r="E15" s="144">
        <v>105169.79</v>
      </c>
      <c r="F15" s="94">
        <f t="shared" si="1"/>
        <v>-614270.40000000014</v>
      </c>
      <c r="G15" s="36">
        <f t="shared" ref="G15:G20" si="4">G14</f>
        <v>3.2500000000000001E-2</v>
      </c>
      <c r="H15" s="71"/>
    </row>
    <row r="16" spans="1:9" x14ac:dyDescent="0.35">
      <c r="A16" s="86">
        <v>8</v>
      </c>
      <c r="B16" s="92">
        <f t="shared" si="2"/>
        <v>44626</v>
      </c>
      <c r="C16" s="93">
        <f t="shared" si="3"/>
        <v>-614270.40000000014</v>
      </c>
      <c r="D16" s="95">
        <f t="shared" si="0"/>
        <v>-1528.46</v>
      </c>
      <c r="E16" s="144">
        <v>99828.66</v>
      </c>
      <c r="F16" s="94">
        <f t="shared" si="1"/>
        <v>-515970.20000000007</v>
      </c>
      <c r="G16" s="36">
        <f t="shared" si="4"/>
        <v>3.2500000000000001E-2</v>
      </c>
      <c r="H16" s="71"/>
    </row>
    <row r="17" spans="1:12" x14ac:dyDescent="0.35">
      <c r="A17" s="86">
        <v>9</v>
      </c>
      <c r="B17" s="92">
        <f t="shared" si="2"/>
        <v>44657</v>
      </c>
      <c r="C17" s="93">
        <f t="shared" si="3"/>
        <v>-515970.20000000007</v>
      </c>
      <c r="D17" s="95">
        <f t="shared" si="0"/>
        <v>-1280.08</v>
      </c>
      <c r="E17" s="144">
        <v>86649.95</v>
      </c>
      <c r="F17" s="94">
        <f t="shared" si="1"/>
        <v>-430600.33000000007</v>
      </c>
      <c r="G17" s="36">
        <f t="shared" si="4"/>
        <v>3.2500000000000001E-2</v>
      </c>
      <c r="H17" s="71"/>
    </row>
    <row r="18" spans="1:12" x14ac:dyDescent="0.35">
      <c r="A18" s="99">
        <v>10</v>
      </c>
      <c r="B18" s="92">
        <f t="shared" si="2"/>
        <v>44688</v>
      </c>
      <c r="C18" s="93">
        <f>F17</f>
        <v>-430600.33000000007</v>
      </c>
      <c r="D18" s="95">
        <f t="shared" ref="D18:D20" si="5">ROUND(((C18+C18+E18)/2)*G18/12,2)</f>
        <v>-1077.06</v>
      </c>
      <c r="E18" s="144">
        <f>-ROUND(H18*('Earnings Test and 3% Test'!$D$45/'Conversion Factor'!$E$114),2)</f>
        <v>65831.149999999994</v>
      </c>
      <c r="F18" s="94">
        <f t="shared" ref="F18:F20" si="6">C18+D18+E18</f>
        <v>-365846.24000000011</v>
      </c>
      <c r="G18" s="36">
        <f t="shared" si="4"/>
        <v>3.2500000000000001E-2</v>
      </c>
      <c r="H18" s="71">
        <f>'4 13 22 Forecast Usage by Sched'!M6</f>
        <v>152833002.18335333</v>
      </c>
      <c r="K18" s="138"/>
      <c r="L18" s="138"/>
    </row>
    <row r="19" spans="1:12" ht="15" thickBot="1" x14ac:dyDescent="0.4">
      <c r="A19" s="99">
        <v>11</v>
      </c>
      <c r="B19" s="92">
        <f t="shared" si="2"/>
        <v>44719</v>
      </c>
      <c r="C19" s="93">
        <f t="shared" ref="C19:C20" si="7">F18</f>
        <v>-365846.24000000011</v>
      </c>
      <c r="D19" s="95">
        <f t="shared" si="5"/>
        <v>-900.53</v>
      </c>
      <c r="E19" s="144">
        <f>-ROUND(H19*('Earnings Test and 3% Test'!$D$45/'Conversion Factor'!$E$114),2)</f>
        <v>66689.240000000005</v>
      </c>
      <c r="F19" s="94">
        <f t="shared" si="6"/>
        <v>-300057.53000000014</v>
      </c>
      <c r="G19" s="36">
        <f t="shared" si="4"/>
        <v>3.2500000000000001E-2</v>
      </c>
      <c r="H19" s="71">
        <f>'4 13 22 Forecast Usage by Sched'!M7</f>
        <v>154825140.74512219</v>
      </c>
      <c r="K19" s="137"/>
      <c r="L19" s="94"/>
    </row>
    <row r="20" spans="1:12" ht="15" thickBot="1" x14ac:dyDescent="0.4">
      <c r="A20" s="99">
        <v>12</v>
      </c>
      <c r="B20" s="92">
        <f t="shared" si="2"/>
        <v>44750</v>
      </c>
      <c r="C20" s="93">
        <f t="shared" si="7"/>
        <v>-300057.53000000014</v>
      </c>
      <c r="D20" s="95">
        <f t="shared" si="5"/>
        <v>-709.61</v>
      </c>
      <c r="E20" s="144">
        <f>-ROUND(H20*('Earnings Test and 3% Test'!$D$45/'Conversion Factor'!$E$114),2)</f>
        <v>76096.95</v>
      </c>
      <c r="F20" s="134">
        <f t="shared" si="6"/>
        <v>-224670.19000000012</v>
      </c>
      <c r="G20" s="36">
        <f t="shared" si="4"/>
        <v>3.2500000000000001E-2</v>
      </c>
      <c r="H20" s="71">
        <f>'4 13 22 Forecast Usage by Sched'!M8</f>
        <v>176666007.97109687</v>
      </c>
      <c r="K20" s="137"/>
      <c r="L20" s="94"/>
    </row>
    <row r="23" spans="1:12" x14ac:dyDescent="0.35">
      <c r="B23" s="166" t="s">
        <v>163</v>
      </c>
      <c r="C23" s="166"/>
      <c r="D23" s="166"/>
      <c r="E23" s="166"/>
      <c r="F23" s="166"/>
      <c r="G23" s="166"/>
      <c r="H23" s="166"/>
    </row>
    <row r="24" spans="1:12" ht="43.5" x14ac:dyDescent="0.35">
      <c r="A24" s="91" t="s">
        <v>91</v>
      </c>
      <c r="B24" s="86" t="s">
        <v>2</v>
      </c>
      <c r="C24" s="85" t="s">
        <v>115</v>
      </c>
      <c r="D24" s="86" t="s">
        <v>3</v>
      </c>
      <c r="E24" s="86" t="s">
        <v>70</v>
      </c>
      <c r="F24" s="85" t="s">
        <v>113</v>
      </c>
      <c r="G24" s="85" t="s">
        <v>116</v>
      </c>
      <c r="H24" s="133" t="s">
        <v>167</v>
      </c>
    </row>
    <row r="26" spans="1:12" x14ac:dyDescent="0.35">
      <c r="A26" s="86">
        <v>13</v>
      </c>
      <c r="B26" s="92">
        <f t="shared" ref="B26:B37" si="8">B9</f>
        <v>44409</v>
      </c>
      <c r="C26" s="144">
        <f>2287329.99+11478483.9</f>
        <v>13765813.890000001</v>
      </c>
      <c r="D26" s="95">
        <f>ROUND(((C26+C26+E26)/2)*G26/12,2)</f>
        <v>35621.03</v>
      </c>
      <c r="E26" s="144">
        <v>-1226864.05</v>
      </c>
      <c r="F26" s="94">
        <f>C26+D26+E26</f>
        <v>12574570.869999999</v>
      </c>
      <c r="G26" s="131">
        <f t="shared" ref="G26:G37" si="9">G9</f>
        <v>3.2500000000000001E-2</v>
      </c>
    </row>
    <row r="27" spans="1:12" x14ac:dyDescent="0.35">
      <c r="A27" s="86">
        <v>14</v>
      </c>
      <c r="B27" s="92">
        <f t="shared" si="8"/>
        <v>44440</v>
      </c>
      <c r="C27" s="93">
        <f>F26</f>
        <v>12574570.869999999</v>
      </c>
      <c r="D27" s="95">
        <f>ROUND(((C27+C27+E27)/2)*G27/12,2)</f>
        <v>32504.75</v>
      </c>
      <c r="E27" s="144">
        <v>-1145630.48</v>
      </c>
      <c r="F27" s="94">
        <f t="shared" ref="F27:F34" si="10">C27+D27+E27</f>
        <v>11461445.139999999</v>
      </c>
      <c r="G27" s="131">
        <f t="shared" si="9"/>
        <v>3.2500000000000001E-2</v>
      </c>
    </row>
    <row r="28" spans="1:12" x14ac:dyDescent="0.35">
      <c r="A28" s="86">
        <v>15</v>
      </c>
      <c r="B28" s="92">
        <f t="shared" si="8"/>
        <v>44471</v>
      </c>
      <c r="C28" s="93">
        <f t="shared" ref="C28:C34" si="11">F27</f>
        <v>11461445.139999999</v>
      </c>
      <c r="D28" s="95">
        <f t="shared" ref="D28:D32" si="12">ROUND(((C28+C28+E28)/2)*G28/12,2)</f>
        <v>29495.919999999998</v>
      </c>
      <c r="E28" s="144">
        <v>-1141285.28</v>
      </c>
      <c r="F28" s="94">
        <f t="shared" si="10"/>
        <v>10349655.779999999</v>
      </c>
      <c r="G28" s="131">
        <f t="shared" si="9"/>
        <v>3.2500000000000001E-2</v>
      </c>
    </row>
    <row r="29" spans="1:12" x14ac:dyDescent="0.35">
      <c r="A29" s="86">
        <v>16</v>
      </c>
      <c r="B29" s="92">
        <f t="shared" si="8"/>
        <v>44502</v>
      </c>
      <c r="C29" s="93">
        <f t="shared" si="11"/>
        <v>10349655.779999999</v>
      </c>
      <c r="D29" s="95">
        <f t="shared" si="12"/>
        <v>26584.49</v>
      </c>
      <c r="E29" s="144">
        <v>-1067691.06</v>
      </c>
      <c r="F29" s="94">
        <f t="shared" si="10"/>
        <v>9308549.209999999</v>
      </c>
      <c r="G29" s="131">
        <f t="shared" si="9"/>
        <v>3.2500000000000001E-2</v>
      </c>
    </row>
    <row r="30" spans="1:12" x14ac:dyDescent="0.35">
      <c r="A30" s="90">
        <v>17</v>
      </c>
      <c r="B30" s="92">
        <f t="shared" si="8"/>
        <v>44533</v>
      </c>
      <c r="C30" s="93">
        <f t="shared" si="11"/>
        <v>9308549.209999999</v>
      </c>
      <c r="D30" s="95">
        <f t="shared" si="12"/>
        <v>23591.64</v>
      </c>
      <c r="E30" s="144">
        <v>-1195576.71</v>
      </c>
      <c r="F30" s="94">
        <f t="shared" si="10"/>
        <v>8136564.1399999997</v>
      </c>
      <c r="G30" s="131">
        <f t="shared" si="9"/>
        <v>3.2500000000000001E-2</v>
      </c>
    </row>
    <row r="31" spans="1:12" x14ac:dyDescent="0.35">
      <c r="A31" s="90">
        <v>18</v>
      </c>
      <c r="B31" s="92">
        <f t="shared" si="8"/>
        <v>44564</v>
      </c>
      <c r="C31" s="93">
        <f t="shared" si="11"/>
        <v>8136564.1399999997</v>
      </c>
      <c r="D31" s="95">
        <f t="shared" si="12"/>
        <v>20494.43</v>
      </c>
      <c r="E31" s="144">
        <v>-1138779.95</v>
      </c>
      <c r="F31" s="94">
        <f t="shared" si="10"/>
        <v>7018278.6199999992</v>
      </c>
      <c r="G31" s="131">
        <f t="shared" si="9"/>
        <v>3.2500000000000001E-2</v>
      </c>
    </row>
    <row r="32" spans="1:12" x14ac:dyDescent="0.35">
      <c r="A32" s="90">
        <v>19</v>
      </c>
      <c r="B32" s="92">
        <f t="shared" si="8"/>
        <v>44595</v>
      </c>
      <c r="C32" s="93">
        <f t="shared" si="11"/>
        <v>7018278.6199999992</v>
      </c>
      <c r="D32" s="95">
        <f t="shared" si="12"/>
        <v>17559.62</v>
      </c>
      <c r="E32" s="144">
        <v>-1069453.8600000001</v>
      </c>
      <c r="F32" s="94">
        <f t="shared" si="10"/>
        <v>5966384.379999999</v>
      </c>
      <c r="G32" s="131">
        <f t="shared" si="9"/>
        <v>3.2500000000000001E-2</v>
      </c>
      <c r="H32" s="71"/>
    </row>
    <row r="33" spans="1:12" x14ac:dyDescent="0.35">
      <c r="A33" s="90">
        <v>20</v>
      </c>
      <c r="B33" s="92">
        <f t="shared" si="8"/>
        <v>44626</v>
      </c>
      <c r="C33" s="93">
        <f t="shared" si="11"/>
        <v>5966384.379999999</v>
      </c>
      <c r="D33" s="95">
        <f>ROUND(((C33+C33+E33)/2)*G33/12,2)</f>
        <v>14615.35</v>
      </c>
      <c r="E33" s="144">
        <v>-1139896.46</v>
      </c>
      <c r="F33" s="94">
        <f t="shared" si="10"/>
        <v>4841103.2699999986</v>
      </c>
      <c r="G33" s="131">
        <f t="shared" si="9"/>
        <v>3.2500000000000001E-2</v>
      </c>
      <c r="H33" s="71"/>
    </row>
    <row r="34" spans="1:12" x14ac:dyDescent="0.35">
      <c r="A34" s="90">
        <v>21</v>
      </c>
      <c r="B34" s="92">
        <f t="shared" si="8"/>
        <v>44657</v>
      </c>
      <c r="C34" s="93">
        <f t="shared" si="11"/>
        <v>4841103.2699999986</v>
      </c>
      <c r="D34" s="95">
        <f>ROUND(((C34+C34+E34)/2)*G34/12,2)</f>
        <v>11607.45</v>
      </c>
      <c r="E34" s="144">
        <v>-1110548.1399999999</v>
      </c>
      <c r="F34" s="94">
        <f t="shared" si="10"/>
        <v>3742162.5799999991</v>
      </c>
      <c r="G34" s="131">
        <f t="shared" si="9"/>
        <v>3.2500000000000001E-2</v>
      </c>
      <c r="H34" s="71"/>
      <c r="L34" s="94"/>
    </row>
    <row r="35" spans="1:12" x14ac:dyDescent="0.35">
      <c r="A35" s="99">
        <v>22</v>
      </c>
      <c r="B35" s="92">
        <f t="shared" si="8"/>
        <v>44688</v>
      </c>
      <c r="C35" s="93">
        <f>F34</f>
        <v>3742162.5799999991</v>
      </c>
      <c r="D35" s="95">
        <f>ROUND(((C35+C35+E35)/2)*G35/12,2)</f>
        <v>8664.35</v>
      </c>
      <c r="E35" s="144">
        <f>-ROUND(H35*('Earnings Test and 3% Test'!$E$45/'Conversion Factor'!$E$114),2)</f>
        <v>-1086035.56</v>
      </c>
      <c r="F35" s="94">
        <f t="shared" ref="F35:F37" si="13">C35+D35+E35</f>
        <v>2664791.3699999992</v>
      </c>
      <c r="G35" s="131">
        <f t="shared" si="9"/>
        <v>3.2500000000000001E-2</v>
      </c>
      <c r="H35" s="71">
        <f>'4 13 22 Forecast Usage by Sched'!N6</f>
        <v>167098486.95070091</v>
      </c>
      <c r="K35" s="137"/>
      <c r="L35" s="94"/>
    </row>
    <row r="36" spans="1:12" ht="15" thickBot="1" x14ac:dyDescent="0.4">
      <c r="A36" s="99">
        <v>23</v>
      </c>
      <c r="B36" s="92">
        <f t="shared" si="8"/>
        <v>44719</v>
      </c>
      <c r="C36" s="93">
        <f>F35</f>
        <v>2664791.3699999992</v>
      </c>
      <c r="D36" s="95">
        <f t="shared" ref="D36:D37" si="14">ROUND(((C36+C36+E36)/2)*G36/12,2)</f>
        <v>5597.87</v>
      </c>
      <c r="E36" s="144">
        <f>-ROUND(H36*('Earnings Test and 3% Test'!$E$45/'Conversion Factor'!$E$114),2)</f>
        <v>-1195772.18</v>
      </c>
      <c r="F36" s="94">
        <f t="shared" si="13"/>
        <v>1474617.0599999994</v>
      </c>
      <c r="G36" s="131">
        <f t="shared" si="9"/>
        <v>3.2500000000000001E-2</v>
      </c>
      <c r="H36" s="71">
        <f>'4 13 22 Forecast Usage by Sched'!N7</f>
        <v>183982670.10757759</v>
      </c>
      <c r="K36" s="137"/>
      <c r="L36" s="94"/>
    </row>
    <row r="37" spans="1:12" ht="15" thickBot="1" x14ac:dyDescent="0.4">
      <c r="A37" s="99">
        <v>24</v>
      </c>
      <c r="B37" s="92">
        <f t="shared" si="8"/>
        <v>44750</v>
      </c>
      <c r="C37" s="93">
        <f>F36</f>
        <v>1474617.0599999994</v>
      </c>
      <c r="D37" s="95">
        <f t="shared" si="14"/>
        <v>2194.69</v>
      </c>
      <c r="E37" s="144">
        <f>-ROUND(H37*('Earnings Test and 3% Test'!$E$45/'Conversion Factor'!$E$114),2)</f>
        <v>-1328541.55</v>
      </c>
      <c r="F37" s="134">
        <f t="shared" si="13"/>
        <v>148270.19999999925</v>
      </c>
      <c r="G37" s="131">
        <f t="shared" si="9"/>
        <v>3.2500000000000001E-2</v>
      </c>
      <c r="H37" s="71">
        <f>'4 13 22 Forecast Usage by Sched'!N8</f>
        <v>204410694.40353203</v>
      </c>
      <c r="K37" s="137"/>
      <c r="L37" s="94"/>
    </row>
  </sheetData>
  <mergeCells count="6">
    <mergeCell ref="B1:H1"/>
    <mergeCell ref="B2:H2"/>
    <mergeCell ref="B3:H3"/>
    <mergeCell ref="B6:H6"/>
    <mergeCell ref="B23:H23"/>
    <mergeCell ref="B4:H4"/>
  </mergeCells>
  <printOptions horizontalCentered="1"/>
  <pageMargins left="0.7" right="0.7" top="0.55000000000000004" bottom="0.48" header="0.3" footer="0.3"/>
  <pageSetup scale="88" firstPageNumber="5" orientation="portrait" useFirstPageNumber="1" r:id="rId1"/>
  <headerFooter scaleWithDoc="0">
    <oddFooter>&amp;CATTACHMENT A&amp;RPage &amp;P of 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zoomScaleNormal="100" workbookViewId="0">
      <selection activeCell="J19" sqref="J19"/>
    </sheetView>
  </sheetViews>
  <sheetFormatPr defaultRowHeight="14.5" x14ac:dyDescent="0.35"/>
  <cols>
    <col min="1" max="1" width="7.453125" style="74" customWidth="1"/>
    <col min="2" max="2" width="35.7265625" customWidth="1"/>
    <col min="3" max="3" width="13" customWidth="1"/>
    <col min="4" max="4" width="15.26953125" customWidth="1"/>
    <col min="5" max="5" width="15" customWidth="1"/>
    <col min="6" max="6" width="4.7265625" customWidth="1"/>
    <col min="7" max="7" width="15.453125" hidden="1" customWidth="1"/>
    <col min="8" max="8" width="9.7265625" hidden="1" customWidth="1"/>
    <col min="9" max="9" width="10.1796875" customWidth="1"/>
    <col min="10" max="10" width="20.453125" customWidth="1"/>
    <col min="11" max="11" width="17.1796875" customWidth="1"/>
    <col min="12" max="12" width="16.26953125" customWidth="1"/>
    <col min="13" max="13" width="14" customWidth="1"/>
    <col min="14" max="14" width="15" customWidth="1"/>
    <col min="15" max="15" width="4.54296875" customWidth="1"/>
    <col min="16" max="16" width="25.26953125" customWidth="1"/>
    <col min="17" max="17" width="16.7265625" customWidth="1"/>
    <col min="18" max="18" width="17" customWidth="1"/>
    <col min="19" max="19" width="12.453125" customWidth="1"/>
    <col min="20" max="20" width="13.54296875" customWidth="1"/>
  </cols>
  <sheetData>
    <row r="1" spans="1:12" x14ac:dyDescent="0.35">
      <c r="B1" s="166" t="s">
        <v>0</v>
      </c>
      <c r="C1" s="166"/>
      <c r="D1" s="166"/>
      <c r="E1" s="166"/>
      <c r="F1" s="166"/>
      <c r="G1" s="166"/>
      <c r="H1" s="166"/>
    </row>
    <row r="2" spans="1:12" x14ac:dyDescent="0.35">
      <c r="B2" s="166" t="s">
        <v>40</v>
      </c>
      <c r="C2" s="166"/>
      <c r="D2" s="166"/>
      <c r="E2" s="166"/>
      <c r="F2" s="166"/>
      <c r="G2" s="166"/>
      <c r="H2" s="166"/>
    </row>
    <row r="3" spans="1:12" x14ac:dyDescent="0.35">
      <c r="B3" s="166" t="s">
        <v>179</v>
      </c>
      <c r="C3" s="166"/>
      <c r="D3" s="166"/>
      <c r="E3" s="166"/>
      <c r="F3" s="166"/>
      <c r="G3" s="166"/>
      <c r="H3" s="166"/>
    </row>
    <row r="5" spans="1:12" x14ac:dyDescent="0.35">
      <c r="B5" s="158" t="s">
        <v>190</v>
      </c>
      <c r="C5" s="77"/>
      <c r="D5" s="77"/>
      <c r="E5" s="77"/>
      <c r="F5" s="77"/>
    </row>
    <row r="7" spans="1:12" x14ac:dyDescent="0.35">
      <c r="A7" s="74" t="s">
        <v>91</v>
      </c>
      <c r="D7" s="30" t="s">
        <v>41</v>
      </c>
      <c r="E7" s="30"/>
      <c r="F7" s="74"/>
      <c r="G7" s="30" t="s">
        <v>42</v>
      </c>
      <c r="H7" s="42"/>
    </row>
    <row r="9" spans="1:12" x14ac:dyDescent="0.35">
      <c r="A9" s="74">
        <v>1</v>
      </c>
      <c r="B9" t="s">
        <v>43</v>
      </c>
      <c r="D9" s="145">
        <v>1808056000</v>
      </c>
      <c r="G9" s="37">
        <v>272971000</v>
      </c>
      <c r="H9" s="37"/>
    </row>
    <row r="10" spans="1:12" x14ac:dyDescent="0.35">
      <c r="D10" s="65"/>
    </row>
    <row r="11" spans="1:12" x14ac:dyDescent="0.35">
      <c r="A11" s="74">
        <v>2</v>
      </c>
      <c r="B11" t="s">
        <v>44</v>
      </c>
      <c r="D11" s="145">
        <v>119077000</v>
      </c>
      <c r="G11" s="37">
        <v>16783000</v>
      </c>
      <c r="H11" s="37"/>
      <c r="J11" s="160"/>
      <c r="K11" s="94"/>
    </row>
    <row r="12" spans="1:12" x14ac:dyDescent="0.35">
      <c r="D12" s="37"/>
    </row>
    <row r="13" spans="1:12" x14ac:dyDescent="0.35">
      <c r="A13" s="74">
        <v>3</v>
      </c>
      <c r="B13" t="s">
        <v>45</v>
      </c>
      <c r="D13" s="35">
        <f>D11/D9</f>
        <v>6.5859132681731103E-2</v>
      </c>
      <c r="G13" s="35">
        <f>G11/G9</f>
        <v>6.1482721607789836E-2</v>
      </c>
      <c r="H13" s="35"/>
    </row>
    <row r="14" spans="1:12" x14ac:dyDescent="0.35">
      <c r="A14" s="74">
        <v>4</v>
      </c>
      <c r="B14" t="s">
        <v>46</v>
      </c>
      <c r="D14" s="159">
        <v>7.1900000000000006E-2</v>
      </c>
      <c r="G14" s="35">
        <v>7.3200000000000001E-2</v>
      </c>
      <c r="H14" s="35"/>
      <c r="K14" s="35"/>
      <c r="L14" s="35"/>
    </row>
    <row r="15" spans="1:12" x14ac:dyDescent="0.35">
      <c r="A15" s="74">
        <v>5</v>
      </c>
      <c r="B15" t="s">
        <v>47</v>
      </c>
      <c r="D15" s="36">
        <f>D13-D14</f>
        <v>-6.0408673182689027E-3</v>
      </c>
      <c r="G15" s="36">
        <f>G13-G14</f>
        <v>-1.1717278392210165E-2</v>
      </c>
      <c r="H15" s="36"/>
    </row>
    <row r="17" spans="1:9" x14ac:dyDescent="0.35">
      <c r="A17" s="74">
        <v>6</v>
      </c>
      <c r="B17" t="s">
        <v>48</v>
      </c>
      <c r="D17" s="37">
        <f>IF(D15&gt;0,D9*D15,0)</f>
        <v>0</v>
      </c>
      <c r="G17" s="37">
        <f>IF(G15&gt;0,G9*G15,0)</f>
        <v>0</v>
      </c>
      <c r="H17" s="37"/>
    </row>
    <row r="18" spans="1:9" x14ac:dyDescent="0.35">
      <c r="A18" s="74">
        <v>7</v>
      </c>
      <c r="B18" t="s">
        <v>49</v>
      </c>
      <c r="D18" s="38">
        <f>'Conversion Factor'!E112</f>
        <v>0.75618600000000002</v>
      </c>
      <c r="G18" s="38">
        <v>0.61944999999999995</v>
      </c>
      <c r="H18" s="38"/>
    </row>
    <row r="19" spans="1:9" x14ac:dyDescent="0.35">
      <c r="A19" s="74">
        <v>8</v>
      </c>
      <c r="B19" t="s">
        <v>50</v>
      </c>
      <c r="D19" s="37">
        <f>D17/D18</f>
        <v>0</v>
      </c>
      <c r="G19" s="37">
        <f>G17/G18</f>
        <v>0</v>
      </c>
      <c r="H19" s="37"/>
      <c r="I19" s="37"/>
    </row>
    <row r="20" spans="1:9" ht="15" thickBot="1" x14ac:dyDescent="0.4">
      <c r="A20" s="74">
        <v>9</v>
      </c>
      <c r="B20" t="s">
        <v>51</v>
      </c>
      <c r="D20" s="39">
        <v>0.5</v>
      </c>
      <c r="G20" s="39">
        <v>0.5</v>
      </c>
      <c r="H20" s="39"/>
    </row>
    <row r="21" spans="1:9" ht="15.5" thickTop="1" thickBot="1" x14ac:dyDescent="0.4">
      <c r="A21" s="74">
        <v>10</v>
      </c>
      <c r="B21" s="65" t="s">
        <v>191</v>
      </c>
      <c r="D21" s="40">
        <f>D19*D20</f>
        <v>0</v>
      </c>
      <c r="G21" s="40">
        <v>0</v>
      </c>
      <c r="H21" s="48"/>
    </row>
    <row r="22" spans="1:9" ht="15" thickTop="1" x14ac:dyDescent="0.35"/>
    <row r="24" spans="1:9" x14ac:dyDescent="0.35">
      <c r="B24" s="158" t="s">
        <v>192</v>
      </c>
      <c r="C24" s="77"/>
      <c r="D24" s="77"/>
      <c r="E24" s="77"/>
      <c r="F24" s="77"/>
      <c r="G24" s="77"/>
      <c r="H24" s="77"/>
    </row>
    <row r="26" spans="1:9" x14ac:dyDescent="0.35">
      <c r="A26" s="74">
        <v>11</v>
      </c>
      <c r="B26" t="s">
        <v>52</v>
      </c>
      <c r="D26" s="146">
        <f>'Bill Impact'!L11</f>
        <v>236287828</v>
      </c>
      <c r="E26" s="35">
        <f>D26/D30</f>
        <v>0.49077996383108052</v>
      </c>
      <c r="F26" s="35"/>
      <c r="G26" s="64">
        <v>116284996</v>
      </c>
      <c r="H26" s="35">
        <f>G26/G30</f>
        <v>0.75882679845758572</v>
      </c>
    </row>
    <row r="27" spans="1:9" x14ac:dyDescent="0.35">
      <c r="D27" s="65"/>
      <c r="G27" s="65"/>
      <c r="I27" s="35"/>
    </row>
    <row r="28" spans="1:9" x14ac:dyDescent="0.35">
      <c r="A28" s="74">
        <v>12</v>
      </c>
      <c r="B28" t="s">
        <v>53</v>
      </c>
      <c r="D28" s="146">
        <f>'Bill Impact'!L13+'Bill Impact'!L15+'Bill Impact'!L17</f>
        <v>245165869</v>
      </c>
      <c r="E28" s="35">
        <f>D28/D30</f>
        <v>0.50922003616891953</v>
      </c>
      <c r="F28" s="35"/>
      <c r="G28" s="64">
        <f>33950044+3372711-364618</f>
        <v>36958137</v>
      </c>
      <c r="H28" s="35">
        <f>G28/G30</f>
        <v>0.24117320154241431</v>
      </c>
    </row>
    <row r="29" spans="1:9" x14ac:dyDescent="0.35">
      <c r="D29" s="65"/>
      <c r="I29" s="35"/>
    </row>
    <row r="30" spans="1:9" x14ac:dyDescent="0.35">
      <c r="A30" s="74">
        <v>13</v>
      </c>
      <c r="B30" t="s">
        <v>54</v>
      </c>
      <c r="D30" s="142">
        <f>D26+D28</f>
        <v>481453697</v>
      </c>
      <c r="E30" s="36">
        <f>E26+E28</f>
        <v>1</v>
      </c>
      <c r="F30" s="36"/>
      <c r="G30" s="37">
        <f>G26+G28</f>
        <v>153243133</v>
      </c>
      <c r="H30" s="36">
        <f>H26+H28</f>
        <v>1</v>
      </c>
    </row>
    <row r="31" spans="1:9" x14ac:dyDescent="0.35">
      <c r="I31" s="36"/>
    </row>
    <row r="32" spans="1:9" x14ac:dyDescent="0.35">
      <c r="A32" s="83"/>
      <c r="D32" s="176" t="s">
        <v>109</v>
      </c>
      <c r="E32" s="176" t="s">
        <v>108</v>
      </c>
      <c r="I32" s="36"/>
    </row>
    <row r="33" spans="1:10" x14ac:dyDescent="0.35">
      <c r="B33" s="43" t="s">
        <v>55</v>
      </c>
      <c r="D33" s="176"/>
      <c r="E33" s="176"/>
    </row>
    <row r="34" spans="1:10" x14ac:dyDescent="0.35">
      <c r="A34" s="74">
        <v>14</v>
      </c>
      <c r="B34" t="s">
        <v>57</v>
      </c>
      <c r="D34" s="37">
        <f>D21*E26</f>
        <v>0</v>
      </c>
      <c r="E34" s="37">
        <f>ROUND(D34*'Conversion Factor'!E108,0)</f>
        <v>0</v>
      </c>
      <c r="G34" s="37">
        <f>G21*H26</f>
        <v>0</v>
      </c>
    </row>
    <row r="35" spans="1:10" x14ac:dyDescent="0.35">
      <c r="A35" s="74">
        <v>15</v>
      </c>
      <c r="B35" t="s">
        <v>77</v>
      </c>
      <c r="D35" s="37">
        <f>D21*E28</f>
        <v>0</v>
      </c>
      <c r="E35" s="37">
        <f>ROUND(D35*'Conversion Factor'!E108,0)</f>
        <v>0</v>
      </c>
      <c r="G35" s="37">
        <f>G21*H28</f>
        <v>0</v>
      </c>
    </row>
    <row r="36" spans="1:10" x14ac:dyDescent="0.35">
      <c r="A36" s="74">
        <v>16</v>
      </c>
      <c r="B36" t="s">
        <v>56</v>
      </c>
      <c r="D36" s="41">
        <f>SUM(D34:D35)</f>
        <v>0</v>
      </c>
      <c r="E36" s="41">
        <f>SUM(E34:E35)</f>
        <v>0</v>
      </c>
      <c r="G36" s="41">
        <f>SUM(G34:G35)</f>
        <v>0</v>
      </c>
    </row>
    <row r="38" spans="1:10" ht="32.5" customHeight="1" x14ac:dyDescent="0.35">
      <c r="A38" s="74" t="s">
        <v>91</v>
      </c>
      <c r="B38" s="78" t="s">
        <v>61</v>
      </c>
      <c r="D38" s="84" t="s">
        <v>110</v>
      </c>
      <c r="E38" s="84" t="s">
        <v>111</v>
      </c>
      <c r="F38" s="84"/>
      <c r="J38" s="98"/>
    </row>
    <row r="39" spans="1:10" ht="32.5" customHeight="1" x14ac:dyDescent="0.35">
      <c r="A39" s="89">
        <v>1</v>
      </c>
      <c r="B39" s="177" t="s">
        <v>193</v>
      </c>
      <c r="C39" s="177"/>
      <c r="D39" s="88">
        <f>D26</f>
        <v>236287828</v>
      </c>
      <c r="E39" s="88">
        <f>D28</f>
        <v>245165869</v>
      </c>
      <c r="F39" s="88"/>
      <c r="J39" s="88"/>
    </row>
    <row r="40" spans="1:10" x14ac:dyDescent="0.35">
      <c r="B40" s="65"/>
      <c r="C40" s="65"/>
    </row>
    <row r="41" spans="1:10" x14ac:dyDescent="0.35">
      <c r="A41" s="84">
        <v>2</v>
      </c>
      <c r="B41" s="65" t="s">
        <v>194</v>
      </c>
      <c r="C41" s="65"/>
      <c r="D41" s="71">
        <f>'Electric 2022 Rate Calc'!E22</f>
        <v>2479103468.6205006</v>
      </c>
      <c r="E41" s="71">
        <f>'Electric 2022 Rate Calc'!K22</f>
        <v>2081609217.6471879</v>
      </c>
      <c r="F41" s="87"/>
      <c r="G41" s="71" t="e">
        <f>#REF!</f>
        <v>#REF!</v>
      </c>
      <c r="J41" s="94"/>
    </row>
    <row r="42" spans="1:10" ht="13.9" customHeight="1" x14ac:dyDescent="0.35">
      <c r="J42" s="94"/>
    </row>
    <row r="43" spans="1:10" x14ac:dyDescent="0.35">
      <c r="A43" s="84">
        <v>3</v>
      </c>
      <c r="B43" t="s">
        <v>58</v>
      </c>
      <c r="D43" s="46">
        <f>'Electric 2022 Rate Calc'!D28</f>
        <v>-2.3400000000000001E-3</v>
      </c>
      <c r="E43" s="46">
        <f>'Electric 2022 Rate Calc'!J28</f>
        <v>1.32E-3</v>
      </c>
    </row>
    <row r="44" spans="1:10" ht="11.5" customHeight="1" x14ac:dyDescent="0.35"/>
    <row r="45" spans="1:10" ht="14.5" customHeight="1" x14ac:dyDescent="0.35">
      <c r="A45" s="74">
        <v>4</v>
      </c>
      <c r="B45" t="s">
        <v>170</v>
      </c>
      <c r="D45" s="147">
        <v>-4.4999999999999999E-4</v>
      </c>
      <c r="E45" s="147">
        <v>6.79E-3</v>
      </c>
    </row>
    <row r="46" spans="1:10" ht="14.5" customHeight="1" x14ac:dyDescent="0.35"/>
    <row r="47" spans="1:10" ht="14.5" customHeight="1" x14ac:dyDescent="0.35">
      <c r="A47" s="84">
        <v>5</v>
      </c>
      <c r="B47" t="s">
        <v>59</v>
      </c>
      <c r="D47" s="46">
        <f>D43-D45</f>
        <v>-1.8900000000000002E-3</v>
      </c>
      <c r="E47" s="46">
        <f>E43-E45</f>
        <v>-5.47E-3</v>
      </c>
    </row>
    <row r="48" spans="1:10" ht="15" customHeight="1" x14ac:dyDescent="0.35"/>
    <row r="49" spans="1:10" ht="15" customHeight="1" x14ac:dyDescent="0.35">
      <c r="A49" s="74">
        <v>6</v>
      </c>
      <c r="B49" t="s">
        <v>60</v>
      </c>
      <c r="D49" s="44">
        <f>D47*D41</f>
        <v>-4685505.5556927463</v>
      </c>
      <c r="E49" s="44">
        <f>E47*E41</f>
        <v>-11386402.420530118</v>
      </c>
      <c r="F49" s="44"/>
      <c r="G49" s="44" t="e">
        <f>#REF!+#REF!</f>
        <v>#REF!</v>
      </c>
    </row>
    <row r="50" spans="1:10" ht="12.65" customHeight="1" x14ac:dyDescent="0.35">
      <c r="D50" s="44"/>
      <c r="G50" s="44"/>
    </row>
    <row r="51" spans="1:10" ht="12.65" customHeight="1" x14ac:dyDescent="0.35">
      <c r="A51" s="74">
        <v>7</v>
      </c>
      <c r="B51" t="s">
        <v>62</v>
      </c>
      <c r="D51" s="47">
        <f>D49/D39</f>
        <v>-1.9829652654358251E-2</v>
      </c>
      <c r="E51" s="47">
        <f>E49/E39</f>
        <v>-4.6443668798490538E-2</v>
      </c>
      <c r="F51" s="47"/>
      <c r="G51" s="47"/>
    </row>
    <row r="52" spans="1:10" ht="13.15" customHeight="1" x14ac:dyDescent="0.35"/>
    <row r="53" spans="1:10" ht="13.15" customHeight="1" x14ac:dyDescent="0.35">
      <c r="A53" s="74">
        <v>8</v>
      </c>
      <c r="B53" t="s">
        <v>184</v>
      </c>
      <c r="D53" s="37">
        <f>IF(D51&gt;0.03,D39*0.03-D49,0)</f>
        <v>0</v>
      </c>
      <c r="E53" s="37">
        <f>IF(E51&gt;0.03,E39*0.03-E49,0)</f>
        <v>0</v>
      </c>
      <c r="G53" s="37"/>
    </row>
    <row r="54" spans="1:10" ht="12.65" customHeight="1" x14ac:dyDescent="0.35"/>
    <row r="55" spans="1:10" ht="12.65" customHeight="1" x14ac:dyDescent="0.35">
      <c r="A55" s="74">
        <v>9</v>
      </c>
      <c r="B55" t="s">
        <v>63</v>
      </c>
      <c r="D55" s="46">
        <f>ROUND(D53/D41,5)</f>
        <v>0</v>
      </c>
      <c r="E55" s="46">
        <f>ROUND(E53/E41,5)</f>
        <v>0</v>
      </c>
    </row>
    <row r="56" spans="1:10" ht="6" customHeight="1" x14ac:dyDescent="0.35"/>
    <row r="57" spans="1:10" x14ac:dyDescent="0.35">
      <c r="A57" s="74">
        <v>10</v>
      </c>
      <c r="B57" t="s">
        <v>64</v>
      </c>
      <c r="D57" s="46">
        <f>D43+D55</f>
        <v>-2.3400000000000001E-3</v>
      </c>
      <c r="E57" s="46">
        <f>E43+E55</f>
        <v>1.32E-3</v>
      </c>
    </row>
    <row r="58" spans="1:10" ht="13.9" customHeight="1" x14ac:dyDescent="0.35"/>
    <row r="59" spans="1:10" ht="13.9" customHeight="1" x14ac:dyDescent="0.35">
      <c r="A59" s="74">
        <v>11</v>
      </c>
      <c r="B59" t="s">
        <v>65</v>
      </c>
      <c r="D59" s="44">
        <f>(D57-D45)*D41</f>
        <v>-4685505.5556927463</v>
      </c>
      <c r="E59" s="44">
        <f>(E57-E45)*E41</f>
        <v>-11386402.420530118</v>
      </c>
      <c r="F59" s="44"/>
      <c r="G59" s="49" t="e">
        <f>#REF!+#REF!</f>
        <v>#REF!</v>
      </c>
      <c r="J59" s="35"/>
    </row>
    <row r="60" spans="1:10" ht="14.5" customHeight="1" x14ac:dyDescent="0.35">
      <c r="D60" s="49"/>
      <c r="G60" s="49"/>
    </row>
    <row r="61" spans="1:10" ht="14.5" customHeight="1" x14ac:dyDescent="0.35">
      <c r="A61" s="74">
        <v>12</v>
      </c>
      <c r="B61" t="s">
        <v>66</v>
      </c>
      <c r="D61" s="47">
        <f>D59/D39</f>
        <v>-1.9829652654358251E-2</v>
      </c>
      <c r="E61" s="47">
        <f>E59/E39</f>
        <v>-4.6443668798490538E-2</v>
      </c>
      <c r="F61" s="47"/>
    </row>
    <row r="62" spans="1:10" ht="16.149999999999999" customHeight="1" x14ac:dyDescent="0.35"/>
    <row r="63" spans="1:10" ht="16.149999999999999" customHeight="1" x14ac:dyDescent="0.35">
      <c r="B63" t="s">
        <v>69</v>
      </c>
    </row>
    <row r="64" spans="1:10" ht="31.5" customHeight="1" x14ac:dyDescent="0.35">
      <c r="B64" s="175" t="s">
        <v>195</v>
      </c>
      <c r="C64" s="175"/>
      <c r="D64" s="175"/>
      <c r="E64" s="175"/>
      <c r="F64" s="175"/>
      <c r="G64" s="175"/>
      <c r="H64" s="175"/>
    </row>
    <row r="65" spans="2:8" ht="54" customHeight="1" x14ac:dyDescent="0.35">
      <c r="B65" s="175" t="s">
        <v>176</v>
      </c>
      <c r="C65" s="175"/>
      <c r="D65" s="175"/>
      <c r="E65" s="175"/>
      <c r="F65" s="175"/>
      <c r="G65" s="175"/>
      <c r="H65" s="175"/>
    </row>
  </sheetData>
  <customSheetViews>
    <customSheetView guid="{6A207E9B-31ED-4215-AD4F-ABB2957B65E4}" scale="60" showPageBreaks="1" printArea="1" view="pageBreakPreview" topLeftCell="F1">
      <selection activeCell="F41" sqref="A41:XFD41"/>
      <rowBreaks count="2" manualBreakCount="2">
        <brk id="36" max="5" man="1"/>
        <brk id="51" min="7" max="17" man="1"/>
      </rowBreaks>
      <pageMargins left="0.7" right="0.7" top="0.64" bottom="0.75" header="0.3" footer="0.3"/>
      <pageSetup scale="95" orientation="portrait" r:id="rId1"/>
    </customSheetView>
    <customSheetView guid="{5C6B1FA1-B621-4699-B8F7-5011E8FF1BCD}" scale="60" showPageBreaks="1" printArea="1" view="pageBreakPreview" topLeftCell="F6">
      <selection activeCell="H6" sqref="H6:R52"/>
      <rowBreaks count="1" manualBreakCount="1">
        <brk id="36" max="5" man="1"/>
      </rowBreaks>
      <pageMargins left="0.7" right="0.7" top="0.75" bottom="0.75" header="0.3" footer="0.3"/>
      <pageSetup orientation="portrait" r:id="rId2"/>
    </customSheetView>
  </customSheetViews>
  <mergeCells count="8">
    <mergeCell ref="B65:H65"/>
    <mergeCell ref="B64:H64"/>
    <mergeCell ref="B1:H1"/>
    <mergeCell ref="B2:H2"/>
    <mergeCell ref="B3:H3"/>
    <mergeCell ref="E32:E33"/>
    <mergeCell ref="D32:D33"/>
    <mergeCell ref="B39:C39"/>
  </mergeCells>
  <printOptions horizontalCentered="1"/>
  <pageMargins left="0.7" right="0.7" top="0.55000000000000004" bottom="0.48" header="0.3" footer="0.3"/>
  <pageSetup scale="88" firstPageNumber="6" orientation="portrait" useFirstPageNumber="1" r:id="rId3"/>
  <headerFooter scaleWithDoc="0">
    <oddFooter>&amp;CATTACHMENT A&amp;RPage &amp;P of 9</oddFooter>
  </headerFooter>
  <rowBreaks count="1" manualBreakCount="1">
    <brk id="37" max="7" man="1"/>
  </rowBreaks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16"/>
  <sheetViews>
    <sheetView topLeftCell="A89" zoomScaleNormal="100" workbookViewId="0">
      <selection activeCell="H105" sqref="H105"/>
    </sheetView>
  </sheetViews>
  <sheetFormatPr defaultRowHeight="14.5" x14ac:dyDescent="0.35"/>
  <cols>
    <col min="1" max="1" width="6.453125" customWidth="1"/>
    <col min="2" max="2" width="2.1796875" customWidth="1"/>
    <col min="3" max="3" width="37.26953125" customWidth="1"/>
    <col min="5" max="5" width="11.453125" bestFit="1" customWidth="1"/>
    <col min="6" max="6" width="2.26953125" customWidth="1"/>
  </cols>
  <sheetData>
    <row r="1" spans="1:5" ht="14.5" hidden="1" customHeight="1" x14ac:dyDescent="0.35">
      <c r="A1" s="1" t="s">
        <v>13</v>
      </c>
      <c r="B1" s="1"/>
      <c r="C1" s="1"/>
      <c r="D1" s="1"/>
      <c r="E1" s="2"/>
    </row>
    <row r="2" spans="1:5" hidden="1" x14ac:dyDescent="0.35">
      <c r="A2" s="179" t="s">
        <v>14</v>
      </c>
      <c r="B2" s="179"/>
      <c r="C2" s="179"/>
      <c r="D2" s="179"/>
      <c r="E2" s="179"/>
    </row>
    <row r="3" spans="1:5" hidden="1" x14ac:dyDescent="0.35">
      <c r="A3" s="179" t="s">
        <v>15</v>
      </c>
      <c r="B3" s="179"/>
      <c r="C3" s="179"/>
      <c r="D3" s="179"/>
      <c r="E3" s="179"/>
    </row>
    <row r="4" spans="1:5" ht="15.5" hidden="1" x14ac:dyDescent="0.35">
      <c r="A4" s="179" t="s">
        <v>16</v>
      </c>
      <c r="B4" s="182"/>
      <c r="C4" s="179"/>
      <c r="D4" s="179"/>
      <c r="E4" s="179"/>
    </row>
    <row r="5" spans="1:5" hidden="1" x14ac:dyDescent="0.35">
      <c r="A5" s="3"/>
      <c r="B5" s="3"/>
      <c r="C5" s="3"/>
      <c r="D5" s="3"/>
      <c r="E5" s="4"/>
    </row>
    <row r="6" spans="1:5" hidden="1" x14ac:dyDescent="0.35">
      <c r="A6" s="5" t="s">
        <v>17</v>
      </c>
      <c r="B6" s="5"/>
      <c r="C6" s="5"/>
      <c r="D6" s="5"/>
      <c r="E6" s="6"/>
    </row>
    <row r="7" spans="1:5" hidden="1" x14ac:dyDescent="0.35">
      <c r="A7" s="7" t="s">
        <v>18</v>
      </c>
      <c r="B7" s="5"/>
      <c r="C7" s="7" t="s">
        <v>19</v>
      </c>
      <c r="D7" s="8"/>
      <c r="E7" s="9" t="s">
        <v>20</v>
      </c>
    </row>
    <row r="8" spans="1:5" hidden="1" x14ac:dyDescent="0.35">
      <c r="A8" s="3"/>
      <c r="B8" s="3"/>
      <c r="C8" s="3"/>
      <c r="D8" s="3"/>
      <c r="E8" s="4"/>
    </row>
    <row r="9" spans="1:5" hidden="1" x14ac:dyDescent="0.35">
      <c r="A9" s="10">
        <v>1</v>
      </c>
      <c r="B9" s="3"/>
      <c r="C9" s="11" t="s">
        <v>21</v>
      </c>
      <c r="D9" s="3"/>
      <c r="E9" s="12">
        <v>1</v>
      </c>
    </row>
    <row r="10" spans="1:5" hidden="1" x14ac:dyDescent="0.35">
      <c r="A10" s="10"/>
      <c r="B10" s="3"/>
      <c r="C10" s="3"/>
      <c r="D10" s="3"/>
      <c r="E10" s="12"/>
    </row>
    <row r="11" spans="1:5" hidden="1" x14ac:dyDescent="0.35">
      <c r="A11" s="10"/>
      <c r="B11" s="3"/>
      <c r="C11" s="13" t="s">
        <v>22</v>
      </c>
      <c r="D11" s="14"/>
      <c r="E11" s="12"/>
    </row>
    <row r="12" spans="1:5" hidden="1" x14ac:dyDescent="0.35">
      <c r="A12" s="10">
        <v>2</v>
      </c>
      <c r="B12" s="3"/>
      <c r="C12" s="14" t="s">
        <v>23</v>
      </c>
      <c r="D12" s="14"/>
      <c r="E12" s="14">
        <v>4.849E-3</v>
      </c>
    </row>
    <row r="13" spans="1:5" hidden="1" x14ac:dyDescent="0.35">
      <c r="A13" s="10"/>
      <c r="B13" s="3"/>
      <c r="C13" s="14"/>
      <c r="D13" s="14"/>
      <c r="E13" s="14"/>
    </row>
    <row r="14" spans="1:5" hidden="1" x14ac:dyDescent="0.35">
      <c r="A14" s="10">
        <v>3</v>
      </c>
      <c r="B14" s="3"/>
      <c r="C14" s="14" t="s">
        <v>24</v>
      </c>
      <c r="D14" s="14"/>
      <c r="E14" s="14">
        <v>2E-3</v>
      </c>
    </row>
    <row r="15" spans="1:5" hidden="1" x14ac:dyDescent="0.35">
      <c r="A15" s="10"/>
      <c r="B15" s="3"/>
      <c r="C15" s="14"/>
      <c r="D15" s="14"/>
      <c r="E15" s="14"/>
    </row>
    <row r="16" spans="1:5" hidden="1" x14ac:dyDescent="0.35">
      <c r="A16" s="10">
        <v>4</v>
      </c>
      <c r="B16" s="3"/>
      <c r="C16" s="14" t="s">
        <v>25</v>
      </c>
      <c r="D16" s="14"/>
      <c r="E16" s="14">
        <v>3.8545999999999997E-2</v>
      </c>
    </row>
    <row r="17" spans="1:5" hidden="1" x14ac:dyDescent="0.35">
      <c r="A17" s="10"/>
      <c r="B17" s="3"/>
      <c r="C17" s="14"/>
      <c r="D17" s="14"/>
      <c r="E17" s="14"/>
    </row>
    <row r="18" spans="1:5" ht="15" hidden="1" thickBot="1" x14ac:dyDescent="0.4">
      <c r="A18" s="10">
        <v>5</v>
      </c>
      <c r="B18" s="3"/>
      <c r="C18" s="14" t="s">
        <v>26</v>
      </c>
      <c r="D18" s="14"/>
      <c r="E18" s="22">
        <f>SUM(E12:E16)</f>
        <v>4.5394999999999998E-2</v>
      </c>
    </row>
    <row r="19" spans="1:5" hidden="1" x14ac:dyDescent="0.35">
      <c r="A19" s="10"/>
      <c r="B19" s="3"/>
      <c r="C19" s="14"/>
      <c r="D19" s="14"/>
      <c r="E19" s="16"/>
    </row>
    <row r="20" spans="1:5" hidden="1" x14ac:dyDescent="0.35">
      <c r="A20" s="10">
        <v>6</v>
      </c>
      <c r="B20" s="3"/>
      <c r="C20" s="14" t="s">
        <v>27</v>
      </c>
      <c r="D20" s="14"/>
      <c r="E20" s="16">
        <f>E9-E18</f>
        <v>0.95460500000000004</v>
      </c>
    </row>
    <row r="21" spans="1:5" hidden="1" x14ac:dyDescent="0.35">
      <c r="A21" s="3"/>
      <c r="B21" s="3"/>
      <c r="C21" s="14"/>
      <c r="D21" s="14"/>
      <c r="E21" s="16"/>
    </row>
    <row r="22" spans="1:5" hidden="1" x14ac:dyDescent="0.35">
      <c r="A22" s="10">
        <v>7</v>
      </c>
      <c r="B22" s="3"/>
      <c r="C22" s="14" t="s">
        <v>28</v>
      </c>
      <c r="D22" s="17"/>
      <c r="E22" s="18">
        <f>ROUND(E20*0.35,6)</f>
        <v>0.33411200000000002</v>
      </c>
    </row>
    <row r="23" spans="1:5" hidden="1" x14ac:dyDescent="0.35">
      <c r="A23" s="3"/>
      <c r="B23" s="3"/>
      <c r="C23" s="14"/>
      <c r="D23" s="14"/>
      <c r="E23" s="16"/>
    </row>
    <row r="24" spans="1:5" ht="15" hidden="1" thickBot="1" x14ac:dyDescent="0.4">
      <c r="A24" s="10">
        <v>8</v>
      </c>
      <c r="B24" s="3"/>
      <c r="C24" s="13" t="s">
        <v>29</v>
      </c>
      <c r="D24" s="14"/>
      <c r="E24" s="19">
        <f>ROUND(E20-E22,5)</f>
        <v>0.62048999999999999</v>
      </c>
    </row>
    <row r="25" spans="1:5" hidden="1" x14ac:dyDescent="0.35">
      <c r="A25" s="20"/>
      <c r="B25" s="20"/>
      <c r="C25" s="20"/>
      <c r="D25" s="20"/>
      <c r="E25" s="20"/>
    </row>
    <row r="26" spans="1:5" hidden="1" x14ac:dyDescent="0.35">
      <c r="C26" t="s">
        <v>30</v>
      </c>
    </row>
    <row r="27" spans="1:5" hidden="1" x14ac:dyDescent="0.35">
      <c r="C27" t="s">
        <v>31</v>
      </c>
    </row>
    <row r="28" spans="1:5" hidden="1" x14ac:dyDescent="0.35">
      <c r="C28" t="s">
        <v>37</v>
      </c>
      <c r="E28">
        <f>1/E20</f>
        <v>1.0475537002215576</v>
      </c>
    </row>
    <row r="29" spans="1:5" hidden="1" x14ac:dyDescent="0.35"/>
    <row r="30" spans="1:5" ht="14.5" hidden="1" customHeight="1" x14ac:dyDescent="0.35">
      <c r="A30" s="1" t="s">
        <v>13</v>
      </c>
      <c r="B30" s="1"/>
      <c r="C30" s="1"/>
      <c r="D30" s="1">
        <f>D28+D29</f>
        <v>0</v>
      </c>
      <c r="E30" s="2"/>
    </row>
    <row r="31" spans="1:5" hidden="1" x14ac:dyDescent="0.35">
      <c r="A31" s="179" t="s">
        <v>14</v>
      </c>
      <c r="B31" s="179"/>
      <c r="C31" s="179"/>
      <c r="D31" s="179"/>
      <c r="E31" s="179"/>
    </row>
    <row r="32" spans="1:5" hidden="1" x14ac:dyDescent="0.35">
      <c r="A32" s="179" t="s">
        <v>15</v>
      </c>
      <c r="B32" s="179"/>
      <c r="C32" s="179"/>
      <c r="D32" s="179"/>
      <c r="E32" s="179"/>
    </row>
    <row r="33" spans="1:5" ht="15.5" hidden="1" x14ac:dyDescent="0.35">
      <c r="A33" s="179" t="s">
        <v>32</v>
      </c>
      <c r="B33" s="182"/>
      <c r="C33" s="179"/>
      <c r="D33" s="179"/>
      <c r="E33" s="179"/>
    </row>
    <row r="34" spans="1:5" hidden="1" x14ac:dyDescent="0.35">
      <c r="A34" s="3"/>
      <c r="B34" s="3"/>
      <c r="C34" s="3"/>
      <c r="D34" s="3"/>
      <c r="E34" s="4"/>
    </row>
    <row r="35" spans="1:5" hidden="1" x14ac:dyDescent="0.35">
      <c r="A35" s="5" t="s">
        <v>17</v>
      </c>
      <c r="B35" s="5"/>
      <c r="C35" s="5"/>
      <c r="D35" s="5"/>
      <c r="E35" s="6"/>
    </row>
    <row r="36" spans="1:5" hidden="1" x14ac:dyDescent="0.35">
      <c r="A36" s="7" t="s">
        <v>18</v>
      </c>
      <c r="B36" s="5"/>
      <c r="C36" s="7" t="s">
        <v>19</v>
      </c>
      <c r="D36" s="8"/>
      <c r="E36" s="9" t="s">
        <v>20</v>
      </c>
    </row>
    <row r="37" spans="1:5" hidden="1" x14ac:dyDescent="0.35">
      <c r="A37" s="3"/>
      <c r="B37" s="3"/>
      <c r="C37" s="3"/>
      <c r="D37" s="3"/>
      <c r="E37" s="4"/>
    </row>
    <row r="38" spans="1:5" hidden="1" x14ac:dyDescent="0.35">
      <c r="A38" s="10">
        <v>1</v>
      </c>
      <c r="B38" s="3"/>
      <c r="C38" s="11" t="s">
        <v>21</v>
      </c>
      <c r="D38" s="3"/>
      <c r="E38" s="12">
        <v>1</v>
      </c>
    </row>
    <row r="39" spans="1:5" hidden="1" x14ac:dyDescent="0.35">
      <c r="A39" s="10"/>
      <c r="B39" s="3"/>
      <c r="C39" s="3"/>
      <c r="D39" s="3"/>
      <c r="E39" s="12"/>
    </row>
    <row r="40" spans="1:5" hidden="1" x14ac:dyDescent="0.35">
      <c r="A40" s="10"/>
      <c r="B40" s="3"/>
      <c r="C40" s="13" t="s">
        <v>22</v>
      </c>
      <c r="D40" s="14"/>
      <c r="E40" s="12"/>
    </row>
    <row r="41" spans="1:5" hidden="1" x14ac:dyDescent="0.35">
      <c r="A41" s="10">
        <v>2</v>
      </c>
      <c r="B41" s="3"/>
      <c r="C41" s="14" t="s">
        <v>23</v>
      </c>
      <c r="D41" s="14"/>
      <c r="E41" s="14">
        <v>4.4488865114927787E-3</v>
      </c>
    </row>
    <row r="42" spans="1:5" hidden="1" x14ac:dyDescent="0.35">
      <c r="A42" s="10"/>
      <c r="B42" s="3"/>
      <c r="C42" s="14"/>
      <c r="D42" s="14"/>
      <c r="E42" s="14"/>
    </row>
    <row r="43" spans="1:5" hidden="1" x14ac:dyDescent="0.35">
      <c r="A43" s="10">
        <v>3</v>
      </c>
      <c r="B43" s="3"/>
      <c r="C43" s="14" t="s">
        <v>24</v>
      </c>
      <c r="D43" s="14"/>
      <c r="E43" s="14">
        <v>2E-3</v>
      </c>
    </row>
    <row r="44" spans="1:5" hidden="1" x14ac:dyDescent="0.35">
      <c r="A44" s="10"/>
      <c r="B44" s="3"/>
      <c r="C44" s="14"/>
      <c r="D44" s="14"/>
      <c r="E44" s="14"/>
    </row>
    <row r="45" spans="1:5" hidden="1" x14ac:dyDescent="0.35">
      <c r="A45" s="10">
        <v>4</v>
      </c>
      <c r="B45" s="3"/>
      <c r="C45" s="14" t="s">
        <v>25</v>
      </c>
      <c r="D45" s="14"/>
      <c r="E45" s="14">
        <v>3.8561676829863833E-2</v>
      </c>
    </row>
    <row r="46" spans="1:5" hidden="1" x14ac:dyDescent="0.35">
      <c r="A46" s="10"/>
      <c r="B46" s="3"/>
      <c r="C46" s="14"/>
      <c r="D46" s="14"/>
      <c r="E46" s="14"/>
    </row>
    <row r="47" spans="1:5" hidden="1" x14ac:dyDescent="0.35">
      <c r="A47" s="10">
        <v>5</v>
      </c>
      <c r="B47" s="3"/>
      <c r="C47" s="14" t="s">
        <v>33</v>
      </c>
      <c r="D47" s="14"/>
      <c r="E47" s="14">
        <v>0</v>
      </c>
    </row>
    <row r="48" spans="1:5" hidden="1" x14ac:dyDescent="0.35">
      <c r="A48" s="10"/>
      <c r="B48" s="3"/>
      <c r="C48" s="14"/>
      <c r="D48" s="14"/>
      <c r="E48" s="14"/>
    </row>
    <row r="49" spans="1:5" hidden="1" x14ac:dyDescent="0.35">
      <c r="A49" s="10">
        <v>6</v>
      </c>
      <c r="B49" s="3"/>
      <c r="C49" s="14" t="s">
        <v>26</v>
      </c>
      <c r="D49" s="14"/>
      <c r="E49" s="15">
        <f>SUM(E41:E47)</f>
        <v>4.5010563341356613E-2</v>
      </c>
    </row>
    <row r="50" spans="1:5" hidden="1" x14ac:dyDescent="0.35">
      <c r="A50" s="3"/>
      <c r="B50" s="3"/>
      <c r="C50" s="14"/>
      <c r="D50" s="14"/>
      <c r="E50" s="16"/>
    </row>
    <row r="51" spans="1:5" hidden="1" x14ac:dyDescent="0.35">
      <c r="A51" s="10">
        <v>7</v>
      </c>
      <c r="B51" s="3"/>
      <c r="C51" s="14" t="s">
        <v>27</v>
      </c>
      <c r="D51" s="14"/>
      <c r="E51" s="16">
        <f>E38-E49</f>
        <v>0.95498943665864333</v>
      </c>
    </row>
    <row r="52" spans="1:5" hidden="1" x14ac:dyDescent="0.35">
      <c r="A52" s="3"/>
      <c r="B52" s="3"/>
      <c r="C52" s="14"/>
      <c r="D52" s="14"/>
      <c r="E52" s="16"/>
    </row>
    <row r="53" spans="1:5" hidden="1" x14ac:dyDescent="0.35">
      <c r="A53" s="10">
        <v>8</v>
      </c>
      <c r="B53" s="3"/>
      <c r="C53" s="14" t="s">
        <v>28</v>
      </c>
      <c r="D53" s="17"/>
      <c r="E53" s="18">
        <f>ROUND(E51*0.35,6)</f>
        <v>0.33424599999999999</v>
      </c>
    </row>
    <row r="54" spans="1:5" hidden="1" x14ac:dyDescent="0.35">
      <c r="A54" s="3"/>
      <c r="B54" s="3"/>
      <c r="C54" s="14"/>
      <c r="D54" s="14"/>
      <c r="E54" s="16"/>
    </row>
    <row r="55" spans="1:5" ht="15" hidden="1" thickBot="1" x14ac:dyDescent="0.4">
      <c r="A55" s="10">
        <v>9</v>
      </c>
      <c r="B55" s="3"/>
      <c r="C55" s="13" t="s">
        <v>29</v>
      </c>
      <c r="D55" s="14"/>
      <c r="E55" s="21">
        <f>ROUND(E51-E53,5)</f>
        <v>0.62073999999999996</v>
      </c>
    </row>
    <row r="56" spans="1:5" hidden="1" x14ac:dyDescent="0.35">
      <c r="A56" s="20"/>
      <c r="B56" s="20"/>
      <c r="C56" s="20"/>
      <c r="D56" s="20"/>
      <c r="E56" s="20"/>
    </row>
    <row r="57" spans="1:5" hidden="1" x14ac:dyDescent="0.35">
      <c r="C57" t="s">
        <v>30</v>
      </c>
    </row>
    <row r="58" spans="1:5" hidden="1" x14ac:dyDescent="0.35">
      <c r="C58" t="s">
        <v>34</v>
      </c>
    </row>
    <row r="59" spans="1:5" hidden="1" x14ac:dyDescent="0.35">
      <c r="C59" t="s">
        <v>37</v>
      </c>
      <c r="E59">
        <f>1/E51</f>
        <v>1.0471320012699215</v>
      </c>
    </row>
    <row r="60" spans="1:5" hidden="1" x14ac:dyDescent="0.35"/>
    <row r="61" spans="1:5" hidden="1" x14ac:dyDescent="0.35">
      <c r="A61" s="178" t="s">
        <v>14</v>
      </c>
      <c r="B61" s="178"/>
      <c r="C61" s="178"/>
      <c r="D61" s="178"/>
      <c r="E61" s="178"/>
    </row>
    <row r="62" spans="1:5" hidden="1" x14ac:dyDescent="0.35">
      <c r="A62" s="179" t="s">
        <v>15</v>
      </c>
      <c r="B62" s="179"/>
      <c r="C62" s="179"/>
      <c r="D62" s="179"/>
      <c r="E62" s="179"/>
    </row>
    <row r="63" spans="1:5" ht="15.65" hidden="1" customHeight="1" x14ac:dyDescent="0.35">
      <c r="A63" s="180" t="s">
        <v>35</v>
      </c>
      <c r="B63" s="181"/>
      <c r="C63" s="180"/>
      <c r="D63" s="180"/>
      <c r="E63" s="180"/>
    </row>
    <row r="64" spans="1:5" hidden="1" x14ac:dyDescent="0.35">
      <c r="A64" s="3"/>
      <c r="B64" s="3"/>
      <c r="C64" s="3"/>
      <c r="D64" s="3"/>
      <c r="E64" s="4"/>
    </row>
    <row r="65" spans="1:5" hidden="1" x14ac:dyDescent="0.35">
      <c r="A65" s="5" t="s">
        <v>17</v>
      </c>
      <c r="B65" s="5"/>
      <c r="C65" s="5"/>
      <c r="D65" s="5"/>
      <c r="E65" s="6"/>
    </row>
    <row r="66" spans="1:5" hidden="1" x14ac:dyDescent="0.35">
      <c r="A66" s="7" t="s">
        <v>18</v>
      </c>
      <c r="B66" s="5"/>
      <c r="C66" s="7" t="s">
        <v>19</v>
      </c>
      <c r="D66" s="8"/>
      <c r="E66" s="9" t="s">
        <v>20</v>
      </c>
    </row>
    <row r="67" spans="1:5" hidden="1" x14ac:dyDescent="0.35">
      <c r="A67" s="3"/>
      <c r="B67" s="3"/>
      <c r="C67" s="3"/>
      <c r="D67" s="3"/>
      <c r="E67" s="4"/>
    </row>
    <row r="68" spans="1:5" hidden="1" x14ac:dyDescent="0.35">
      <c r="A68" s="10">
        <v>1</v>
      </c>
      <c r="B68" s="3"/>
      <c r="C68" s="11" t="s">
        <v>21</v>
      </c>
      <c r="D68" s="3"/>
      <c r="E68" s="12">
        <v>1</v>
      </c>
    </row>
    <row r="69" spans="1:5" hidden="1" x14ac:dyDescent="0.35">
      <c r="A69" s="10"/>
      <c r="B69" s="3"/>
      <c r="C69" s="3"/>
      <c r="D69" s="3"/>
      <c r="E69" s="12"/>
    </row>
    <row r="70" spans="1:5" hidden="1" x14ac:dyDescent="0.35">
      <c r="A70" s="10"/>
      <c r="B70" s="3"/>
      <c r="C70" s="13" t="s">
        <v>22</v>
      </c>
      <c r="D70" s="14"/>
      <c r="E70" s="12"/>
    </row>
    <row r="71" spans="1:5" hidden="1" x14ac:dyDescent="0.35">
      <c r="A71" s="10">
        <v>2</v>
      </c>
      <c r="B71" s="3"/>
      <c r="C71" s="14" t="s">
        <v>23</v>
      </c>
      <c r="D71" s="14"/>
      <c r="E71" s="14">
        <v>5.8552999999999999E-3</v>
      </c>
    </row>
    <row r="72" spans="1:5" hidden="1" x14ac:dyDescent="0.35">
      <c r="A72" s="10"/>
      <c r="B72" s="3"/>
      <c r="C72" s="14"/>
      <c r="D72" s="14"/>
      <c r="E72" s="14"/>
    </row>
    <row r="73" spans="1:5" hidden="1" x14ac:dyDescent="0.35">
      <c r="A73" s="10">
        <v>3</v>
      </c>
      <c r="B73" s="3"/>
      <c r="C73" s="14" t="s">
        <v>24</v>
      </c>
      <c r="D73" s="14"/>
      <c r="E73" s="14">
        <v>2E-3</v>
      </c>
    </row>
    <row r="74" spans="1:5" hidden="1" x14ac:dyDescent="0.35">
      <c r="A74" s="10"/>
      <c r="B74" s="3"/>
      <c r="C74" s="14"/>
      <c r="D74" s="14"/>
      <c r="E74" s="14"/>
    </row>
    <row r="75" spans="1:5" hidden="1" x14ac:dyDescent="0.35">
      <c r="A75" s="10">
        <v>4</v>
      </c>
      <c r="B75" s="3"/>
      <c r="C75" s="14" t="s">
        <v>25</v>
      </c>
      <c r="D75" s="14"/>
      <c r="E75" s="14">
        <v>3.8507300000000001E-2</v>
      </c>
    </row>
    <row r="76" spans="1:5" hidden="1" x14ac:dyDescent="0.35">
      <c r="A76" s="10"/>
      <c r="B76" s="3"/>
      <c r="C76" s="14"/>
      <c r="D76" s="14"/>
      <c r="E76" s="14"/>
    </row>
    <row r="77" spans="1:5" hidden="1" x14ac:dyDescent="0.35">
      <c r="A77" s="10">
        <v>5</v>
      </c>
      <c r="B77" s="3"/>
      <c r="C77" s="14" t="s">
        <v>26</v>
      </c>
      <c r="D77" s="14"/>
      <c r="E77" s="15">
        <f>SUM(E71:E75)</f>
        <v>4.6362600000000004E-2</v>
      </c>
    </row>
    <row r="78" spans="1:5" hidden="1" x14ac:dyDescent="0.35">
      <c r="A78" s="10"/>
      <c r="B78" s="3"/>
      <c r="C78" s="14"/>
      <c r="D78" s="14"/>
      <c r="E78" s="16"/>
    </row>
    <row r="79" spans="1:5" hidden="1" x14ac:dyDescent="0.35">
      <c r="A79" s="10">
        <v>6</v>
      </c>
      <c r="B79" s="3"/>
      <c r="C79" s="14" t="s">
        <v>27</v>
      </c>
      <c r="D79" s="14"/>
      <c r="E79" s="16">
        <f>E68-E77</f>
        <v>0.95363739999999997</v>
      </c>
    </row>
    <row r="80" spans="1:5" hidden="1" x14ac:dyDescent="0.35">
      <c r="A80" s="3"/>
      <c r="B80" s="3"/>
      <c r="C80" s="14"/>
      <c r="D80" s="14"/>
      <c r="E80" s="16"/>
    </row>
    <row r="81" spans="1:5" hidden="1" x14ac:dyDescent="0.35">
      <c r="A81" s="10">
        <v>7</v>
      </c>
      <c r="B81" s="3"/>
      <c r="C81" s="14" t="s">
        <v>28</v>
      </c>
      <c r="D81" s="17"/>
      <c r="E81" s="18">
        <f>ROUND(E79*0.35,6)</f>
        <v>0.33377299999999999</v>
      </c>
    </row>
    <row r="82" spans="1:5" hidden="1" x14ac:dyDescent="0.35">
      <c r="A82" s="3"/>
      <c r="B82" s="3"/>
      <c r="C82" s="14"/>
      <c r="D82" s="14"/>
      <c r="E82" s="16"/>
    </row>
    <row r="83" spans="1:5" ht="15" hidden="1" thickBot="1" x14ac:dyDescent="0.4">
      <c r="A83" s="10">
        <v>8</v>
      </c>
      <c r="B83" s="3"/>
      <c r="C83" s="13" t="s">
        <v>29</v>
      </c>
      <c r="D83" s="14"/>
      <c r="E83" s="23">
        <f>ROUND(E79-E81,6)</f>
        <v>0.61986399999999997</v>
      </c>
    </row>
    <row r="84" spans="1:5" hidden="1" x14ac:dyDescent="0.35"/>
    <row r="85" spans="1:5" hidden="1" x14ac:dyDescent="0.35">
      <c r="C85" t="s">
        <v>36</v>
      </c>
    </row>
    <row r="86" spans="1:5" hidden="1" x14ac:dyDescent="0.35">
      <c r="C86" t="s">
        <v>34</v>
      </c>
    </row>
    <row r="87" spans="1:5" hidden="1" x14ac:dyDescent="0.35">
      <c r="C87" t="s">
        <v>37</v>
      </c>
      <c r="E87">
        <f>1/E79</f>
        <v>1.0486165915892141</v>
      </c>
    </row>
    <row r="88" spans="1:5" hidden="1" x14ac:dyDescent="0.35"/>
    <row r="89" spans="1:5" x14ac:dyDescent="0.35">
      <c r="A89" s="1" t="s">
        <v>13</v>
      </c>
      <c r="B89" s="1"/>
      <c r="C89" s="1"/>
      <c r="D89" s="1"/>
      <c r="E89" s="2"/>
    </row>
    <row r="90" spans="1:5" x14ac:dyDescent="0.35">
      <c r="A90" s="1" t="s">
        <v>14</v>
      </c>
      <c r="B90" s="1"/>
      <c r="C90" s="1"/>
      <c r="D90" s="1"/>
      <c r="E90" s="2"/>
    </row>
    <row r="91" spans="1:5" x14ac:dyDescent="0.35">
      <c r="A91" s="1" t="s">
        <v>15</v>
      </c>
      <c r="B91" s="1"/>
      <c r="C91" s="1"/>
      <c r="D91" s="1"/>
      <c r="E91" s="2"/>
    </row>
    <row r="92" spans="1:5" x14ac:dyDescent="0.35">
      <c r="A92" s="1" t="s">
        <v>181</v>
      </c>
      <c r="B92" s="1"/>
      <c r="C92" s="1"/>
      <c r="D92" s="1"/>
      <c r="E92" s="2"/>
    </row>
    <row r="93" spans="1:5" x14ac:dyDescent="0.35">
      <c r="A93" s="3"/>
      <c r="B93" s="3"/>
      <c r="C93" s="3"/>
      <c r="D93" s="3"/>
      <c r="E93" s="4"/>
    </row>
    <row r="94" spans="1:5" x14ac:dyDescent="0.35">
      <c r="A94" s="5" t="s">
        <v>17</v>
      </c>
      <c r="B94" s="5"/>
      <c r="C94" s="5"/>
      <c r="D94" s="5"/>
      <c r="E94" s="6"/>
    </row>
    <row r="95" spans="1:5" x14ac:dyDescent="0.35">
      <c r="A95" s="7" t="s">
        <v>18</v>
      </c>
      <c r="B95" s="5"/>
      <c r="C95" s="7" t="s">
        <v>19</v>
      </c>
      <c r="D95" s="8"/>
      <c r="E95" s="9" t="s">
        <v>20</v>
      </c>
    </row>
    <row r="96" spans="1:5" x14ac:dyDescent="0.35">
      <c r="A96" s="3"/>
      <c r="B96" s="3"/>
      <c r="C96" s="3"/>
      <c r="D96" s="3"/>
      <c r="E96" s="4"/>
    </row>
    <row r="97" spans="1:5" x14ac:dyDescent="0.35">
      <c r="A97" s="10">
        <v>1</v>
      </c>
      <c r="B97" s="3"/>
      <c r="C97" s="11" t="s">
        <v>21</v>
      </c>
      <c r="D97" s="3"/>
      <c r="E97" s="12">
        <v>1</v>
      </c>
    </row>
    <row r="98" spans="1:5" x14ac:dyDescent="0.35">
      <c r="A98" s="10"/>
      <c r="B98" s="3"/>
      <c r="C98" s="3"/>
      <c r="D98" s="3"/>
      <c r="E98" s="12"/>
    </row>
    <row r="99" spans="1:5" x14ac:dyDescent="0.35">
      <c r="A99" s="10"/>
      <c r="B99" s="3"/>
      <c r="C99" s="13" t="s">
        <v>22</v>
      </c>
      <c r="D99" s="14"/>
      <c r="E99" s="12"/>
    </row>
    <row r="100" spans="1:5" x14ac:dyDescent="0.35">
      <c r="A100" s="10">
        <v>2</v>
      </c>
      <c r="B100" s="3"/>
      <c r="C100" s="14" t="s">
        <v>23</v>
      </c>
      <c r="D100" s="14"/>
      <c r="E100" s="148">
        <v>2.1517183840632356E-3</v>
      </c>
    </row>
    <row r="101" spans="1:5" x14ac:dyDescent="0.35">
      <c r="A101" s="10"/>
      <c r="B101" s="3"/>
      <c r="C101" s="14"/>
      <c r="D101" s="14"/>
      <c r="E101" s="136"/>
    </row>
    <row r="102" spans="1:5" x14ac:dyDescent="0.35">
      <c r="A102" s="10">
        <v>3</v>
      </c>
      <c r="B102" s="3"/>
      <c r="C102" s="14" t="s">
        <v>24</v>
      </c>
      <c r="D102" s="14"/>
      <c r="E102" s="148">
        <v>2E-3</v>
      </c>
    </row>
    <row r="103" spans="1:5" x14ac:dyDescent="0.35">
      <c r="A103" s="10"/>
      <c r="B103" s="3"/>
      <c r="C103" s="14"/>
      <c r="D103" s="14"/>
      <c r="E103" s="136"/>
    </row>
    <row r="104" spans="1:5" x14ac:dyDescent="0.35">
      <c r="A104" s="10">
        <v>4</v>
      </c>
      <c r="B104" s="3"/>
      <c r="C104" s="14" t="s">
        <v>25</v>
      </c>
      <c r="D104" s="14"/>
      <c r="E104" s="148">
        <v>3.8650655340111695E-2</v>
      </c>
    </row>
    <row r="105" spans="1:5" x14ac:dyDescent="0.35">
      <c r="A105" s="10"/>
      <c r="B105" s="3"/>
      <c r="C105" s="14"/>
      <c r="D105" s="14"/>
      <c r="E105" s="14"/>
    </row>
    <row r="106" spans="1:5" x14ac:dyDescent="0.35">
      <c r="A106" s="10">
        <v>5</v>
      </c>
      <c r="B106" s="3"/>
      <c r="C106" s="14" t="s">
        <v>26</v>
      </c>
      <c r="D106" s="14"/>
      <c r="E106" s="15">
        <f>ROUND(SUM(E100:E105),6)</f>
        <v>4.2802E-2</v>
      </c>
    </row>
    <row r="107" spans="1:5" x14ac:dyDescent="0.35">
      <c r="A107" s="3"/>
      <c r="B107" s="3"/>
      <c r="C107" s="14"/>
      <c r="D107" s="14"/>
      <c r="E107" s="16"/>
    </row>
    <row r="108" spans="1:5" x14ac:dyDescent="0.35">
      <c r="A108" s="10">
        <v>6</v>
      </c>
      <c r="B108" s="3"/>
      <c r="C108" s="14" t="s">
        <v>27</v>
      </c>
      <c r="D108" s="14"/>
      <c r="E108" s="16">
        <f>E97-E106</f>
        <v>0.95719799999999999</v>
      </c>
    </row>
    <row r="109" spans="1:5" x14ac:dyDescent="0.35">
      <c r="A109" s="3"/>
      <c r="B109" s="3"/>
      <c r="C109" s="14"/>
      <c r="D109" s="14"/>
      <c r="E109" s="16"/>
    </row>
    <row r="110" spans="1:5" x14ac:dyDescent="0.35">
      <c r="A110" s="10">
        <v>7</v>
      </c>
      <c r="B110" s="3"/>
      <c r="C110" s="14" t="s">
        <v>165</v>
      </c>
      <c r="D110" s="17"/>
      <c r="E110" s="18">
        <f>ROUND(E108*0.21,6)</f>
        <v>0.201012</v>
      </c>
    </row>
    <row r="111" spans="1:5" x14ac:dyDescent="0.35">
      <c r="A111" s="3"/>
      <c r="B111" s="3"/>
      <c r="C111" s="14"/>
      <c r="D111" s="14"/>
      <c r="E111" s="16"/>
    </row>
    <row r="112" spans="1:5" ht="15" thickBot="1" x14ac:dyDescent="0.4">
      <c r="A112" s="10">
        <v>8</v>
      </c>
      <c r="B112" s="3"/>
      <c r="C112" s="13" t="s">
        <v>29</v>
      </c>
      <c r="D112" s="14"/>
      <c r="E112" s="24">
        <f>ROUND(E108-E110,6)</f>
        <v>0.75618600000000002</v>
      </c>
    </row>
    <row r="113" spans="1:5" ht="15" thickTop="1" x14ac:dyDescent="0.35">
      <c r="A113" s="3"/>
      <c r="B113" s="3"/>
      <c r="C113" s="3"/>
      <c r="D113" s="3"/>
      <c r="E113" s="4"/>
    </row>
    <row r="114" spans="1:5" x14ac:dyDescent="0.35">
      <c r="A114" s="74">
        <v>9</v>
      </c>
      <c r="C114" t="s">
        <v>37</v>
      </c>
      <c r="E114">
        <f>ROUND(1/E108,6)</f>
        <v>1.044716</v>
      </c>
    </row>
    <row r="116" spans="1:5" x14ac:dyDescent="0.35">
      <c r="A116" s="65" t="s">
        <v>196</v>
      </c>
    </row>
  </sheetData>
  <customSheetViews>
    <customSheetView guid="{6A207E9B-31ED-4215-AD4F-ABB2957B65E4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1"/>
    </customSheetView>
    <customSheetView guid="{5C6B1FA1-B621-4699-B8F7-5011E8FF1BCD}" showPageBreaks="1" printArea="1" hiddenRows="1" topLeftCell="A89">
      <colBreaks count="1" manualBreakCount="1">
        <brk id="6" max="114" man="1"/>
      </colBreaks>
      <pageMargins left="0.7" right="0.7" top="0.75" bottom="0.75" header="0.3" footer="0.3"/>
      <pageSetup orientation="portrait" r:id="rId2"/>
    </customSheetView>
  </customSheetViews>
  <mergeCells count="9">
    <mergeCell ref="A61:E61"/>
    <mergeCell ref="A62:E62"/>
    <mergeCell ref="A63:E63"/>
    <mergeCell ref="A32:E32"/>
    <mergeCell ref="A2:E2"/>
    <mergeCell ref="A3:E3"/>
    <mergeCell ref="A4:E4"/>
    <mergeCell ref="A31:E31"/>
    <mergeCell ref="A33:E33"/>
  </mergeCells>
  <printOptions horizontalCentered="1"/>
  <pageMargins left="0.7" right="0.7" top="0.55000000000000004" bottom="0.48" header="0.3" footer="0.3"/>
  <pageSetup scale="88" firstPageNumber="8" orientation="portrait" useFirstPageNumber="1" r:id="rId3"/>
  <headerFooter scaleWithDoc="0">
    <oddFooter>&amp;CATTACHMENT A&amp;RPage &amp;P of 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38"/>
  <sheetViews>
    <sheetView tabSelected="1" zoomScaleNormal="100" workbookViewId="0">
      <selection activeCell="I34" sqref="I34"/>
    </sheetView>
  </sheetViews>
  <sheetFormatPr defaultRowHeight="14.5" x14ac:dyDescent="0.35"/>
  <cols>
    <col min="1" max="1" width="2.1796875" customWidth="1"/>
    <col min="2" max="2" width="23.26953125" customWidth="1"/>
    <col min="3" max="3" width="8.453125" customWidth="1"/>
    <col min="4" max="4" width="13.7265625" customWidth="1"/>
    <col min="5" max="5" width="10.7265625" customWidth="1"/>
    <col min="6" max="6" width="13.1796875" customWidth="1"/>
    <col min="7" max="7" width="13.26953125" customWidth="1"/>
    <col min="8" max="8" width="12.26953125" customWidth="1"/>
    <col min="9" max="9" width="11.453125" customWidth="1"/>
    <col min="10" max="10" width="12.26953125" customWidth="1"/>
    <col min="11" max="11" width="1.7265625" customWidth="1"/>
    <col min="12" max="12" width="13.26953125" customWidth="1"/>
    <col min="13" max="13" width="7.7265625" customWidth="1"/>
  </cols>
  <sheetData>
    <row r="1" spans="2:13" x14ac:dyDescent="0.35">
      <c r="B1" s="43" t="s">
        <v>0</v>
      </c>
    </row>
    <row r="2" spans="2:13" x14ac:dyDescent="0.35">
      <c r="B2" s="43" t="s">
        <v>119</v>
      </c>
    </row>
    <row r="3" spans="2:13" x14ac:dyDescent="0.35">
      <c r="B3" s="43" t="s">
        <v>185</v>
      </c>
    </row>
    <row r="4" spans="2:13" x14ac:dyDescent="0.35">
      <c r="B4" s="43" t="s">
        <v>166</v>
      </c>
    </row>
    <row r="6" spans="2:13" x14ac:dyDescent="0.35">
      <c r="D6" s="99" t="s">
        <v>120</v>
      </c>
      <c r="E6" s="99" t="s">
        <v>121</v>
      </c>
      <c r="F6" s="99" t="s">
        <v>122</v>
      </c>
      <c r="G6" s="99" t="s">
        <v>123</v>
      </c>
      <c r="H6" s="99" t="s">
        <v>124</v>
      </c>
      <c r="I6" s="99" t="s">
        <v>124</v>
      </c>
      <c r="J6" s="99" t="s">
        <v>125</v>
      </c>
      <c r="L6" s="99" t="s">
        <v>122</v>
      </c>
    </row>
    <row r="7" spans="2:13" x14ac:dyDescent="0.35">
      <c r="B7" s="100" t="s">
        <v>126</v>
      </c>
      <c r="C7" s="100" t="s">
        <v>127</v>
      </c>
      <c r="D7" s="99" t="s">
        <v>128</v>
      </c>
      <c r="E7" s="99" t="s">
        <v>120</v>
      </c>
      <c r="F7" s="99" t="s">
        <v>120</v>
      </c>
      <c r="G7" s="99" t="s">
        <v>120</v>
      </c>
      <c r="H7" s="99" t="s">
        <v>120</v>
      </c>
      <c r="I7" s="99" t="s">
        <v>120</v>
      </c>
      <c r="J7" s="99" t="s">
        <v>129</v>
      </c>
      <c r="L7" s="99" t="s">
        <v>130</v>
      </c>
    </row>
    <row r="8" spans="2:13" x14ac:dyDescent="0.35">
      <c r="B8" s="101" t="s">
        <v>131</v>
      </c>
      <c r="C8" s="101" t="s">
        <v>132</v>
      </c>
      <c r="D8" s="102" t="s">
        <v>133</v>
      </c>
      <c r="E8" s="102" t="s">
        <v>129</v>
      </c>
      <c r="F8" s="102" t="s">
        <v>134</v>
      </c>
      <c r="G8" s="102" t="s">
        <v>164</v>
      </c>
      <c r="H8" s="102" t="s">
        <v>134</v>
      </c>
      <c r="I8" s="102" t="s">
        <v>129</v>
      </c>
      <c r="J8" s="103" t="s">
        <v>135</v>
      </c>
      <c r="L8" s="104" t="s">
        <v>134</v>
      </c>
    </row>
    <row r="9" spans="2:13" x14ac:dyDescent="0.35">
      <c r="B9" s="100" t="s">
        <v>136</v>
      </c>
      <c r="C9" s="100" t="s">
        <v>137</v>
      </c>
      <c r="D9" s="100" t="s">
        <v>138</v>
      </c>
      <c r="E9" s="100" t="s">
        <v>139</v>
      </c>
      <c r="F9" s="100" t="s">
        <v>140</v>
      </c>
      <c r="G9" s="100" t="s">
        <v>141</v>
      </c>
      <c r="H9" s="100" t="s">
        <v>142</v>
      </c>
      <c r="I9" s="100" t="s">
        <v>143</v>
      </c>
      <c r="J9" s="104" t="s">
        <v>144</v>
      </c>
    </row>
    <row r="10" spans="2:13" x14ac:dyDescent="0.35">
      <c r="B10" s="105"/>
      <c r="C10" s="100"/>
    </row>
    <row r="11" spans="2:13" x14ac:dyDescent="0.35">
      <c r="B11" s="126" t="s">
        <v>110</v>
      </c>
      <c r="C11" s="127" t="s">
        <v>145</v>
      </c>
      <c r="D11" s="122">
        <f>SUM('4 13 22 Forecast Usage by Sched'!C8:C19)</f>
        <v>2479103468.6205006</v>
      </c>
      <c r="E11" s="149">
        <f>'Earnings Test and 3% Test'!D45</f>
        <v>-4.4999999999999999E-4</v>
      </c>
      <c r="F11" s="128">
        <f>D11*E11</f>
        <v>-1115596.5608792251</v>
      </c>
      <c r="G11" s="129">
        <f>H11-F11</f>
        <v>-4685505.5556927463</v>
      </c>
      <c r="H11" s="123">
        <f>D11*I11</f>
        <v>-5801102.1165719712</v>
      </c>
      <c r="I11" s="109">
        <f>'Electric 2022 Rate Calc'!D30</f>
        <v>-2.3400000000000001E-3</v>
      </c>
      <c r="J11" s="130">
        <f>ROUND(I11-E11,5)</f>
        <v>-1.89E-3</v>
      </c>
      <c r="K11" s="43"/>
      <c r="L11" s="154">
        <v>236287828</v>
      </c>
      <c r="M11" s="125">
        <f>G11/L11</f>
        <v>-1.9829652654358251E-2</v>
      </c>
    </row>
    <row r="12" spans="2:13" x14ac:dyDescent="0.35">
      <c r="B12" s="105"/>
      <c r="C12" s="100"/>
      <c r="E12" s="65"/>
      <c r="F12" s="44"/>
      <c r="G12" s="44"/>
      <c r="H12" s="37"/>
      <c r="I12" s="109"/>
      <c r="J12" s="110"/>
      <c r="L12" s="64"/>
      <c r="M12" s="35"/>
    </row>
    <row r="13" spans="2:13" x14ac:dyDescent="0.35">
      <c r="B13" s="105" t="s">
        <v>146</v>
      </c>
      <c r="C13" s="111" t="s">
        <v>171</v>
      </c>
      <c r="D13" s="107">
        <f>SUM('4 13 22 Forecast Usage by Sched'!D8:E19)</f>
        <v>651427964.0888536</v>
      </c>
      <c r="E13" s="149">
        <f>'Earnings Test and 3% Test'!E45</f>
        <v>6.79E-3</v>
      </c>
      <c r="F13" s="44">
        <f t="shared" ref="F13:F17" si="0">D13*E13</f>
        <v>4423195.876163316</v>
      </c>
      <c r="G13" s="44">
        <f>H13-F13</f>
        <v>-3563310.9635660294</v>
      </c>
      <c r="H13" s="37">
        <f>D13*I13</f>
        <v>859884.91259728675</v>
      </c>
      <c r="I13" s="109">
        <f>'Electric 2022 Rate Calc'!J30</f>
        <v>1.32E-3</v>
      </c>
      <c r="J13" s="110">
        <f t="shared" ref="J13:J17" si="1">I13-E13</f>
        <v>-5.47E-3</v>
      </c>
      <c r="L13" s="146">
        <v>88231993</v>
      </c>
      <c r="M13" s="35">
        <f t="shared" ref="M13:M25" si="2">G13/L13</f>
        <v>-4.0385701857216683E-2</v>
      </c>
    </row>
    <row r="14" spans="2:13" x14ac:dyDescent="0.35">
      <c r="B14" s="105"/>
      <c r="C14" s="100"/>
      <c r="E14" s="150"/>
      <c r="F14" s="44"/>
      <c r="G14" s="44"/>
      <c r="H14" s="37"/>
      <c r="I14" s="109"/>
      <c r="J14" s="110"/>
      <c r="L14" s="64"/>
      <c r="M14" s="35"/>
    </row>
    <row r="15" spans="2:13" x14ac:dyDescent="0.35">
      <c r="B15" s="105" t="s">
        <v>147</v>
      </c>
      <c r="C15" s="106" t="s">
        <v>172</v>
      </c>
      <c r="D15" s="107">
        <f>SUM('4 13 22 Forecast Usage by Sched'!F8:G19)</f>
        <v>1285578326.3550882</v>
      </c>
      <c r="E15" s="149">
        <f>'Earnings Test and 3% Test'!E45</f>
        <v>6.79E-3</v>
      </c>
      <c r="F15" s="44">
        <f t="shared" si="0"/>
        <v>8729076.8359510489</v>
      </c>
      <c r="G15" s="44">
        <f>H15-F15</f>
        <v>-7032113.4451623326</v>
      </c>
      <c r="H15" s="37">
        <f>D15*I15</f>
        <v>1696963.3907887165</v>
      </c>
      <c r="I15" s="109">
        <f>I13</f>
        <v>1.32E-3</v>
      </c>
      <c r="J15" s="110">
        <f t="shared" si="1"/>
        <v>-5.47E-3</v>
      </c>
      <c r="L15" s="146">
        <v>141297781</v>
      </c>
      <c r="M15" s="35">
        <f t="shared" si="2"/>
        <v>-4.976803878584854E-2</v>
      </c>
    </row>
    <row r="16" spans="2:13" x14ac:dyDescent="0.35">
      <c r="B16" s="105"/>
      <c r="C16" s="100"/>
      <c r="E16" s="150"/>
      <c r="F16" s="44"/>
      <c r="G16" s="44"/>
      <c r="H16" s="37"/>
      <c r="I16" s="109"/>
      <c r="J16" s="110"/>
      <c r="L16" s="64"/>
      <c r="M16" s="35"/>
    </row>
    <row r="17" spans="2:13" x14ac:dyDescent="0.35">
      <c r="B17" s="105" t="s">
        <v>148</v>
      </c>
      <c r="C17" s="106" t="s">
        <v>149</v>
      </c>
      <c r="D17" s="107">
        <f>SUM('4 13 22 Forecast Usage by Sched'!I8:J19)</f>
        <v>144602927.20324597</v>
      </c>
      <c r="E17" s="149">
        <f>'Earnings Test and 3% Test'!E45</f>
        <v>6.79E-3</v>
      </c>
      <c r="F17" s="44">
        <f t="shared" si="0"/>
        <v>981853.8757100401</v>
      </c>
      <c r="G17" s="44">
        <f>H17-F17</f>
        <v>-790978.01180175541</v>
      </c>
      <c r="H17" s="37">
        <f>D17*I17</f>
        <v>190875.86390828466</v>
      </c>
      <c r="I17" s="109">
        <f>I15</f>
        <v>1.32E-3</v>
      </c>
      <c r="J17" s="110">
        <f t="shared" si="1"/>
        <v>-5.47E-3</v>
      </c>
      <c r="L17" s="146">
        <v>15636095</v>
      </c>
      <c r="M17" s="35">
        <f t="shared" si="2"/>
        <v>-5.0586672171137062E-2</v>
      </c>
    </row>
    <row r="18" spans="2:13" x14ac:dyDescent="0.35">
      <c r="B18" s="105"/>
      <c r="C18" s="106"/>
      <c r="D18" s="107"/>
      <c r="E18" s="108"/>
      <c r="F18" s="44"/>
      <c r="G18" s="44"/>
      <c r="H18" s="37"/>
      <c r="I18" s="109"/>
      <c r="J18" s="110"/>
      <c r="L18" s="64"/>
      <c r="M18" s="35"/>
    </row>
    <row r="19" spans="2:13" x14ac:dyDescent="0.35">
      <c r="B19" s="105" t="s">
        <v>150</v>
      </c>
      <c r="C19" s="106">
        <v>25</v>
      </c>
      <c r="D19" s="112" t="s">
        <v>151</v>
      </c>
      <c r="E19" s="108"/>
      <c r="F19" s="44"/>
      <c r="G19" s="44"/>
      <c r="H19" s="37"/>
      <c r="I19" s="109"/>
      <c r="J19" s="110"/>
      <c r="L19" s="146">
        <v>68452663</v>
      </c>
      <c r="M19" s="35">
        <v>0</v>
      </c>
    </row>
    <row r="20" spans="2:13" x14ac:dyDescent="0.35">
      <c r="B20" s="105"/>
      <c r="C20" s="106"/>
      <c r="D20" s="112"/>
      <c r="E20" s="108"/>
      <c r="F20" s="44"/>
      <c r="G20" s="115"/>
      <c r="H20" s="37"/>
      <c r="I20" s="109"/>
      <c r="J20" s="110"/>
      <c r="L20" s="64"/>
      <c r="M20" s="35"/>
    </row>
    <row r="21" spans="2:13" x14ac:dyDescent="0.35">
      <c r="B21" s="105" t="s">
        <v>152</v>
      </c>
      <c r="C21" s="106" t="s">
        <v>153</v>
      </c>
      <c r="D21" s="112" t="s">
        <v>151</v>
      </c>
      <c r="E21" s="108"/>
      <c r="F21" s="44"/>
      <c r="G21" s="44"/>
      <c r="H21" s="37"/>
      <c r="I21" s="109"/>
      <c r="J21" s="110"/>
      <c r="L21" s="146">
        <v>6626667.9699999988</v>
      </c>
      <c r="M21" s="35">
        <v>0</v>
      </c>
    </row>
    <row r="22" spans="2:13" x14ac:dyDescent="0.35">
      <c r="B22" s="105"/>
      <c r="C22" s="100"/>
      <c r="L22" s="44"/>
      <c r="M22" s="35"/>
    </row>
    <row r="23" spans="2:13" x14ac:dyDescent="0.35">
      <c r="B23" s="113" t="s">
        <v>56</v>
      </c>
      <c r="C23" s="100"/>
      <c r="D23" s="107">
        <f>SUM(D11:D17)</f>
        <v>4560712686.2676888</v>
      </c>
      <c r="F23" s="37">
        <f>SUM(F11:F17)</f>
        <v>13018530.026945181</v>
      </c>
      <c r="G23" s="37">
        <f>SUM(G11:G17)</f>
        <v>-16071907.976222863</v>
      </c>
      <c r="H23" s="37">
        <f>SUM(H11:H17)</f>
        <v>-3053377.9492776836</v>
      </c>
      <c r="L23" s="145">
        <f>SUM(L11:L21)</f>
        <v>556533027.97000003</v>
      </c>
      <c r="M23" s="35">
        <f t="shared" si="2"/>
        <v>-2.8878623852471919E-2</v>
      </c>
    </row>
    <row r="25" spans="2:13" x14ac:dyDescent="0.35">
      <c r="B25" s="43" t="s">
        <v>154</v>
      </c>
      <c r="D25" s="122">
        <f>SUM(D13:D17)</f>
        <v>2081609217.6471877</v>
      </c>
      <c r="E25" s="43"/>
      <c r="F25" s="123">
        <f>SUM(F13:F17)</f>
        <v>14134126.587824404</v>
      </c>
      <c r="G25" s="124">
        <f t="shared" ref="G25" si="3">SUM(G13:G17)</f>
        <v>-11386402.420530116</v>
      </c>
      <c r="H25" s="123">
        <f>SUM(H13:H17)</f>
        <v>2747724.1672942881</v>
      </c>
      <c r="I25" s="43"/>
      <c r="J25" s="43"/>
      <c r="K25" s="43"/>
      <c r="L25" s="155">
        <f>SUM(L13:L17)</f>
        <v>245165869</v>
      </c>
      <c r="M25" s="125">
        <f t="shared" si="2"/>
        <v>-4.6443668798490531E-2</v>
      </c>
    </row>
    <row r="27" spans="2:13" x14ac:dyDescent="0.35">
      <c r="G27" s="35"/>
      <c r="H27" s="99" t="s">
        <v>155</v>
      </c>
      <c r="J27" s="183">
        <v>932</v>
      </c>
      <c r="K27" s="114"/>
      <c r="L27" t="s">
        <v>197</v>
      </c>
    </row>
    <row r="28" spans="2:13" x14ac:dyDescent="0.35">
      <c r="G28" s="115"/>
      <c r="H28" s="116" t="s">
        <v>156</v>
      </c>
      <c r="I28" s="153">
        <v>9</v>
      </c>
      <c r="J28" s="117">
        <f>I28</f>
        <v>9</v>
      </c>
      <c r="K28" s="114"/>
      <c r="L28" s="94"/>
    </row>
    <row r="29" spans="2:13" x14ac:dyDescent="0.35">
      <c r="G29" s="35"/>
      <c r="H29" s="116" t="s">
        <v>157</v>
      </c>
      <c r="I29" s="147">
        <v>8.022E-2</v>
      </c>
      <c r="J29" s="117">
        <f>ROUND(800*I29,2)</f>
        <v>64.180000000000007</v>
      </c>
    </row>
    <row r="30" spans="2:13" x14ac:dyDescent="0.35">
      <c r="H30" s="116" t="s">
        <v>158</v>
      </c>
      <c r="I30" s="147">
        <v>9.3460000000000001E-2</v>
      </c>
      <c r="J30" s="132">
        <f>ROUND(132*I30,2)</f>
        <v>12.34</v>
      </c>
    </row>
    <row r="31" spans="2:13" x14ac:dyDescent="0.35">
      <c r="H31" s="116" t="s">
        <v>159</v>
      </c>
      <c r="I31" s="147">
        <v>0.10972</v>
      </c>
      <c r="J31" s="117">
        <f>ROUND(0*I31,2)</f>
        <v>0</v>
      </c>
    </row>
    <row r="32" spans="2:13" x14ac:dyDescent="0.35">
      <c r="H32" s="99" t="s">
        <v>180</v>
      </c>
      <c r="J32" s="118">
        <f>SUM(J28:J31)</f>
        <v>85.52000000000001</v>
      </c>
    </row>
    <row r="33" spans="8:12" x14ac:dyDescent="0.35">
      <c r="H33" s="116" t="s">
        <v>160</v>
      </c>
      <c r="I33" s="110">
        <f>J11</f>
        <v>-1.89E-3</v>
      </c>
      <c r="J33" s="132">
        <f>ROUND(I33*J27,2)</f>
        <v>-1.76</v>
      </c>
    </row>
    <row r="34" spans="8:12" x14ac:dyDescent="0.35">
      <c r="H34" s="99" t="s">
        <v>161</v>
      </c>
      <c r="J34" s="118">
        <f>J32+J33</f>
        <v>83.76</v>
      </c>
      <c r="L34" s="114"/>
    </row>
    <row r="35" spans="8:12" x14ac:dyDescent="0.35">
      <c r="H35" s="99" t="s">
        <v>162</v>
      </c>
      <c r="J35" s="35">
        <f>J33/J32</f>
        <v>-2.0579981290926096E-2</v>
      </c>
    </row>
    <row r="36" spans="8:12" x14ac:dyDescent="0.35">
      <c r="J36" s="119"/>
    </row>
    <row r="37" spans="8:12" x14ac:dyDescent="0.35">
      <c r="J37" s="119"/>
    </row>
    <row r="38" spans="8:12" x14ac:dyDescent="0.35">
      <c r="J38" s="94"/>
      <c r="L38" s="35"/>
    </row>
  </sheetData>
  <printOptions horizontalCentered="1"/>
  <pageMargins left="0.7" right="0.7" top="0.55000000000000004" bottom="0.48" header="0.3" footer="0.3"/>
  <pageSetup scale="85" firstPageNumber="9" orientation="landscape" useFirstPageNumber="1" r:id="rId1"/>
  <headerFooter scaleWithDoc="0">
    <oddFooter>&amp;CATTACHMENT A&amp;RPage &amp;P of 9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356504AB494B4AB6832ED677B739CB" ma:contentTypeVersion="28" ma:contentTypeDescription="" ma:contentTypeScope="" ma:versionID="43faf8a4d2971cfbb02977b0798031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2022-05-27T07:00:00+00:00</OpenedDate>
    <SignificantOrder xmlns="dc463f71-b30c-4ab2-9473-d307f9d35888">false</SignificantOrder>
    <Date1 xmlns="dc463f71-b30c-4ab2-9473-d307f9d35888">2022-08-16T07:00:00+00:00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6C2C69-3CA0-4817-ACE5-0D2118002222}"/>
</file>

<file path=customXml/itemProps2.xml><?xml version="1.0" encoding="utf-8"?>
<ds:datastoreItem xmlns:ds="http://schemas.openxmlformats.org/officeDocument/2006/customXml" ds:itemID="{F3ECE77B-9EFD-4816-9CF6-6C2487FF5465}"/>
</file>

<file path=customXml/itemProps3.xml><?xml version="1.0" encoding="utf-8"?>
<ds:datastoreItem xmlns:ds="http://schemas.openxmlformats.org/officeDocument/2006/customXml" ds:itemID="{62DB3923-3684-4488-AF49-B39B7B2D724F}"/>
</file>

<file path=customXml/itemProps4.xml><?xml version="1.0" encoding="utf-8"?>
<ds:datastoreItem xmlns:ds="http://schemas.openxmlformats.org/officeDocument/2006/customXml" ds:itemID="{5A9DA65B-924A-4F70-912B-FD74533A86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4 13 22 Forecast Usage by Sched</vt:lpstr>
      <vt:lpstr>Electric 2022 Rate Calc</vt:lpstr>
      <vt:lpstr>Prior Year Amortization</vt:lpstr>
      <vt:lpstr>Earnings Test and 3% Test</vt:lpstr>
      <vt:lpstr>Conversion Factor</vt:lpstr>
      <vt:lpstr>Bill Impact</vt:lpstr>
      <vt:lpstr>'Conversion Factor'!Print_Area</vt:lpstr>
      <vt:lpstr>'Earnings Test and 3% Test'!Print_Area</vt:lpstr>
      <vt:lpstr>'Electric 2022 Rate Calc'!Print_Area</vt:lpstr>
      <vt:lpstr>'Prior Year Amortization'!Print_Area</vt:lpstr>
      <vt:lpstr>'Earnings Test and 3% Test'!Print_Titles</vt:lpstr>
      <vt:lpstr>'Electric 2022 Rate Calc'!Print_Titles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2022-08-15T22:50:51Z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0x0101006E56B4D1795A2E4DB2F0B01679ED314A00B1356504AB494B4AB6832ED677B739CB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