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20001_{C322045A-CC4C-4384-81D2-918E18D94933}" xr6:coauthVersionLast="45" xr6:coauthVersionMax="45" xr10:uidLastSave="{00000000-0000-0000-0000-000000000000}"/>
  <bookViews>
    <workbookView xWindow="29580" yWindow="780" windowWidth="21600" windowHeight="11385" firstSheet="2" activeTab="5" xr2:uid="{00000000-000D-0000-FFFF-FFFF00000000}"/>
  </bookViews>
  <sheets>
    <sheet name="5 12 21 Forecast Usage by Sched" sheetId="13" r:id="rId1"/>
    <sheet name="Electric 2021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2021 Rate Calc'!$A$1:$L$80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2021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2021 Rate Calc'!$B$1:$K$68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2021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2021 Rate Calc'!$B$1:$K$68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2021 Rate Calc'!$1:$3</definedName>
    <definedName name="Z_6A207E9B_31ED_4215_AD4F_ABB2957B65E4_.wvu.Rows" localSheetId="4" hidden="1">'Conversion Factor'!$1:$88</definedName>
  </definedNames>
  <calcPr calcId="191029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6" l="1"/>
  <c r="D33" i="14" l="1"/>
  <c r="C18" i="14"/>
  <c r="E39" i="6" l="1"/>
  <c r="J30" i="15" l="1"/>
  <c r="N5" i="13"/>
  <c r="M5" i="13"/>
  <c r="E114" i="2" l="1"/>
  <c r="D27" i="14" l="1"/>
  <c r="C26" i="14" l="1"/>
  <c r="C9" i="14"/>
  <c r="E106" i="2" l="1"/>
  <c r="D17" i="15" l="1"/>
  <c r="D15" i="15"/>
  <c r="D13" i="15"/>
  <c r="D11" i="15"/>
  <c r="F57" i="4" l="1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B26" i="14" l="1"/>
  <c r="G28" i="14"/>
  <c r="G31" i="14"/>
  <c r="G26" i="14"/>
  <c r="B10" i="14" l="1"/>
  <c r="B27" i="14" s="1"/>
  <c r="L52" i="4"/>
  <c r="L55" i="4"/>
  <c r="L49" i="4"/>
  <c r="F50" i="4"/>
  <c r="L50" i="4" s="1"/>
  <c r="B50" i="4"/>
  <c r="B51" i="4" s="1"/>
  <c r="B52" i="4" s="1"/>
  <c r="B53" i="4" s="1"/>
  <c r="B54" i="4" s="1"/>
  <c r="B55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F51" i="4"/>
  <c r="B11" i="14"/>
  <c r="J31" i="15"/>
  <c r="J29" i="15"/>
  <c r="J32" i="15" s="1"/>
  <c r="J28" i="15"/>
  <c r="L25" i="15"/>
  <c r="D25" i="15"/>
  <c r="L23" i="15"/>
  <c r="D23" i="15"/>
  <c r="F17" i="15"/>
  <c r="F15" i="15"/>
  <c r="F13" i="15"/>
  <c r="F11" i="15"/>
  <c r="F53" i="4" l="1"/>
  <c r="L51" i="4"/>
  <c r="B12" i="14"/>
  <c r="B28" i="14"/>
  <c r="F23" i="15"/>
  <c r="F25" i="15"/>
  <c r="F54" i="4" l="1"/>
  <c r="L53" i="4"/>
  <c r="B13" i="14"/>
  <c r="B29" i="14"/>
  <c r="L54" i="4" l="1"/>
  <c r="B14" i="14"/>
  <c r="B30" i="14"/>
  <c r="D26" i="14"/>
  <c r="F26" i="14" s="1"/>
  <c r="C27" i="14" s="1"/>
  <c r="D9" i="14"/>
  <c r="B15" i="14" l="1"/>
  <c r="B31" i="14"/>
  <c r="B16" i="14" l="1"/>
  <c r="B32" i="14"/>
  <c r="F9" i="14"/>
  <c r="C10" i="14" s="1"/>
  <c r="B17" i="14" l="1"/>
  <c r="B18" i="14" s="1"/>
  <c r="B33" i="14"/>
  <c r="B35" i="14" l="1"/>
  <c r="B19" i="14"/>
  <c r="F58" i="4"/>
  <c r="L57" i="4"/>
  <c r="B34" i="14"/>
  <c r="B36" i="14" l="1"/>
  <c r="B20" i="14"/>
  <c r="B37" i="14" s="1"/>
  <c r="F59" i="4"/>
  <c r="L58" i="4"/>
  <c r="F60" i="4" l="1"/>
  <c r="L59" i="4"/>
  <c r="G15" i="14"/>
  <c r="G12" i="14"/>
  <c r="G10" i="14"/>
  <c r="F61" i="4" l="1"/>
  <c r="L60" i="4"/>
  <c r="G13" i="14"/>
  <c r="G30" i="14" s="1"/>
  <c r="G29" i="14"/>
  <c r="D10" i="14"/>
  <c r="F10" i="14" s="1"/>
  <c r="C11" i="14" s="1"/>
  <c r="D11" i="14" s="1"/>
  <c r="F11" i="14" s="1"/>
  <c r="C12" i="14" s="1"/>
  <c r="G27" i="14"/>
  <c r="G16" i="14"/>
  <c r="G32" i="14"/>
  <c r="H56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H64" i="4"/>
  <c r="H65" i="4"/>
  <c r="H66" i="4"/>
  <c r="H67" i="4"/>
  <c r="H68" i="4"/>
  <c r="H49" i="4"/>
  <c r="H46" i="4"/>
  <c r="H43" i="4"/>
  <c r="D39" i="6"/>
  <c r="F27" i="14" l="1"/>
  <c r="C28" i="14" s="1"/>
  <c r="D28" i="14" s="1"/>
  <c r="F28" i="14" s="1"/>
  <c r="C29" i="14" s="1"/>
  <c r="D29" i="14" s="1"/>
  <c r="F29" i="14" s="1"/>
  <c r="C30" i="14" s="1"/>
  <c r="D30" i="14" s="1"/>
  <c r="F30" i="14" s="1"/>
  <c r="C31" i="14" s="1"/>
  <c r="D31" i="14" s="1"/>
  <c r="F31" i="14" s="1"/>
  <c r="C32" i="14" s="1"/>
  <c r="G33" i="14"/>
  <c r="G17" i="14"/>
  <c r="F62" i="4"/>
  <c r="L61" i="4"/>
  <c r="D12" i="14"/>
  <c r="F12" i="14" s="1"/>
  <c r="C13" i="14" s="1"/>
  <c r="G34" i="14" l="1"/>
  <c r="G18" i="14"/>
  <c r="F63" i="4"/>
  <c r="L62" i="4"/>
  <c r="D13" i="14"/>
  <c r="F13" i="14" s="1"/>
  <c r="C14" i="14" s="1"/>
  <c r="D14" i="14" s="1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G35" i="14" l="1"/>
  <c r="G19" i="14"/>
  <c r="F64" i="4"/>
  <c r="L63" i="4"/>
  <c r="F14" i="14"/>
  <c r="C15" i="14" s="1"/>
  <c r="D15" i="14" s="1"/>
  <c r="G41" i="6"/>
  <c r="G28" i="6"/>
  <c r="G36" i="14" l="1"/>
  <c r="G20" i="14"/>
  <c r="G37" i="14" s="1"/>
  <c r="F65" i="4"/>
  <c r="L64" i="4"/>
  <c r="F15" i="14"/>
  <c r="D30" i="2"/>
  <c r="F66" i="4" l="1"/>
  <c r="L65" i="4"/>
  <c r="C16" i="14"/>
  <c r="I73" i="4"/>
  <c r="C73" i="4"/>
  <c r="F67" i="4" l="1"/>
  <c r="L66" i="4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8" i="13"/>
  <c r="M8" i="13"/>
  <c r="N7" i="13"/>
  <c r="M7" i="13"/>
  <c r="N6" i="13"/>
  <c r="M6" i="13"/>
  <c r="D32" i="14"/>
  <c r="F32" i="14" s="1"/>
  <c r="C33" i="14" s="1"/>
  <c r="H19" i="14" l="1"/>
  <c r="E19" i="14" s="1"/>
  <c r="K14" i="4"/>
  <c r="D16" i="14"/>
  <c r="F16" i="14" s="1"/>
  <c r="C17" i="14" s="1"/>
  <c r="H20" i="14"/>
  <c r="E20" i="14" s="1"/>
  <c r="E15" i="4"/>
  <c r="E19" i="4"/>
  <c r="K19" i="4"/>
  <c r="E18" i="4"/>
  <c r="E12" i="4"/>
  <c r="E16" i="4"/>
  <c r="E20" i="4"/>
  <c r="K18" i="4"/>
  <c r="H37" i="14"/>
  <c r="E37" i="14" s="1"/>
  <c r="K16" i="4"/>
  <c r="K20" i="4"/>
  <c r="H36" i="14"/>
  <c r="E36" i="14" s="1"/>
  <c r="K15" i="4"/>
  <c r="K12" i="4"/>
  <c r="H18" i="14"/>
  <c r="E18" i="14" s="1"/>
  <c r="E13" i="4"/>
  <c r="E17" i="4"/>
  <c r="E14" i="4"/>
  <c r="H35" i="14"/>
  <c r="E35" i="14" s="1"/>
  <c r="K13" i="4"/>
  <c r="K17" i="4"/>
  <c r="K10" i="4"/>
  <c r="E11" i="4"/>
  <c r="K11" i="4"/>
  <c r="K9" i="4"/>
  <c r="E10" i="4"/>
  <c r="E9" i="4"/>
  <c r="F33" i="14"/>
  <c r="C34" i="14" s="1"/>
  <c r="D17" i="14"/>
  <c r="F17" i="14" s="1"/>
  <c r="F68" i="4"/>
  <c r="L68" i="4" s="1"/>
  <c r="L67" i="4"/>
  <c r="D30" i="6"/>
  <c r="D34" i="14" l="1"/>
  <c r="F34" i="14" s="1"/>
  <c r="C35" i="14" s="1"/>
  <c r="D18" i="14"/>
  <c r="F18" i="14" s="1"/>
  <c r="C19" i="14" s="1"/>
  <c r="D19" i="14" s="1"/>
  <c r="F19" i="14" s="1"/>
  <c r="C20" i="14" s="1"/>
  <c r="D20" i="14" s="1"/>
  <c r="F20" i="14" s="1"/>
  <c r="C56" i="4" s="1"/>
  <c r="J7" i="4"/>
  <c r="D35" i="14" l="1"/>
  <c r="F35" i="14" s="1"/>
  <c r="C36" i="14" s="1"/>
  <c r="D36" i="14" s="1"/>
  <c r="F36" i="14" s="1"/>
  <c r="G30" i="6"/>
  <c r="C37" i="14" l="1"/>
  <c r="D37" i="14" s="1"/>
  <c r="F37" i="14" s="1"/>
  <c r="I56" i="4" s="1"/>
  <c r="I75" i="4" s="1"/>
  <c r="H28" i="6"/>
  <c r="G35" i="6" s="1"/>
  <c r="H26" i="6"/>
  <c r="E26" i="6"/>
  <c r="H30" i="6" l="1"/>
  <c r="G34" i="6"/>
  <c r="E28" i="6"/>
  <c r="E30" i="6" s="1"/>
  <c r="G36" i="6" l="1"/>
  <c r="D13" i="6" l="1"/>
  <c r="C75" i="4" l="1"/>
  <c r="D15" i="6"/>
  <c r="D17" i="6" s="1"/>
  <c r="G13" i="6"/>
  <c r="G15" i="6" s="1"/>
  <c r="G17" i="6" l="1"/>
  <c r="G19" i="6" s="1"/>
  <c r="H42" i="4" l="1"/>
  <c r="B42" i="4"/>
  <c r="E22" i="4"/>
  <c r="D41" i="6" s="1"/>
  <c r="K22" i="4" l="1"/>
  <c r="E41" i="6" s="1"/>
  <c r="G49" i="6" l="1"/>
  <c r="G59" i="6" l="1"/>
  <c r="E108" i="2" l="1"/>
  <c r="D27" i="4" l="1"/>
  <c r="J27" i="4" s="1"/>
  <c r="E110" i="2"/>
  <c r="E112" i="2" s="1"/>
  <c r="D18" i="6" s="1"/>
  <c r="D19" i="6" s="1"/>
  <c r="D21" i="6" s="1"/>
  <c r="D34" i="6" l="1"/>
  <c r="E34" i="6" s="1"/>
  <c r="D35" i="6"/>
  <c r="E77" i="2"/>
  <c r="E79" i="2" s="1"/>
  <c r="E87" i="2" s="1"/>
  <c r="E35" i="6" l="1"/>
  <c r="I47" i="4" s="1"/>
  <c r="D36" i="6"/>
  <c r="E81" i="2"/>
  <c r="E83" i="2" s="1"/>
  <c r="I48" i="4" l="1"/>
  <c r="J49" i="4" s="1"/>
  <c r="I49" i="4" s="1"/>
  <c r="J50" i="4" s="1"/>
  <c r="I74" i="4"/>
  <c r="C47" i="4"/>
  <c r="E36" i="6"/>
  <c r="I50" i="4" l="1"/>
  <c r="J51" i="4" s="1"/>
  <c r="C48" i="4"/>
  <c r="D49" i="4" s="1"/>
  <c r="C74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I8" i="4" s="1"/>
  <c r="D54" i="4" l="1"/>
  <c r="C54" i="4" s="1"/>
  <c r="D55" i="4" l="1"/>
  <c r="C55" i="4" s="1"/>
  <c r="C8" i="4" s="1"/>
  <c r="E18" i="2"/>
  <c r="E20" i="2" s="1"/>
  <c r="E28" i="2" s="1"/>
  <c r="E22" i="2" l="1"/>
  <c r="E24" i="2" s="1"/>
  <c r="I7" i="4" l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/>
  <c r="H35" i="4" s="1"/>
  <c r="C7" i="4" l="1"/>
  <c r="D25" i="4" s="1"/>
  <c r="B35" i="4" s="1"/>
  <c r="J22" i="4"/>
  <c r="D9" i="4" l="1"/>
  <c r="C9" i="4" s="1"/>
  <c r="D10" i="4" s="1"/>
  <c r="C10" i="4" s="1"/>
  <c r="D11" i="4" s="1"/>
  <c r="C11" i="4" s="1"/>
  <c r="D12" i="4" s="1"/>
  <c r="C12" i="4" s="1"/>
  <c r="D13" i="4" s="1"/>
  <c r="C13" i="4" s="1"/>
  <c r="D14" i="4" s="1"/>
  <c r="C14" i="4" s="1"/>
  <c r="D15" i="4" s="1"/>
  <c r="C15" i="4" s="1"/>
  <c r="D16" i="4" s="1"/>
  <c r="C16" i="4" s="1"/>
  <c r="D17" i="4" s="1"/>
  <c r="C17" i="4" s="1"/>
  <c r="D18" i="4" s="1"/>
  <c r="C18" i="4" s="1"/>
  <c r="D19" i="4" s="1"/>
  <c r="C19" i="4" s="1"/>
  <c r="D20" i="4" s="1"/>
  <c r="C20" i="4" s="1"/>
  <c r="J24" i="4"/>
  <c r="J26" i="4" s="1"/>
  <c r="J28" i="4" s="1"/>
  <c r="E43" i="6" s="1"/>
  <c r="E47" i="6" s="1"/>
  <c r="E49" i="6" s="1"/>
  <c r="E51" i="6" s="1"/>
  <c r="E53" i="6" s="1"/>
  <c r="E55" i="6" l="1"/>
  <c r="J29" i="4" l="1"/>
  <c r="J30" i="4" s="1"/>
  <c r="E57" i="6"/>
  <c r="E59" i="6" l="1"/>
  <c r="E61" i="6" s="1"/>
  <c r="I79" i="4"/>
  <c r="I13" i="15"/>
  <c r="J31" i="4"/>
  <c r="K64" i="4" s="1"/>
  <c r="K30" i="4"/>
  <c r="I77" i="4" l="1"/>
  <c r="I15" i="15"/>
  <c r="H13" i="15"/>
  <c r="J13" i="15"/>
  <c r="K66" i="4"/>
  <c r="K67" i="4"/>
  <c r="K65" i="4"/>
  <c r="K62" i="4"/>
  <c r="K59" i="4"/>
  <c r="K60" i="4"/>
  <c r="K63" i="4"/>
  <c r="K68" i="4"/>
  <c r="K57" i="4"/>
  <c r="J57" i="4" s="1"/>
  <c r="I57" i="4" s="1"/>
  <c r="K58" i="4"/>
  <c r="K61" i="4"/>
  <c r="G13" i="15" l="1"/>
  <c r="I17" i="15"/>
  <c r="H17" i="15" s="1"/>
  <c r="H15" i="15"/>
  <c r="G15" i="15" s="1"/>
  <c r="M15" i="15" s="1"/>
  <c r="J15" i="15"/>
  <c r="J58" i="4"/>
  <c r="K70" i="4"/>
  <c r="J17" i="15" l="1"/>
  <c r="G17" i="15"/>
  <c r="M17" i="15" s="1"/>
  <c r="M13" i="15"/>
  <c r="I58" i="4"/>
  <c r="J59" i="4" s="1"/>
  <c r="H25" i="15" l="1"/>
  <c r="G25" i="15"/>
  <c r="M25" i="15" s="1"/>
  <c r="I59" i="4"/>
  <c r="J60" i="4" s="1"/>
  <c r="I60" i="4" l="1"/>
  <c r="J61" i="4" s="1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J70" i="4" s="1"/>
  <c r="I76" i="4" s="1"/>
  <c r="I78" i="4" s="1"/>
  <c r="I68" i="4" l="1"/>
  <c r="I80" i="4" s="1"/>
  <c r="J32" i="4" l="1"/>
  <c r="D22" i="4"/>
  <c r="D24" i="4" s="1"/>
  <c r="D26" i="4" s="1"/>
  <c r="D28" i="4" s="1"/>
  <c r="D43" i="6" s="1"/>
  <c r="D47" i="6" s="1"/>
  <c r="D49" i="6" s="1"/>
  <c r="D51" i="6" l="1"/>
  <c r="D53" i="6" l="1"/>
  <c r="D55" i="6" s="1"/>
  <c r="D57" i="6" l="1"/>
  <c r="D59" i="6" s="1"/>
  <c r="D61" i="6" s="1"/>
  <c r="D29" i="4"/>
  <c r="D30" i="4" s="1"/>
  <c r="E30" i="4" l="1"/>
  <c r="D31" i="4"/>
  <c r="C79" i="4"/>
  <c r="I11" i="15"/>
  <c r="J11" i="15" s="1"/>
  <c r="E61" i="4" l="1"/>
  <c r="E57" i="4"/>
  <c r="D57" i="4" s="1"/>
  <c r="C57" i="4" s="1"/>
  <c r="E66" i="4"/>
  <c r="E65" i="4"/>
  <c r="E62" i="4"/>
  <c r="E63" i="4"/>
  <c r="E58" i="4"/>
  <c r="E60" i="4"/>
  <c r="E59" i="4"/>
  <c r="E68" i="4"/>
  <c r="E64" i="4"/>
  <c r="E67" i="4"/>
  <c r="I33" i="15"/>
  <c r="J33" i="15" s="1"/>
  <c r="H11" i="15"/>
  <c r="E70" i="4" l="1"/>
  <c r="G11" i="15"/>
  <c r="H23" i="15"/>
  <c r="J35" i="15"/>
  <c r="J34" i="15"/>
  <c r="D58" i="4"/>
  <c r="M11" i="15" l="1"/>
  <c r="G23" i="15"/>
  <c r="M23" i="15" s="1"/>
  <c r="C58" i="4"/>
  <c r="D59" i="4" s="1"/>
  <c r="C59" i="4" l="1"/>
  <c r="D60" i="4" s="1"/>
  <c r="C60" i="4" l="1"/>
  <c r="D61" i="4" s="1"/>
  <c r="C61" i="4" l="1"/>
  <c r="D62" i="4" s="1"/>
  <c r="C62" i="4" l="1"/>
  <c r="D63" i="4" s="1"/>
  <c r="C63" i="4" l="1"/>
  <c r="D64" i="4" s="1"/>
  <c r="C64" i="4" l="1"/>
  <c r="D65" i="4" s="1"/>
  <c r="C65" i="4" l="1"/>
  <c r="D66" i="4" s="1"/>
  <c r="C66" i="4" l="1"/>
  <c r="D67" i="4" s="1"/>
  <c r="C67" i="4" l="1"/>
  <c r="D68" i="4" l="1"/>
  <c r="D70" i="4" s="1"/>
  <c r="C76" i="4" s="1"/>
  <c r="C68" i="4" l="1"/>
  <c r="C77" i="4" s="1"/>
  <c r="C78" i="4" s="1"/>
  <c r="C80" i="4" s="1"/>
  <c r="D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3996FAE9-F28D-4619-89FE-247D6736A767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11" authorId="0" shapeId="0" xr:uid="{E39C3103-6D37-4215-9CD5-1FD8E09073D0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2020 normalized billing determinants at present billing rates effective 4/1/2021</t>
        </r>
      </text>
    </comment>
  </commentList>
</comments>
</file>

<file path=xl/sharedStrings.xml><?xml version="1.0" encoding="utf-8"?>
<sst xmlns="http://schemas.openxmlformats.org/spreadsheetml/2006/main" count="326" uniqueCount="199">
  <si>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</si>
  <si>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</si>
  <si>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</si>
  <si>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</si>
  <si>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</si>
  <si>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</si>
  <si>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</si>
  <si>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</si>
  <si>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</si>
  <si>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</si>
  <si>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</si>
  <si>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</si>
  <si>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</si>
  <si>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</si>
  <si>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</si>
  <si>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</si>
  <si>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</si>
  <si>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</si>
  <si>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</si>
  <si>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</si>
  <si>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</si>
  <si>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</si>
  <si>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</si>
  <si>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</si>
  <si>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</si>
  <si>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</si>
  <si>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</si>
  <si>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</si>
  <si>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</si>
  <si>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</si>
  <si>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</si>
  <si>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</si>
  <si>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</si>
  <si>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</si>
  <si>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</si>
  <si>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</si>
  <si>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</si>
  <si>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</si>
  <si>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</si>
  <si>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</si>
  <si>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</si>
  <si>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</si>
  <si>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</si>
  <si>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</si>
  <si>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</si>
  <si>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</si>
  <si>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</si>
  <si>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</si>
  <si>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</si>
  <si>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</si>
  <si>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</si>
  <si>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</si>
  <si>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</si>
  <si>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</si>
  <si>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</si>
  <si>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</si>
  <si>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</si>
  <si>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</si>
  <si>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</si>
  <si>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</si>
  <si>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</si>
  <si>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</si>
  <si>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</si>
  <si>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</si>
  <si>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</si>
  <si>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</si>
  <si>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</si>
  <si>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</si>
  <si>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</si>
  <si>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</si>
  <si>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</si>
  <si>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</si>
  <si>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</si>
  <si>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</si>
  <si>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</si>
  <si>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</si>
  <si>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</si>
  <si>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</si>
  <si>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</si>
  <si>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</si>
  <si>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Calendar Load Tab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</si>
  <si>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</si>
  <si>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</si>
  <si>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</si>
  <si>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</si>
  <si>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</si>
  <si>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</si>
  <si>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</si>
  <si>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</si>
  <si>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</si>
  <si>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</si>
  <si>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</si>
  <si>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</si>
  <si>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</si>
  <si>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</si>
  <si>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</si>
  <si>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</si>
  <si>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</si>
  <si>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</si>
  <si>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</si>
  <si>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</si>
  <si>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</si>
  <si>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</si>
  <si>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</si>
  <si>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</si>
  <si>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</si>
  <si>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</si>
  <si>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</si>
  <si>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</si>
  <si>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Net of Revenue Related Expenses</t>
  </si>
  <si>
    <t>Gross Revenue Adjustment</t>
  </si>
  <si>
    <t>Residential</t>
  </si>
  <si>
    <t>Non-Residential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</si>
  <si>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</si>
  <si>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</si>
  <si>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</si>
  <si>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</si>
  <si>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</si>
  <si>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See pages 6 and 7 of Attachment A for earnings test and 3% test adjustment calculations.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</si>
  <si>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</si>
  <si>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</si>
  <si>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</si>
  <si>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</si>
  <si>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</si>
  <si>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</si>
  <si>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</si>
  <si>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</si>
  <si>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</si>
  <si>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</si>
  <si>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</si>
  <si>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</si>
  <si>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</si>
  <si>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</si>
  <si>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</si>
  <si>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</si>
  <si>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</si>
  <si>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</si>
  <si>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</si>
  <si>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</si>
  <si>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</si>
  <si>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</si>
  <si>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</si>
  <si>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</si>
  <si>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</si>
  <si>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</si>
  <si>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</si>
  <si>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</si>
  <si>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</si>
  <si>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Large General Service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</si>
  <si>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</si>
  <si>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</si>
  <si>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</si>
  <si>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</si>
  <si>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</si>
  <si>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</si>
  <si>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</si>
  <si>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</si>
  <si>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</si>
  <si>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</si>
  <si>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</si>
  <si>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</si>
  <si>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</si>
  <si>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</si>
  <si>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Proposed Percent Decrease</t>
  </si>
  <si>
    <t>Non-Residential Electric Surcharge</t>
  </si>
  <si>
    <t>Incr./(Decr.)</t>
  </si>
  <si>
    <t xml:space="preserve">  Federal Income Tax @ 21%</t>
  </si>
  <si>
    <t>Electric Service</t>
  </si>
  <si>
    <t>May - July Forecast Usage</t>
  </si>
  <si>
    <t xml:space="preserve">Prior Year Carryover Balance </t>
  </si>
  <si>
    <t>Add Prior Year Carryover Balance</t>
  </si>
  <si>
    <t xml:space="preserve">Present Decoupling Surcharge Recovery Rates </t>
  </si>
  <si>
    <t>2020 Washington Electric Deferrals</t>
  </si>
  <si>
    <t>TWELVE MONTHS ENDED December 31, 2020</t>
  </si>
  <si>
    <t>2020 Commission Basis Conversion Factor</t>
  </si>
  <si>
    <t>11/12/13</t>
  </si>
  <si>
    <t>21/22/23</t>
  </si>
  <si>
    <t>2021 Decoupling Schedule 75 Filing</t>
  </si>
  <si>
    <t>Effective August 1, 2021 - July 31, 2022</t>
  </si>
  <si>
    <t>Calculate Estimated Monthly Balances through July 2022</t>
  </si>
  <si>
    <t>2020 Deferred Revenue</t>
  </si>
  <si>
    <t>Add Interest through 7/31/2022</t>
  </si>
  <si>
    <t>2020 Commission Basis Earnings Test for Decoupling</t>
  </si>
  <si>
    <t>Revenue From 2020 Normalized Loads and Customers at Present Billing Rates</t>
  </si>
  <si>
    <t>Revenue From 2020 Normalized Loads and Customers at Present Billing Rates (Note 1)</t>
  </si>
  <si>
    <t>August 2021 - July 2022 Usage (kWhs)</t>
  </si>
  <si>
    <t>2020 Total Earnings Test Sharing</t>
  </si>
  <si>
    <t xml:space="preserve"> @914 kWhs</t>
  </si>
  <si>
    <t>Residential Bill at 4/1/2021 rates</t>
  </si>
  <si>
    <t>Docket No. UE-200497</t>
  </si>
  <si>
    <t>2020 Commission Basis conversion factor, see page 8 of  Attachment A.</t>
  </si>
  <si>
    <t>(1)  Revenue from 2020 normalized loads and customers at present billing rates effective since April 1, 2021.</t>
  </si>
  <si>
    <t xml:space="preserve">     Total Requested Rebate</t>
  </si>
  <si>
    <t>Customer Rebate Revenue</t>
  </si>
  <si>
    <t>(2)  The carryover balances will differ from the 3% adjustment amounts due to the revenue related expense gross up partially offset by additional interest on the outstanding balance during the amortization period.</t>
  </si>
  <si>
    <t>3% Test Adjustment (Notes 2)</t>
  </si>
  <si>
    <t>Effective August 1, 2020 - July 31, 2021</t>
  </si>
  <si>
    <t>EREV May Mid-month_5 12 21 v2 Load Update</t>
  </si>
  <si>
    <t>Pro-rated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</si>
</sst>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  <numFmt numFmtId="175" formatCode="_(* #,##0.00000_);_(* \(#,##0.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17" fontId="9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10" fontId="18" fillId="0" borderId="0" xfId="0" applyNumberFormat="1" applyFont="1"/>
    <xf numFmtId="5" fontId="14" fillId="0" borderId="0" xfId="0" applyNumberFormat="1" applyFont="1" applyFill="1" applyBorder="1"/>
    <xf numFmtId="7" fontId="0" fillId="0" borderId="0" xfId="5" applyNumberFormat="1" applyFont="1" applyFill="1"/>
    <xf numFmtId="172" fontId="8" fillId="0" borderId="0" xfId="5" applyNumberFormat="1" applyFont="1"/>
    <xf numFmtId="44" fontId="14" fillId="0" borderId="0" xfId="5" applyNumberFormat="1" applyFont="1" applyFill="1"/>
    <xf numFmtId="0" fontId="0" fillId="0" borderId="0" xfId="0" applyAlignment="1">
      <alignment horizontal="center" wrapText="1"/>
    </xf>
    <xf numFmtId="44" fontId="9" fillId="0" borderId="4" xfId="0" applyNumberFormat="1" applyFont="1" applyBorder="1"/>
    <xf numFmtId="10" fontId="14" fillId="0" borderId="0" xfId="0" applyNumberFormat="1" applyFont="1" applyFill="1"/>
    <xf numFmtId="10" fontId="0" fillId="0" borderId="0" xfId="0" applyNumberFormat="1" applyFill="1" applyBorder="1" applyAlignment="1">
      <alignment horizontal="center" wrapText="1"/>
    </xf>
    <xf numFmtId="170" fontId="0" fillId="0" borderId="0" xfId="0" applyNumberFormat="1" applyFill="1"/>
    <xf numFmtId="166" fontId="6" fillId="0" borderId="0" xfId="0" applyNumberFormat="1" applyFont="1" applyFill="1" applyBorder="1"/>
    <xf numFmtId="43" fontId="0" fillId="0" borderId="0" xfId="0" applyNumberFormat="1"/>
    <xf numFmtId="175" fontId="0" fillId="0" borderId="0" xfId="0" applyNumberFormat="1"/>
    <xf numFmtId="169" fontId="0" fillId="0" borderId="0" xfId="0" applyNumberForma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quotePrefix="1" applyFill="1" applyBorder="1" applyAlignment="1">
      <alignment horizontal="justify" wrapText="1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workbookViewId="0">
      <selection activeCell="I27" sqref="I27"/>
    </sheetView>
  </sheetViews>
  <sheetFormatPr defaultRowHeight="15" outlineLevelCol="1" x14ac:dyDescent="0.25"/>
  <cols>
    <col min="2" max="2" width="2.7109375" customWidth="1"/>
    <col min="3" max="3" width="13.42578125" customWidth="1" outlineLevel="1"/>
    <col min="4" max="4" width="12.28515625" customWidth="1" outlineLevel="1"/>
    <col min="5" max="5" width="11.85546875" customWidth="1" outlineLevel="1"/>
    <col min="6" max="6" width="14.140625" customWidth="1" outlineLevel="1"/>
    <col min="7" max="7" width="10.5703125" customWidth="1" outlineLevel="1"/>
    <col min="8" max="8" width="12" customWidth="1" outlineLevel="1"/>
    <col min="9" max="10" width="11.85546875" customWidth="1" outlineLevel="1"/>
    <col min="11" max="11" width="11.5703125" customWidth="1" outlineLevel="1"/>
    <col min="12" max="12" width="2.5703125" customWidth="1"/>
    <col min="13" max="14" width="14.28515625" bestFit="1" customWidth="1"/>
    <col min="16" max="17" width="14.28515625" bestFit="1" customWidth="1"/>
    <col min="18" max="18" width="12.28515625" bestFit="1" customWidth="1"/>
    <col min="19" max="19" width="12" bestFit="1" customWidth="1"/>
  </cols>
  <sheetData>
    <row r="1" spans="1:19" x14ac:dyDescent="0.25">
      <c r="A1" s="147"/>
      <c r="B1" s="66" t="s">
        <v>197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9" x14ac:dyDescent="0.25">
      <c r="A2" s="147"/>
      <c r="B2" t="s">
        <v>80</v>
      </c>
    </row>
    <row r="3" spans="1:19" ht="14.45" customHeight="1" x14ac:dyDescent="0.25">
      <c r="A3" s="64"/>
      <c r="C3" s="69" t="s">
        <v>81</v>
      </c>
      <c r="M3" s="148" t="s">
        <v>82</v>
      </c>
      <c r="N3" s="149"/>
    </row>
    <row r="4" spans="1:19" x14ac:dyDescent="0.25">
      <c r="C4" s="70" t="s">
        <v>83</v>
      </c>
      <c r="D4" s="70" t="s">
        <v>84</v>
      </c>
      <c r="E4" s="70" t="s">
        <v>85</v>
      </c>
      <c r="F4" s="70" t="s">
        <v>86</v>
      </c>
      <c r="G4" s="70" t="s">
        <v>87</v>
      </c>
      <c r="H4" s="70" t="s">
        <v>88</v>
      </c>
      <c r="I4" s="70" t="s">
        <v>89</v>
      </c>
      <c r="J4" s="70" t="s">
        <v>90</v>
      </c>
      <c r="K4" s="70" t="s">
        <v>91</v>
      </c>
      <c r="M4" s="67" t="s">
        <v>78</v>
      </c>
      <c r="N4" s="68" t="s">
        <v>79</v>
      </c>
    </row>
    <row r="5" spans="1:19" x14ac:dyDescent="0.25">
      <c r="A5" s="63">
        <v>44317</v>
      </c>
      <c r="C5" s="50">
        <v>162875615.11305499</v>
      </c>
      <c r="D5" s="50">
        <v>42309765.033803605</v>
      </c>
      <c r="E5" s="50">
        <v>4033758.7789088986</v>
      </c>
      <c r="F5" s="50">
        <v>102304780.58398484</v>
      </c>
      <c r="G5" s="50">
        <v>2185480.1494808635</v>
      </c>
      <c r="H5" s="50">
        <v>82898149</v>
      </c>
      <c r="I5" s="50">
        <v>15109493.750956286</v>
      </c>
      <c r="J5" s="50">
        <v>754961.30381564784</v>
      </c>
      <c r="K5" s="50">
        <v>1373723.3602483333</v>
      </c>
      <c r="M5" s="50">
        <f>C5</f>
        <v>162875615.11305499</v>
      </c>
      <c r="N5" s="50">
        <f>SUM(D5:G5,I5:J5)</f>
        <v>166698239.60095012</v>
      </c>
      <c r="P5" s="50"/>
      <c r="Q5" s="50"/>
      <c r="R5" s="50"/>
      <c r="S5" s="50"/>
    </row>
    <row r="6" spans="1:19" x14ac:dyDescent="0.25">
      <c r="A6" s="63">
        <f>A5+31</f>
        <v>44348</v>
      </c>
      <c r="C6" s="50">
        <v>162704960.30928802</v>
      </c>
      <c r="D6" s="50">
        <v>42826035.173754059</v>
      </c>
      <c r="E6" s="50">
        <v>3846708.4355936954</v>
      </c>
      <c r="F6" s="50">
        <v>102031302.27202481</v>
      </c>
      <c r="G6" s="50">
        <v>2195502.8285633544</v>
      </c>
      <c r="H6" s="50">
        <v>84772068</v>
      </c>
      <c r="I6" s="50">
        <v>18326058.309736934</v>
      </c>
      <c r="J6" s="50">
        <v>1105792.781237219</v>
      </c>
      <c r="K6" s="50">
        <v>1372796.7284548611</v>
      </c>
      <c r="M6" s="50">
        <f t="shared" ref="M6:M19" si="0">C6</f>
        <v>162704960.30928802</v>
      </c>
      <c r="N6" s="50">
        <f t="shared" ref="N6:N19" si="1">SUM(D6:G6,I6:J6)</f>
        <v>170331399.80091009</v>
      </c>
      <c r="P6" s="50"/>
      <c r="Q6" s="50"/>
      <c r="R6" s="50"/>
      <c r="S6" s="50"/>
    </row>
    <row r="7" spans="1:19" x14ac:dyDescent="0.25">
      <c r="A7" s="63">
        <f t="shared" ref="A7:A19" si="2">A6+31</f>
        <v>44379</v>
      </c>
      <c r="C7" s="50">
        <v>201725767.43289304</v>
      </c>
      <c r="D7" s="50">
        <v>51150710.844265915</v>
      </c>
      <c r="E7" s="50">
        <v>4363824.0659356182</v>
      </c>
      <c r="F7" s="50">
        <v>115559907.95453063</v>
      </c>
      <c r="G7" s="50">
        <v>2556482.7835411164</v>
      </c>
      <c r="H7" s="50">
        <v>83536279</v>
      </c>
      <c r="I7" s="50">
        <v>25248998.960289434</v>
      </c>
      <c r="J7" s="50">
        <v>1779522.868030577</v>
      </c>
      <c r="K7" s="50">
        <v>1377384.0966677663</v>
      </c>
      <c r="M7" s="50">
        <f t="shared" si="0"/>
        <v>201725767.43289304</v>
      </c>
      <c r="N7" s="50">
        <f t="shared" si="1"/>
        <v>200659447.47659329</v>
      </c>
      <c r="P7" s="50"/>
      <c r="Q7" s="50"/>
      <c r="R7" s="50"/>
      <c r="S7" s="50"/>
    </row>
    <row r="8" spans="1:19" x14ac:dyDescent="0.25">
      <c r="A8" s="63">
        <f t="shared" si="2"/>
        <v>44410</v>
      </c>
      <c r="C8" s="50">
        <v>195408992.44276249</v>
      </c>
      <c r="D8" s="50">
        <v>51779131.23159951</v>
      </c>
      <c r="E8" s="50">
        <v>4242287.8179828143</v>
      </c>
      <c r="F8" s="50">
        <v>114813102.01459484</v>
      </c>
      <c r="G8" s="50">
        <v>2544703.8908968628</v>
      </c>
      <c r="H8" s="50">
        <v>89967555</v>
      </c>
      <c r="I8" s="50">
        <v>25848614.623561591</v>
      </c>
      <c r="J8" s="50">
        <v>1662968.6026458803</v>
      </c>
      <c r="K8" s="50">
        <v>1368769.9848067467</v>
      </c>
      <c r="M8" s="50">
        <f t="shared" si="0"/>
        <v>195408992.44276249</v>
      </c>
      <c r="N8" s="50">
        <f t="shared" si="1"/>
        <v>200890808.18128148</v>
      </c>
      <c r="P8" s="50"/>
      <c r="Q8" s="50"/>
      <c r="R8" s="50"/>
      <c r="S8" s="50"/>
    </row>
    <row r="9" spans="1:19" x14ac:dyDescent="0.25">
      <c r="A9" s="63">
        <f t="shared" si="2"/>
        <v>44441</v>
      </c>
      <c r="C9" s="50">
        <v>154836044.44160548</v>
      </c>
      <c r="D9" s="50">
        <v>44131214.486846745</v>
      </c>
      <c r="E9" s="50">
        <v>3791915.2692046347</v>
      </c>
      <c r="F9" s="50">
        <v>102317224.27832106</v>
      </c>
      <c r="G9" s="50">
        <v>2186892.078797963</v>
      </c>
      <c r="H9" s="50">
        <v>87018266</v>
      </c>
      <c r="I9" s="50">
        <v>17996125.592452452</v>
      </c>
      <c r="J9" s="50">
        <v>1043096.6443739957</v>
      </c>
      <c r="K9" s="50">
        <v>1382585.6124156422</v>
      </c>
      <c r="M9" s="50">
        <f t="shared" si="0"/>
        <v>154836044.44160548</v>
      </c>
      <c r="N9" s="50">
        <f t="shared" si="1"/>
        <v>171466468.34999683</v>
      </c>
      <c r="P9" s="50"/>
      <c r="Q9" s="50"/>
      <c r="R9" s="50"/>
      <c r="S9" s="50"/>
    </row>
    <row r="10" spans="1:19" x14ac:dyDescent="0.25">
      <c r="A10" s="63">
        <f t="shared" si="2"/>
        <v>44472</v>
      </c>
      <c r="C10" s="50">
        <v>179532895.31984872</v>
      </c>
      <c r="D10" s="50">
        <v>47086203.729955383</v>
      </c>
      <c r="E10" s="50">
        <v>4661229.2886902587</v>
      </c>
      <c r="F10" s="50">
        <v>110506905.19483158</v>
      </c>
      <c r="G10" s="50">
        <v>2474713.9465546994</v>
      </c>
      <c r="H10" s="50">
        <v>89251888</v>
      </c>
      <c r="I10" s="50">
        <v>10667619.045927826</v>
      </c>
      <c r="J10" s="50">
        <v>548289.96740639675</v>
      </c>
      <c r="K10" s="50">
        <v>1348656.2775461124</v>
      </c>
      <c r="M10" s="50">
        <f t="shared" si="0"/>
        <v>179532895.31984872</v>
      </c>
      <c r="N10" s="50">
        <f t="shared" si="1"/>
        <v>175944961.17336613</v>
      </c>
      <c r="P10" s="50"/>
      <c r="Q10" s="50"/>
      <c r="R10" s="50"/>
      <c r="S10" s="50"/>
    </row>
    <row r="11" spans="1:19" x14ac:dyDescent="0.25">
      <c r="A11" s="63">
        <f t="shared" si="2"/>
        <v>44503</v>
      </c>
      <c r="C11" s="50">
        <v>228638854.31410483</v>
      </c>
      <c r="D11" s="50">
        <v>51272740.421958603</v>
      </c>
      <c r="E11" s="50">
        <v>5801972.7592799133</v>
      </c>
      <c r="F11" s="50">
        <v>108443652.59546401</v>
      </c>
      <c r="G11" s="50">
        <v>2846344.8886388144</v>
      </c>
      <c r="H11" s="50">
        <v>88324209</v>
      </c>
      <c r="I11" s="50">
        <v>4737113.9024144989</v>
      </c>
      <c r="J11" s="50">
        <v>305363.31481263641</v>
      </c>
      <c r="K11" s="50">
        <v>1339576.2936307886</v>
      </c>
      <c r="M11" s="50">
        <f t="shared" si="0"/>
        <v>228638854.31410483</v>
      </c>
      <c r="N11" s="50">
        <f t="shared" si="1"/>
        <v>173407187.88256848</v>
      </c>
      <c r="P11" s="50"/>
      <c r="Q11" s="50"/>
      <c r="R11" s="50"/>
      <c r="S11" s="50"/>
    </row>
    <row r="12" spans="1:19" x14ac:dyDescent="0.25">
      <c r="A12" s="63">
        <f t="shared" si="2"/>
        <v>44534</v>
      </c>
      <c r="C12" s="50">
        <v>288759665.00729716</v>
      </c>
      <c r="D12" s="50">
        <v>58292812.328183077</v>
      </c>
      <c r="E12" s="50">
        <v>7195247.8283822769</v>
      </c>
      <c r="F12" s="50">
        <v>114080278.24870051</v>
      </c>
      <c r="G12" s="50">
        <v>3414743.2447034069</v>
      </c>
      <c r="H12" s="50">
        <v>88354717</v>
      </c>
      <c r="I12" s="50">
        <v>3998791.9888125011</v>
      </c>
      <c r="J12" s="50">
        <v>310191.56861312047</v>
      </c>
      <c r="K12" s="50">
        <v>1404381.0722308541</v>
      </c>
      <c r="M12" s="50">
        <f t="shared" si="0"/>
        <v>288759665.00729716</v>
      </c>
      <c r="N12" s="50">
        <f t="shared" si="1"/>
        <v>187292065.2073949</v>
      </c>
      <c r="P12" s="50"/>
      <c r="Q12" s="50"/>
      <c r="R12" s="50"/>
      <c r="S12" s="50"/>
    </row>
    <row r="13" spans="1:19" x14ac:dyDescent="0.25">
      <c r="A13" s="63">
        <f t="shared" si="2"/>
        <v>44565</v>
      </c>
      <c r="C13" s="50">
        <v>289139801.5291037</v>
      </c>
      <c r="D13" s="50">
        <v>58004212.657289609</v>
      </c>
      <c r="E13" s="50">
        <v>7376338.0682462864</v>
      </c>
      <c r="F13" s="50">
        <v>113051582.74358556</v>
      </c>
      <c r="G13" s="50">
        <v>3453588.600914997</v>
      </c>
      <c r="H13" s="50">
        <v>90713084</v>
      </c>
      <c r="I13" s="50">
        <v>4096285.8030744288</v>
      </c>
      <c r="J13" s="50">
        <v>324360.50816724572</v>
      </c>
      <c r="K13" s="50">
        <v>1357849.7795550921</v>
      </c>
      <c r="M13" s="50">
        <f t="shared" si="0"/>
        <v>289139801.5291037</v>
      </c>
      <c r="N13" s="50">
        <f t="shared" si="1"/>
        <v>186306368.3812781</v>
      </c>
      <c r="P13" s="50"/>
      <c r="Q13" s="50"/>
      <c r="R13" s="50"/>
      <c r="S13" s="50"/>
    </row>
    <row r="14" spans="1:19" x14ac:dyDescent="0.25">
      <c r="A14" s="63">
        <f t="shared" si="2"/>
        <v>44596</v>
      </c>
      <c r="C14" s="50">
        <v>236954906.38102663</v>
      </c>
      <c r="D14" s="50">
        <v>50181153.96351169</v>
      </c>
      <c r="E14" s="50">
        <v>6371164.9393715244</v>
      </c>
      <c r="F14" s="50">
        <v>101173852.78936779</v>
      </c>
      <c r="G14" s="50">
        <v>2960586.3736305041</v>
      </c>
      <c r="H14" s="50">
        <v>86407808</v>
      </c>
      <c r="I14" s="50">
        <v>3801025.8197011352</v>
      </c>
      <c r="J14" s="50">
        <v>281544.10926182719</v>
      </c>
      <c r="K14" s="50">
        <v>1289943.8207213499</v>
      </c>
      <c r="M14" s="50">
        <f t="shared" si="0"/>
        <v>236954906.38102663</v>
      </c>
      <c r="N14" s="50">
        <f t="shared" si="1"/>
        <v>164769327.9948445</v>
      </c>
      <c r="P14" s="50"/>
      <c r="Q14" s="50"/>
      <c r="R14" s="50"/>
      <c r="S14" s="50"/>
    </row>
    <row r="15" spans="1:19" x14ac:dyDescent="0.25">
      <c r="A15" s="63">
        <f t="shared" si="2"/>
        <v>44627</v>
      </c>
      <c r="C15" s="50">
        <v>222240496.03366679</v>
      </c>
      <c r="D15" s="50">
        <v>50580997.279053174</v>
      </c>
      <c r="E15" s="50">
        <v>6068308.2491911864</v>
      </c>
      <c r="F15" s="50">
        <v>105876432.46226543</v>
      </c>
      <c r="G15" s="50">
        <v>2850531.3492971836</v>
      </c>
      <c r="H15" s="50">
        <v>87419411</v>
      </c>
      <c r="I15" s="50">
        <v>4464996.046296142</v>
      </c>
      <c r="J15" s="50">
        <v>289515.40810613142</v>
      </c>
      <c r="K15" s="50">
        <v>1347343.0766535457</v>
      </c>
      <c r="M15" s="50">
        <f t="shared" si="0"/>
        <v>222240496.03366679</v>
      </c>
      <c r="N15" s="50">
        <f t="shared" si="1"/>
        <v>170130780.79420927</v>
      </c>
      <c r="P15" s="50"/>
      <c r="Q15" s="50"/>
      <c r="R15" s="50"/>
      <c r="S15" s="50"/>
    </row>
    <row r="16" spans="1:19" x14ac:dyDescent="0.25">
      <c r="A16" s="63">
        <f t="shared" si="2"/>
        <v>44658</v>
      </c>
      <c r="C16" s="50">
        <v>175624821.28924283</v>
      </c>
      <c r="D16" s="50">
        <v>43655727.07144478</v>
      </c>
      <c r="E16" s="50">
        <v>4758199.3626595642</v>
      </c>
      <c r="F16" s="50">
        <v>97979182.260348767</v>
      </c>
      <c r="G16" s="50">
        <v>2362065.4761521379</v>
      </c>
      <c r="H16" s="50">
        <v>88393436</v>
      </c>
      <c r="I16" s="50">
        <v>6711393.4094723072</v>
      </c>
      <c r="J16" s="50">
        <v>412643.15957872802</v>
      </c>
      <c r="K16" s="50">
        <v>1320419.3019775909</v>
      </c>
      <c r="M16" s="50">
        <f t="shared" si="0"/>
        <v>175624821.28924283</v>
      </c>
      <c r="N16" s="50">
        <f t="shared" si="1"/>
        <v>155879210.73965633</v>
      </c>
      <c r="P16" s="50"/>
      <c r="Q16" s="50"/>
      <c r="R16" s="50"/>
      <c r="S16" s="50"/>
    </row>
    <row r="17" spans="1:19" x14ac:dyDescent="0.25">
      <c r="A17" s="63">
        <f t="shared" si="2"/>
        <v>44689</v>
      </c>
      <c r="C17" s="50">
        <v>158772217.34669441</v>
      </c>
      <c r="D17" s="50">
        <v>43339499.491076849</v>
      </c>
      <c r="E17" s="50">
        <v>4219778.5235551167</v>
      </c>
      <c r="F17" s="50">
        <v>102680307.42503056</v>
      </c>
      <c r="G17" s="50">
        <v>2262104.3774394039</v>
      </c>
      <c r="H17" s="50">
        <v>88297376</v>
      </c>
      <c r="I17" s="50">
        <v>12885809.989843041</v>
      </c>
      <c r="J17" s="50">
        <v>711377.51422100456</v>
      </c>
      <c r="K17" s="50">
        <v>1329472.1398669735</v>
      </c>
      <c r="M17" s="50">
        <f t="shared" si="0"/>
        <v>158772217.34669441</v>
      </c>
      <c r="N17" s="50">
        <f t="shared" si="1"/>
        <v>166098877.32116598</v>
      </c>
      <c r="P17" s="50"/>
      <c r="Q17" s="50"/>
      <c r="R17" s="50"/>
      <c r="S17" s="50"/>
    </row>
    <row r="18" spans="1:19" x14ac:dyDescent="0.25">
      <c r="A18" s="63">
        <f t="shared" si="2"/>
        <v>44720</v>
      </c>
      <c r="C18" s="50">
        <v>154236623.74039325</v>
      </c>
      <c r="D18" s="50">
        <v>44373439.503949001</v>
      </c>
      <c r="E18" s="50">
        <v>4004032.2374251597</v>
      </c>
      <c r="F18" s="50">
        <v>105493326.76553531</v>
      </c>
      <c r="G18" s="50">
        <v>2220789.7653959561</v>
      </c>
      <c r="H18" s="50">
        <v>89354648</v>
      </c>
      <c r="I18" s="50">
        <v>18523284.720683198</v>
      </c>
      <c r="J18" s="50">
        <v>1110969.4472922899</v>
      </c>
      <c r="K18" s="50">
        <v>1326189.3874514436</v>
      </c>
      <c r="M18" s="50">
        <f t="shared" si="0"/>
        <v>154236623.74039325</v>
      </c>
      <c r="N18" s="50">
        <f t="shared" si="1"/>
        <v>175725842.44028094</v>
      </c>
      <c r="P18" s="50"/>
      <c r="Q18" s="50"/>
      <c r="R18" s="50"/>
      <c r="S18" s="50"/>
    </row>
    <row r="19" spans="1:19" x14ac:dyDescent="0.25">
      <c r="A19" s="63">
        <f t="shared" si="2"/>
        <v>44751</v>
      </c>
      <c r="C19" s="50">
        <v>187835269.75646251</v>
      </c>
      <c r="D19" s="50">
        <v>52736929.122700162</v>
      </c>
      <c r="E19" s="50">
        <v>4426769.1861981675</v>
      </c>
      <c r="F19" s="50">
        <v>119658864.29073137</v>
      </c>
      <c r="G19" s="50">
        <v>2562212.1776120309</v>
      </c>
      <c r="H19" s="50">
        <v>88340940</v>
      </c>
      <c r="I19" s="50">
        <v>24862418.606696919</v>
      </c>
      <c r="J19" s="50">
        <v>1768561.819743773</v>
      </c>
      <c r="K19" s="50">
        <v>1341916.2510249089</v>
      </c>
      <c r="M19" s="50">
        <f t="shared" si="0"/>
        <v>187835269.75646251</v>
      </c>
      <c r="N19" s="50">
        <f t="shared" si="1"/>
        <v>206015755.20368245</v>
      </c>
      <c r="P19" s="50"/>
      <c r="Q19" s="50"/>
      <c r="R19" s="50"/>
      <c r="S19" s="50"/>
    </row>
    <row r="20" spans="1:19" x14ac:dyDescent="0.25">
      <c r="A20" s="63"/>
      <c r="C20" s="46"/>
      <c r="D20" s="46"/>
      <c r="E20" s="46"/>
      <c r="F20" s="46"/>
      <c r="G20" s="46"/>
      <c r="H20" s="46"/>
      <c r="I20" s="46"/>
      <c r="J20" s="46"/>
      <c r="K20" s="46"/>
      <c r="M20" s="50"/>
      <c r="N20" s="50"/>
      <c r="P20" s="50"/>
      <c r="Q20" s="50"/>
      <c r="R20" s="50"/>
      <c r="S20" s="50"/>
    </row>
    <row r="21" spans="1:19" x14ac:dyDescent="0.25">
      <c r="A21" s="63"/>
      <c r="C21" s="46"/>
      <c r="D21" s="46"/>
      <c r="E21" s="46"/>
      <c r="F21" s="46"/>
      <c r="G21" s="46"/>
      <c r="H21" s="46"/>
      <c r="I21" s="46"/>
      <c r="J21" s="46"/>
      <c r="K21" s="46"/>
      <c r="M21" s="50"/>
      <c r="N21" s="50"/>
    </row>
    <row r="22" spans="1:19" x14ac:dyDescent="0.25">
      <c r="A22" s="63"/>
      <c r="C22" s="46"/>
      <c r="D22" s="46"/>
      <c r="E22" s="46"/>
      <c r="F22" s="46"/>
      <c r="G22" s="46"/>
      <c r="H22" s="46"/>
      <c r="I22" s="46"/>
      <c r="J22" s="46"/>
      <c r="K22" s="46"/>
      <c r="M22" s="50"/>
      <c r="N22" s="50"/>
    </row>
    <row r="23" spans="1:19" x14ac:dyDescent="0.25">
      <c r="A23" s="63"/>
      <c r="C23" s="46"/>
      <c r="D23" s="46"/>
      <c r="E23" s="46"/>
      <c r="F23" s="46"/>
      <c r="G23" s="46"/>
      <c r="H23" s="46"/>
      <c r="I23" s="46"/>
      <c r="J23" s="46"/>
      <c r="K23" s="46"/>
      <c r="M23" s="50"/>
      <c r="N23" s="50"/>
    </row>
  </sheetData>
  <mergeCells count="2">
    <mergeCell ref="A1:A2"/>
    <mergeCell ref="M3:N3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topLeftCell="A28" zoomScaleNormal="100" workbookViewId="0">
      <selection activeCell="F42" sqref="F42"/>
    </sheetView>
  </sheetViews>
  <sheetFormatPr defaultRowHeight="15" x14ac:dyDescent="0.25"/>
  <cols>
    <col min="1" max="1" width="4.5703125" customWidth="1"/>
    <col min="2" max="2" width="32.140625" customWidth="1"/>
    <col min="3" max="3" width="16.85546875" customWidth="1"/>
    <col min="4" max="4" width="16" customWidth="1"/>
    <col min="5" max="5" width="16.7109375" customWidth="1"/>
    <col min="6" max="6" width="8.28515625" customWidth="1"/>
    <col min="7" max="7" width="4.85546875" customWidth="1"/>
    <col min="8" max="8" width="31.85546875" customWidth="1"/>
    <col min="9" max="9" width="18" customWidth="1"/>
    <col min="10" max="10" width="16.28515625" customWidth="1"/>
    <col min="11" max="11" width="16.7109375" customWidth="1"/>
    <col min="13" max="14" width="11.7109375" customWidth="1"/>
    <col min="15" max="15" width="10.42578125" customWidth="1"/>
    <col min="16" max="16" width="12.7109375" customWidth="1"/>
  </cols>
  <sheetData>
    <row r="1" spans="1:11" x14ac:dyDescent="0.25">
      <c r="B1" s="151" t="s">
        <v>0</v>
      </c>
      <c r="C1" s="151"/>
      <c r="D1" s="151"/>
      <c r="E1" s="151"/>
      <c r="F1" s="51"/>
      <c r="G1" s="51"/>
      <c r="H1" s="151" t="s">
        <v>0</v>
      </c>
      <c r="I1" s="151"/>
      <c r="J1" s="151"/>
      <c r="K1" s="151"/>
    </row>
    <row r="2" spans="1:11" x14ac:dyDescent="0.25">
      <c r="B2" s="151" t="s">
        <v>1</v>
      </c>
      <c r="C2" s="151"/>
      <c r="D2" s="151"/>
      <c r="E2" s="151"/>
      <c r="F2" s="51"/>
      <c r="G2" s="51"/>
      <c r="H2" s="151" t="s">
        <v>1</v>
      </c>
      <c r="I2" s="151"/>
      <c r="J2" s="151"/>
      <c r="K2" s="151"/>
    </row>
    <row r="3" spans="1:11" x14ac:dyDescent="0.25">
      <c r="B3" s="151" t="s">
        <v>178</v>
      </c>
      <c r="C3" s="151"/>
      <c r="D3" s="151"/>
      <c r="E3" s="151"/>
      <c r="F3" s="51"/>
      <c r="G3" s="51"/>
      <c r="H3" s="151" t="str">
        <f>B3</f>
        <v>Effective August 1, 2021 - July 31, 2022</v>
      </c>
      <c r="I3" s="151"/>
      <c r="J3" s="151"/>
      <c r="K3" s="151"/>
    </row>
    <row r="5" spans="1:11" ht="18.75" x14ac:dyDescent="0.3">
      <c r="B5" s="158" t="s">
        <v>38</v>
      </c>
      <c r="C5" s="158"/>
      <c r="D5" s="158"/>
      <c r="E5" s="158"/>
      <c r="F5" s="60"/>
      <c r="G5" s="27"/>
      <c r="H5" s="158" t="s">
        <v>39</v>
      </c>
      <c r="I5" s="158"/>
      <c r="J5" s="158"/>
      <c r="K5" s="158"/>
    </row>
    <row r="6" spans="1:11" ht="29.45" customHeight="1" x14ac:dyDescent="0.25">
      <c r="A6" s="74" t="s">
        <v>92</v>
      </c>
      <c r="B6" s="59" t="s">
        <v>2</v>
      </c>
      <c r="C6" s="59" t="s">
        <v>5</v>
      </c>
      <c r="D6" s="59" t="s">
        <v>6</v>
      </c>
      <c r="E6" s="71" t="s">
        <v>106</v>
      </c>
      <c r="F6" s="59"/>
      <c r="G6" s="74" t="s">
        <v>92</v>
      </c>
      <c r="H6" s="59" t="s">
        <v>2</v>
      </c>
      <c r="I6" s="59" t="s">
        <v>5</v>
      </c>
      <c r="J6" s="59" t="s">
        <v>6</v>
      </c>
      <c r="K6" s="71" t="s">
        <v>106</v>
      </c>
    </row>
    <row r="7" spans="1:11" x14ac:dyDescent="0.25">
      <c r="A7" s="75">
        <v>1</v>
      </c>
      <c r="B7" s="59"/>
      <c r="C7" s="73">
        <f>ROUND(C8/E22,5)</f>
        <v>-4.2000000000000002E-4</v>
      </c>
      <c r="D7" s="141">
        <v>3.2500000000000001E-2</v>
      </c>
      <c r="E7" s="59"/>
      <c r="F7" s="59"/>
      <c r="G7" s="75">
        <v>1</v>
      </c>
      <c r="H7" s="59"/>
      <c r="I7" s="59">
        <f>ROUND(I8/K22,5)</f>
        <v>6.5199999999999998E-3</v>
      </c>
      <c r="J7" s="25">
        <f>D7</f>
        <v>3.2500000000000001E-2</v>
      </c>
      <c r="K7" s="59"/>
    </row>
    <row r="8" spans="1:11" x14ac:dyDescent="0.25">
      <c r="A8" s="75">
        <v>2</v>
      </c>
      <c r="B8" s="52">
        <v>44397</v>
      </c>
      <c r="C8" s="26">
        <f>C55+C56</f>
        <v>-1037194.3587888072</v>
      </c>
      <c r="D8" s="26"/>
      <c r="E8" s="27"/>
      <c r="F8" s="27"/>
      <c r="G8" s="75">
        <v>2</v>
      </c>
      <c r="H8" s="52">
        <f>B8</f>
        <v>44397</v>
      </c>
      <c r="I8" s="26">
        <f>I55+I56</f>
        <v>13911648.045877751</v>
      </c>
      <c r="J8" s="26"/>
      <c r="K8" s="27"/>
    </row>
    <row r="9" spans="1:11" x14ac:dyDescent="0.25">
      <c r="A9" s="75">
        <v>3</v>
      </c>
      <c r="B9" s="52">
        <f>B8+31</f>
        <v>44428</v>
      </c>
      <c r="C9" s="26">
        <f>C8+D9-$C$7*E9</f>
        <v>-957820.51115344814</v>
      </c>
      <c r="D9" s="26">
        <f>(C8-$C$7*E9/2)*$D$7/12</f>
        <v>-2697.9291906011981</v>
      </c>
      <c r="E9" s="32">
        <f>'5 12 21 Forecast Usage by Sched'!M8</f>
        <v>195408992.44276249</v>
      </c>
      <c r="F9" s="32"/>
      <c r="G9" s="75">
        <v>3</v>
      </c>
      <c r="H9" s="52">
        <f t="shared" ref="H9:H20" si="0">B9</f>
        <v>44428</v>
      </c>
      <c r="I9" s="26">
        <f>I8+J9-$I$7*K9</f>
        <v>12637743.658232814</v>
      </c>
      <c r="J9" s="26">
        <f>(I8-$I$7*K9/2)*$J$7/12</f>
        <v>35903.68169701835</v>
      </c>
      <c r="K9" s="32">
        <f>'5 12 21 Forecast Usage by Sched'!N8</f>
        <v>200890808.18128148</v>
      </c>
    </row>
    <row r="10" spans="1:11" x14ac:dyDescent="0.25">
      <c r="A10" s="75">
        <v>4</v>
      </c>
      <c r="B10" s="52">
        <f t="shared" ref="B10:B20" si="1">B9+31</f>
        <v>44459</v>
      </c>
      <c r="C10" s="26">
        <f t="shared" ref="C10:C20" si="2">C9+D10-$C$7*E10</f>
        <v>-895295.40670540498</v>
      </c>
      <c r="D10" s="26">
        <f t="shared" ref="D10:D20" si="3">(C9-$C$7*E10/2)*$D$7/12</f>
        <v>-2506.0342174310922</v>
      </c>
      <c r="E10" s="32">
        <f>'5 12 21 Forecast Usage by Sched'!M9</f>
        <v>154836044.44160548</v>
      </c>
      <c r="F10" s="32"/>
      <c r="G10" s="75">
        <v>4</v>
      </c>
      <c r="H10" s="52">
        <f t="shared" si="0"/>
        <v>44459</v>
      </c>
      <c r="I10" s="26">
        <f t="shared" ref="I10:I20" si="4">I9+J10-$I$7*K10</f>
        <v>11552495.600971742</v>
      </c>
      <c r="J10" s="26">
        <f t="shared" ref="J10:J20" si="5">(I9-$I$7*K10/2)*$J$7/12</f>
        <v>32713.316380907025</v>
      </c>
      <c r="K10" s="32">
        <f>'5 12 21 Forecast Usage by Sched'!N9</f>
        <v>171466468.34999683</v>
      </c>
    </row>
    <row r="11" spans="1:11" x14ac:dyDescent="0.25">
      <c r="A11" s="75">
        <v>5</v>
      </c>
      <c r="B11" s="52">
        <f t="shared" si="1"/>
        <v>44490</v>
      </c>
      <c r="C11" s="26">
        <f t="shared" si="2"/>
        <v>-822214.23973001586</v>
      </c>
      <c r="D11" s="26">
        <f t="shared" si="3"/>
        <v>-2322.6490589473083</v>
      </c>
      <c r="E11" s="32">
        <f>'5 12 21 Forecast Usage by Sched'!M10</f>
        <v>179532895.31984872</v>
      </c>
      <c r="F11" s="32"/>
      <c r="G11" s="75">
        <v>5</v>
      </c>
      <c r="H11" s="52">
        <f t="shared" si="0"/>
        <v>44490</v>
      </c>
      <c r="I11" s="26">
        <f t="shared" si="4"/>
        <v>10435069.015654333</v>
      </c>
      <c r="J11" s="26">
        <f t="shared" si="5"/>
        <v>29734.56153293862</v>
      </c>
      <c r="K11" s="32">
        <f>'5 12 21 Forecast Usage by Sched'!N10</f>
        <v>175944961.17336613</v>
      </c>
    </row>
    <row r="12" spans="1:11" x14ac:dyDescent="0.25">
      <c r="A12" s="75">
        <v>6</v>
      </c>
      <c r="B12" s="52">
        <f t="shared" si="1"/>
        <v>44521</v>
      </c>
      <c r="C12" s="26">
        <f t="shared" si="2"/>
        <v>-728282.71280230279</v>
      </c>
      <c r="D12" s="26">
        <f t="shared" si="3"/>
        <v>-2096.7918842109793</v>
      </c>
      <c r="E12" s="32">
        <f>'5 12 21 Forecast Usage by Sched'!M11</f>
        <v>228638854.31410483</v>
      </c>
      <c r="F12" s="32"/>
      <c r="G12" s="75">
        <v>6</v>
      </c>
      <c r="H12" s="52">
        <f t="shared" si="0"/>
        <v>44521</v>
      </c>
      <c r="I12" s="26">
        <f t="shared" si="4"/>
        <v>9331184.7549477033</v>
      </c>
      <c r="J12" s="26">
        <f t="shared" si="5"/>
        <v>26730.604287717306</v>
      </c>
      <c r="K12" s="32">
        <f>'5 12 21 Forecast Usage by Sched'!N11</f>
        <v>173407187.88256848</v>
      </c>
    </row>
    <row r="13" spans="1:11" x14ac:dyDescent="0.25">
      <c r="A13" s="75">
        <v>7</v>
      </c>
      <c r="B13" s="52">
        <f t="shared" si="1"/>
        <v>44552</v>
      </c>
      <c r="C13" s="26">
        <f t="shared" si="2"/>
        <v>-608811.85378693801</v>
      </c>
      <c r="D13" s="26">
        <f t="shared" si="3"/>
        <v>-1808.2002877000032</v>
      </c>
      <c r="E13" s="32">
        <f>'5 12 21 Forecast Usage by Sched'!M12</f>
        <v>288759665.00729716</v>
      </c>
      <c r="F13" s="32"/>
      <c r="G13" s="75">
        <v>7</v>
      </c>
      <c r="H13" s="52">
        <f t="shared" si="0"/>
        <v>44552</v>
      </c>
      <c r="I13" s="26">
        <f t="shared" si="4"/>
        <v>8133658.8156477446</v>
      </c>
      <c r="J13" s="26">
        <f t="shared" si="5"/>
        <v>23618.325852256403</v>
      </c>
      <c r="K13" s="32">
        <f>'5 12 21 Forecast Usage by Sched'!N12</f>
        <v>187292065.2073949</v>
      </c>
    </row>
    <row r="14" spans="1:11" x14ac:dyDescent="0.25">
      <c r="A14" s="75">
        <v>8</v>
      </c>
      <c r="B14" s="52">
        <f t="shared" si="1"/>
        <v>44583</v>
      </c>
      <c r="C14" s="26">
        <f t="shared" si="2"/>
        <v>-488857.55431993445</v>
      </c>
      <c r="D14" s="26">
        <f t="shared" si="3"/>
        <v>-1484.4171752199461</v>
      </c>
      <c r="E14" s="32">
        <f>'5 12 21 Forecast Usage by Sched'!M13</f>
        <v>289139801.5291037</v>
      </c>
      <c r="F14" s="32"/>
      <c r="G14" s="75">
        <v>8</v>
      </c>
      <c r="H14" s="52">
        <f t="shared" si="0"/>
        <v>44583</v>
      </c>
      <c r="I14" s="26">
        <f t="shared" si="4"/>
        <v>6939325.023116691</v>
      </c>
      <c r="J14" s="26">
        <f t="shared" si="5"/>
        <v>20383.729314879609</v>
      </c>
      <c r="K14" s="32">
        <f>'5 12 21 Forecast Usage by Sched'!N13</f>
        <v>186306368.3812781</v>
      </c>
    </row>
    <row r="15" spans="1:11" x14ac:dyDescent="0.25">
      <c r="A15" s="75">
        <v>9</v>
      </c>
      <c r="B15" s="52">
        <f t="shared" si="1"/>
        <v>44614</v>
      </c>
      <c r="C15" s="26">
        <f t="shared" si="2"/>
        <v>-390525.71474651556</v>
      </c>
      <c r="D15" s="26">
        <f t="shared" si="3"/>
        <v>-1189.2211066122802</v>
      </c>
      <c r="E15" s="32">
        <f>'5 12 21 Forecast Usage by Sched'!M14</f>
        <v>236954906.38102663</v>
      </c>
      <c r="F15" s="32"/>
      <c r="G15" s="75">
        <v>9</v>
      </c>
      <c r="H15" s="52">
        <f t="shared" si="0"/>
        <v>44614</v>
      </c>
      <c r="I15" s="26">
        <f t="shared" si="4"/>
        <v>5882368.2340028249</v>
      </c>
      <c r="J15" s="26">
        <f t="shared" si="5"/>
        <v>17339.22941251989</v>
      </c>
      <c r="K15" s="32">
        <f>'5 12 21 Forecast Usage by Sched'!N14</f>
        <v>164769327.9948445</v>
      </c>
    </row>
    <row r="16" spans="1:11" x14ac:dyDescent="0.25">
      <c r="A16" s="75">
        <v>10</v>
      </c>
      <c r="B16" s="52">
        <f t="shared" si="1"/>
        <v>44645</v>
      </c>
      <c r="C16" s="26">
        <f t="shared" si="2"/>
        <v>-298115.98094102816</v>
      </c>
      <c r="D16" s="26">
        <f t="shared" si="3"/>
        <v>-931.27452865266503</v>
      </c>
      <c r="E16" s="32">
        <f>'5 12 21 Forecast Usage by Sched'!M15</f>
        <v>222240496.03366679</v>
      </c>
      <c r="F16" s="32"/>
      <c r="G16" s="75">
        <v>10</v>
      </c>
      <c r="H16" s="52">
        <f t="shared" si="0"/>
        <v>44645</v>
      </c>
      <c r="I16" s="26">
        <f t="shared" si="4"/>
        <v>4787544.8441729089</v>
      </c>
      <c r="J16" s="26">
        <f t="shared" si="5"/>
        <v>14429.300948328777</v>
      </c>
      <c r="K16" s="32">
        <f>'5 12 21 Forecast Usage by Sched'!N15</f>
        <v>170130780.79420927</v>
      </c>
    </row>
    <row r="17" spans="1:11" x14ac:dyDescent="0.25">
      <c r="A17" s="75">
        <v>11</v>
      </c>
      <c r="B17" s="52">
        <f t="shared" si="1"/>
        <v>44676</v>
      </c>
      <c r="C17" s="26">
        <f t="shared" si="2"/>
        <v>-225061.06683081985</v>
      </c>
      <c r="D17" s="26">
        <f t="shared" si="3"/>
        <v>-707.51083127369441</v>
      </c>
      <c r="E17" s="32">
        <f>'5 12 21 Forecast Usage by Sched'!M16</f>
        <v>175624821.28924283</v>
      </c>
      <c r="F17" s="32"/>
      <c r="G17" s="75">
        <v>11</v>
      </c>
      <c r="H17" s="52">
        <f t="shared" si="0"/>
        <v>44676</v>
      </c>
      <c r="I17" s="26">
        <f t="shared" si="4"/>
        <v>3782802.3739051623</v>
      </c>
      <c r="J17" s="26">
        <f t="shared" si="5"/>
        <v>11589.983754812747</v>
      </c>
      <c r="K17" s="32">
        <f>'5 12 21 Forecast Usage by Sched'!N16</f>
        <v>155879210.73965633</v>
      </c>
    </row>
    <row r="18" spans="1:11" x14ac:dyDescent="0.25">
      <c r="A18" s="75">
        <v>12</v>
      </c>
      <c r="B18" s="52">
        <f t="shared" si="1"/>
        <v>44707</v>
      </c>
      <c r="C18" s="26">
        <f t="shared" si="2"/>
        <v>-158895.97423592571</v>
      </c>
      <c r="D18" s="26">
        <f t="shared" si="3"/>
        <v>-519.23869071753791</v>
      </c>
      <c r="E18" s="32">
        <f>'5 12 21 Forecast Usage by Sched'!M17</f>
        <v>158772217.34669441</v>
      </c>
      <c r="F18" s="32"/>
      <c r="G18" s="75">
        <v>12</v>
      </c>
      <c r="H18" s="52">
        <f t="shared" si="0"/>
        <v>44707</v>
      </c>
      <c r="I18" s="26">
        <f t="shared" si="4"/>
        <v>2708616.2688628053</v>
      </c>
      <c r="J18" s="26">
        <f t="shared" si="5"/>
        <v>8778.5750916450215</v>
      </c>
      <c r="K18" s="32">
        <f>'5 12 21 Forecast Usage by Sched'!N17</f>
        <v>166098877.32116598</v>
      </c>
    </row>
    <row r="19" spans="1:11" x14ac:dyDescent="0.25">
      <c r="A19" s="75">
        <v>13</v>
      </c>
      <c r="B19" s="52">
        <f t="shared" si="1"/>
        <v>44738</v>
      </c>
      <c r="C19" s="26">
        <f t="shared" si="2"/>
        <v>-94459.213448763825</v>
      </c>
      <c r="D19" s="26">
        <f t="shared" si="3"/>
        <v>-342.62118380328349</v>
      </c>
      <c r="E19" s="32">
        <f>'5 12 21 Forecast Usage by Sched'!M18</f>
        <v>154236623.74039325</v>
      </c>
      <c r="F19" s="32"/>
      <c r="G19" s="75">
        <v>13</v>
      </c>
      <c r="H19" s="52">
        <f t="shared" si="0"/>
        <v>44738</v>
      </c>
      <c r="I19" s="26">
        <f t="shared" si="4"/>
        <v>1568668.0991297979</v>
      </c>
      <c r="J19" s="26">
        <f t="shared" si="5"/>
        <v>5784.3229776244516</v>
      </c>
      <c r="K19" s="32">
        <f>'5 12 21 Forecast Usage by Sched'!N18</f>
        <v>175725842.44028094</v>
      </c>
    </row>
    <row r="20" spans="1:11" x14ac:dyDescent="0.25">
      <c r="A20" s="75">
        <v>14</v>
      </c>
      <c r="B20" s="52">
        <f t="shared" si="1"/>
        <v>44769</v>
      </c>
      <c r="C20" s="26">
        <f t="shared" si="2"/>
        <v>-15717.395877799325</v>
      </c>
      <c r="D20" s="26">
        <f t="shared" si="3"/>
        <v>-148.99572674974732</v>
      </c>
      <c r="E20" s="32">
        <f>'5 12 21 Forecast Usage by Sched'!M19</f>
        <v>187835269.75646251</v>
      </c>
      <c r="F20" s="32"/>
      <c r="G20" s="75">
        <v>14</v>
      </c>
      <c r="H20" s="52">
        <f t="shared" si="0"/>
        <v>44769</v>
      </c>
      <c r="I20" s="26">
        <f t="shared" si="4"/>
        <v>227874.90386494552</v>
      </c>
      <c r="J20" s="26">
        <f t="shared" si="5"/>
        <v>2429.5286631573563</v>
      </c>
      <c r="K20" s="32">
        <f>'5 12 21 Forecast Usage by Sched'!N19</f>
        <v>206015755.20368245</v>
      </c>
    </row>
    <row r="21" spans="1:11" x14ac:dyDescent="0.25">
      <c r="B21" s="27"/>
      <c r="C21" s="27"/>
      <c r="D21" s="27"/>
      <c r="E21" s="27"/>
      <c r="F21" s="27"/>
      <c r="G21" s="75"/>
      <c r="H21" s="27"/>
      <c r="I21" s="27"/>
      <c r="J21" s="27"/>
      <c r="K21" s="27"/>
    </row>
    <row r="22" spans="1:11" x14ac:dyDescent="0.25">
      <c r="A22" s="75">
        <v>15</v>
      </c>
      <c r="B22" s="27" t="s">
        <v>4</v>
      </c>
      <c r="C22" s="27"/>
      <c r="D22" s="26">
        <f>SUM(D9:D21)</f>
        <v>-16754.883881919737</v>
      </c>
      <c r="E22" s="33">
        <f>SUM(E9:E21)</f>
        <v>2471980587.6022091</v>
      </c>
      <c r="F22" s="33"/>
      <c r="G22" s="75">
        <v>15</v>
      </c>
      <c r="H22" s="27" t="s">
        <v>4</v>
      </c>
      <c r="I22" s="27"/>
      <c r="J22" s="26">
        <f>SUM(J9:J21)</f>
        <v>229435.15991380558</v>
      </c>
      <c r="K22" s="33">
        <f>SUM(K9:K21)</f>
        <v>2133927653.6697254</v>
      </c>
    </row>
    <row r="23" spans="1:11" x14ac:dyDescent="0.25">
      <c r="B23" s="27"/>
      <c r="C23" s="27"/>
      <c r="D23" s="26"/>
      <c r="E23" s="33"/>
      <c r="F23" s="33"/>
      <c r="G23" s="75"/>
      <c r="H23" s="27"/>
      <c r="I23" s="27"/>
      <c r="J23" s="26"/>
      <c r="K23" s="33"/>
    </row>
    <row r="24" spans="1:11" ht="28.15" customHeight="1" x14ac:dyDescent="0.25">
      <c r="A24" s="75">
        <v>16</v>
      </c>
      <c r="B24" s="154" t="s">
        <v>8</v>
      </c>
      <c r="C24" s="154"/>
      <c r="D24" s="28">
        <f>ROUND(D22/E22,5)</f>
        <v>-1.0000000000000001E-5</v>
      </c>
      <c r="E24" s="33"/>
      <c r="F24" s="33"/>
      <c r="G24" s="75">
        <v>16</v>
      </c>
      <c r="H24" s="154" t="s">
        <v>8</v>
      </c>
      <c r="I24" s="154"/>
      <c r="J24" s="28">
        <f>ROUND(J22/K22,5)</f>
        <v>1.1E-4</v>
      </c>
      <c r="K24" s="33"/>
    </row>
    <row r="25" spans="1:11" ht="28.15" customHeight="1" x14ac:dyDescent="0.25">
      <c r="A25" s="75">
        <v>17</v>
      </c>
      <c r="B25" s="154" t="s">
        <v>9</v>
      </c>
      <c r="C25" s="154"/>
      <c r="D25" s="28">
        <f>C7</f>
        <v>-4.2000000000000002E-4</v>
      </c>
      <c r="E25" s="33"/>
      <c r="F25" s="33"/>
      <c r="G25" s="75">
        <v>17</v>
      </c>
      <c r="H25" s="154" t="s">
        <v>9</v>
      </c>
      <c r="I25" s="154"/>
      <c r="J25" s="28">
        <f>I7</f>
        <v>6.5199999999999998E-3</v>
      </c>
      <c r="K25" s="33"/>
    </row>
    <row r="26" spans="1:11" ht="28.9" customHeight="1" x14ac:dyDescent="0.25">
      <c r="A26" s="75">
        <v>18</v>
      </c>
      <c r="B26" s="154" t="s">
        <v>10</v>
      </c>
      <c r="C26" s="154"/>
      <c r="D26" s="28">
        <f>D24+D25</f>
        <v>-4.3000000000000004E-4</v>
      </c>
      <c r="E26" s="34"/>
      <c r="F26" s="34"/>
      <c r="G26" s="75">
        <v>18</v>
      </c>
      <c r="H26" s="154" t="s">
        <v>10</v>
      </c>
      <c r="I26" s="154"/>
      <c r="J26" s="28">
        <f>J24+J25</f>
        <v>6.6299999999999996E-3</v>
      </c>
      <c r="K26" s="34"/>
    </row>
    <row r="27" spans="1:11" ht="28.9" customHeight="1" x14ac:dyDescent="0.25">
      <c r="A27" s="75">
        <v>19</v>
      </c>
      <c r="B27" s="156" t="s">
        <v>11</v>
      </c>
      <c r="C27" s="156"/>
      <c r="D27" s="29">
        <f>'Conversion Factor'!$E$114</f>
        <v>1.044905</v>
      </c>
      <c r="E27" s="33"/>
      <c r="F27" s="33"/>
      <c r="G27" s="75">
        <v>19</v>
      </c>
      <c r="H27" s="156" t="s">
        <v>11</v>
      </c>
      <c r="I27" s="156"/>
      <c r="J27" s="29">
        <f>D27</f>
        <v>1.044905</v>
      </c>
      <c r="K27" s="33"/>
    </row>
    <row r="28" spans="1:11" ht="30" customHeight="1" x14ac:dyDescent="0.25">
      <c r="A28" s="75">
        <v>20</v>
      </c>
      <c r="B28" s="27" t="s">
        <v>74</v>
      </c>
      <c r="C28" s="27"/>
      <c r="D28" s="28">
        <f>ROUND(D26*D27,5)</f>
        <v>-4.4999999999999999E-4</v>
      </c>
      <c r="E28" s="33"/>
      <c r="F28" s="33"/>
      <c r="G28" s="75">
        <v>20</v>
      </c>
      <c r="H28" s="27" t="s">
        <v>74</v>
      </c>
      <c r="I28" s="27"/>
      <c r="J28" s="28">
        <f>ROUND(J26*J27,5)</f>
        <v>6.9300000000000004E-3</v>
      </c>
      <c r="K28" s="33"/>
    </row>
    <row r="29" spans="1:11" ht="27.6" customHeight="1" x14ac:dyDescent="0.25">
      <c r="A29" s="75">
        <v>21</v>
      </c>
      <c r="B29" s="27" t="s">
        <v>67</v>
      </c>
      <c r="C29" s="27"/>
      <c r="D29" s="28">
        <f>'Earnings Test and 3% Test'!D55</f>
        <v>0</v>
      </c>
      <c r="E29" s="33"/>
      <c r="F29" s="33"/>
      <c r="G29" s="75">
        <v>21</v>
      </c>
      <c r="H29" s="27" t="s">
        <v>67</v>
      </c>
      <c r="I29" s="27"/>
      <c r="J29" s="28">
        <f>'Earnings Test and 3% Test'!E55</f>
        <v>-1.3999999999999999E-4</v>
      </c>
      <c r="K29" s="33"/>
    </row>
    <row r="30" spans="1:11" ht="27.6" customHeight="1" x14ac:dyDescent="0.25">
      <c r="A30" s="75">
        <v>22</v>
      </c>
      <c r="B30" s="27" t="s">
        <v>68</v>
      </c>
      <c r="C30" s="27"/>
      <c r="D30" s="28">
        <f>D28+D29</f>
        <v>-4.4999999999999999E-4</v>
      </c>
      <c r="E30" s="33" t="str">
        <f>IF(D30&lt;0,"Rebate Rate","Surcharge Rate")</f>
        <v>Rebate Rate</v>
      </c>
      <c r="F30" s="33"/>
      <c r="G30" s="75">
        <v>22</v>
      </c>
      <c r="H30" s="27" t="s">
        <v>68</v>
      </c>
      <c r="I30" s="27"/>
      <c r="J30" s="28">
        <f>J28+J29</f>
        <v>6.79E-3</v>
      </c>
      <c r="K30" s="33" t="str">
        <f>IF(J30&lt;0,"Rebate Rate","Surcharge Rate")</f>
        <v>Surcharge Rate</v>
      </c>
    </row>
    <row r="31" spans="1:11" ht="28.15" customHeight="1" x14ac:dyDescent="0.25">
      <c r="A31" s="75">
        <v>23</v>
      </c>
      <c r="B31" s="27"/>
      <c r="C31" s="30" t="s">
        <v>71</v>
      </c>
      <c r="D31" s="28">
        <f>ROUND(D30*'Conversion Factor'!$E$108,5)</f>
        <v>-4.2999999999999999E-4</v>
      </c>
      <c r="E31" s="33" t="s">
        <v>12</v>
      </c>
      <c r="F31" s="33"/>
      <c r="G31" s="75">
        <v>23</v>
      </c>
      <c r="H31" s="27"/>
      <c r="I31" s="30" t="s">
        <v>71</v>
      </c>
      <c r="J31" s="28">
        <f>ROUND(J30*'Conversion Factor'!$E$108,5)</f>
        <v>6.4999999999999997E-3</v>
      </c>
      <c r="K31" s="33" t="s">
        <v>12</v>
      </c>
    </row>
    <row r="32" spans="1:11" ht="29.45" customHeight="1" x14ac:dyDescent="0.25">
      <c r="A32" s="75">
        <v>24</v>
      </c>
      <c r="B32" s="27" t="s">
        <v>73</v>
      </c>
      <c r="C32" s="27"/>
      <c r="D32" s="26">
        <f>IF(D29=0,0,C68)</f>
        <v>0</v>
      </c>
      <c r="E32" s="33"/>
      <c r="F32" s="33"/>
      <c r="G32" s="75">
        <v>24</v>
      </c>
      <c r="H32" s="27" t="s">
        <v>73</v>
      </c>
      <c r="I32" s="27"/>
      <c r="J32" s="26">
        <f>IF(J29=0,0,I68)</f>
        <v>271257.41217132634</v>
      </c>
      <c r="K32" s="33"/>
    </row>
    <row r="33" spans="1:12" ht="18" customHeight="1" x14ac:dyDescent="0.25">
      <c r="B33" s="27"/>
      <c r="C33" s="27"/>
      <c r="D33" s="35"/>
      <c r="E33" s="27"/>
      <c r="F33" s="27"/>
      <c r="G33" s="27"/>
      <c r="H33" s="156"/>
      <c r="I33" s="156"/>
      <c r="J33" s="35"/>
      <c r="K33" s="27"/>
    </row>
    <row r="34" spans="1:12" ht="16.149999999999999" customHeight="1" x14ac:dyDescent="0.25">
      <c r="A34" s="53" t="s">
        <v>69</v>
      </c>
      <c r="B34" s="53"/>
      <c r="C34" s="27"/>
      <c r="D34" s="35"/>
      <c r="E34" s="27"/>
      <c r="F34" s="27"/>
      <c r="G34" s="53" t="s">
        <v>69</v>
      </c>
      <c r="H34" s="53"/>
      <c r="I34" s="27"/>
      <c r="J34" s="35"/>
      <c r="K34" s="27"/>
    </row>
    <row r="35" spans="1:12" ht="43.15" customHeight="1" x14ac:dyDescent="0.25">
      <c r="A35" s="83" t="s">
        <v>99</v>
      </c>
      <c r="B35" s="152" t="str">
        <f>"Deferral balance at the end of the month, Rate of "&amp;TEXT(D25,"$0.00000")&amp;" to recover the July 2021 balance of "&amp;TEXT(C8,"$000,000")&amp;" over 12 months.  See page 2 and 5 of Attachment A for July 2021 balance calculation."</f>
        <v>Deferral balance at the end of the month, Rate of -$0.00042 to recover the July 2021 balance of -$1,037,194 over 12 months.  See page 2 and 5 of Attachment A for July 2021 balance calculation.</v>
      </c>
      <c r="C35" s="152"/>
      <c r="D35" s="152"/>
      <c r="E35" s="152"/>
      <c r="F35" s="27"/>
      <c r="G35" s="83" t="s">
        <v>99</v>
      </c>
      <c r="H35" s="152" t="str">
        <f>"Deferral balance at the end of the month, Rate of "&amp;TEXT(J25,"$0.00000")&amp;" to recover the July 2021 balance of "&amp;TEXT(I8,"$000,000")&amp;" over 12 months.  See page 4 and 5 of Attachment A for July 2021 balance calculation."</f>
        <v>Deferral balance at the end of the month, Rate of $0.00652 to recover the July 2021 balance of $13,911,648 over 12 months.  See page 4 and 5 of Attachment A for July 2021 balance calculation.</v>
      </c>
      <c r="I35" s="152"/>
      <c r="J35" s="152"/>
      <c r="K35" s="152"/>
    </row>
    <row r="36" spans="1:12" ht="28.9" customHeight="1" x14ac:dyDescent="0.25">
      <c r="A36" s="83" t="s">
        <v>100</v>
      </c>
      <c r="B36" s="153" t="s">
        <v>101</v>
      </c>
      <c r="C36" s="153"/>
      <c r="D36" s="153"/>
      <c r="E36" s="153"/>
      <c r="F36" s="27"/>
      <c r="G36" s="83" t="s">
        <v>100</v>
      </c>
      <c r="H36" s="153" t="s">
        <v>101</v>
      </c>
      <c r="I36" s="153"/>
      <c r="J36" s="153"/>
      <c r="K36" s="153"/>
    </row>
    <row r="37" spans="1:12" ht="15.6" customHeight="1" x14ac:dyDescent="0.25">
      <c r="B37" s="57" t="s">
        <v>72</v>
      </c>
      <c r="C37" s="58"/>
      <c r="D37" s="58"/>
      <c r="E37" s="58"/>
      <c r="F37" s="27"/>
      <c r="H37" s="57" t="s">
        <v>72</v>
      </c>
      <c r="I37" s="80"/>
      <c r="J37" s="80"/>
      <c r="K37" s="80"/>
    </row>
    <row r="38" spans="1:12" ht="18" customHeight="1" x14ac:dyDescent="0.25">
      <c r="A38" s="98" t="s">
        <v>102</v>
      </c>
      <c r="B38" s="150" t="s">
        <v>190</v>
      </c>
      <c r="C38" s="150"/>
      <c r="D38" s="150"/>
      <c r="E38" s="150"/>
      <c r="F38" s="27"/>
      <c r="G38" s="98" t="s">
        <v>102</v>
      </c>
      <c r="H38" s="150" t="s">
        <v>190</v>
      </c>
      <c r="I38" s="150"/>
      <c r="J38" s="150"/>
      <c r="K38" s="150"/>
    </row>
    <row r="39" spans="1:12" ht="18" customHeight="1" x14ac:dyDescent="0.25">
      <c r="A39" s="98" t="s">
        <v>103</v>
      </c>
      <c r="B39" s="150" t="s">
        <v>118</v>
      </c>
      <c r="C39" s="150"/>
      <c r="D39" s="150"/>
      <c r="E39" s="150"/>
      <c r="F39" s="27"/>
      <c r="G39" s="98" t="s">
        <v>103</v>
      </c>
      <c r="H39" s="150" t="s">
        <v>118</v>
      </c>
      <c r="I39" s="150"/>
      <c r="J39" s="150"/>
      <c r="K39" s="150"/>
    </row>
    <row r="40" spans="1:12" ht="18" customHeight="1" x14ac:dyDescent="0.25">
      <c r="A40" s="98" t="s">
        <v>104</v>
      </c>
      <c r="B40" s="150" t="s">
        <v>105</v>
      </c>
      <c r="C40" s="150"/>
      <c r="D40" s="150"/>
      <c r="E40" s="150"/>
      <c r="F40" s="27"/>
      <c r="G40" s="98" t="s">
        <v>104</v>
      </c>
      <c r="H40" s="150" t="s">
        <v>119</v>
      </c>
      <c r="I40" s="150"/>
      <c r="J40" s="150"/>
      <c r="K40" s="150"/>
    </row>
    <row r="41" spans="1:12" ht="14.45" customHeight="1" x14ac:dyDescent="0.25">
      <c r="B41" s="61"/>
      <c r="C41" s="61"/>
      <c r="D41" s="35"/>
      <c r="E41" s="27"/>
      <c r="F41" s="27"/>
      <c r="G41" s="27"/>
      <c r="H41" s="61"/>
      <c r="I41" s="61"/>
      <c r="J41" s="35"/>
      <c r="K41" s="27"/>
    </row>
    <row r="42" spans="1:12" ht="27.6" customHeight="1" x14ac:dyDescent="0.3">
      <c r="B42" s="157" t="str">
        <f>B5</f>
        <v>Residential Electric</v>
      </c>
      <c r="C42" s="157"/>
      <c r="D42" s="157"/>
      <c r="E42" s="157"/>
      <c r="F42" s="59"/>
      <c r="G42" s="27"/>
      <c r="H42" s="157" t="str">
        <f>H5</f>
        <v>Non-Residential Electric</v>
      </c>
      <c r="I42" s="157"/>
      <c r="J42" s="157"/>
      <c r="K42" s="157"/>
    </row>
    <row r="43" spans="1:12" x14ac:dyDescent="0.25">
      <c r="B43" s="155" t="s">
        <v>179</v>
      </c>
      <c r="C43" s="155"/>
      <c r="D43" s="155"/>
      <c r="E43" s="155"/>
      <c r="F43" s="27"/>
      <c r="G43" s="27"/>
      <c r="H43" s="155" t="str">
        <f>B43</f>
        <v>Calculate Estimated Monthly Balances through July 2022</v>
      </c>
      <c r="I43" s="155"/>
      <c r="J43" s="155"/>
      <c r="K43" s="155"/>
    </row>
    <row r="44" spans="1:12" ht="27.6" customHeight="1" x14ac:dyDescent="0.25">
      <c r="A44" s="76" t="s">
        <v>92</v>
      </c>
      <c r="B44" s="27"/>
      <c r="C44" s="59" t="s">
        <v>7</v>
      </c>
      <c r="D44" s="59" t="s">
        <v>3</v>
      </c>
      <c r="E44" s="60" t="s">
        <v>70</v>
      </c>
      <c r="F44" s="122" t="s">
        <v>117</v>
      </c>
      <c r="G44" s="76" t="s">
        <v>92</v>
      </c>
      <c r="H44" s="27"/>
      <c r="I44" s="59" t="s">
        <v>7</v>
      </c>
      <c r="J44" s="59" t="s">
        <v>3</v>
      </c>
      <c r="K44" s="62" t="s">
        <v>70</v>
      </c>
      <c r="L44" s="122" t="s">
        <v>117</v>
      </c>
    </row>
    <row r="45" spans="1:12" x14ac:dyDescent="0.25">
      <c r="B45" s="27"/>
      <c r="C45" s="27"/>
      <c r="D45" s="56"/>
      <c r="E45" s="27"/>
      <c r="F45" s="27"/>
      <c r="G45" s="27"/>
      <c r="H45" s="27"/>
      <c r="I45" s="27"/>
      <c r="J45" s="56"/>
      <c r="K45" s="27"/>
    </row>
    <row r="46" spans="1:12" x14ac:dyDescent="0.25">
      <c r="A46" s="77">
        <v>1</v>
      </c>
      <c r="B46" s="52">
        <v>44166</v>
      </c>
      <c r="C46" s="134">
        <v>-810734.29</v>
      </c>
      <c r="D46" s="27"/>
      <c r="E46" s="27"/>
      <c r="F46" s="27"/>
      <c r="G46" s="77">
        <v>1</v>
      </c>
      <c r="H46" s="52">
        <f>B46</f>
        <v>44166</v>
      </c>
      <c r="I46" s="134">
        <v>11263209.41</v>
      </c>
      <c r="J46" s="27"/>
      <c r="K46" s="27"/>
    </row>
    <row r="47" spans="1:12" x14ac:dyDescent="0.25">
      <c r="A47" s="77">
        <v>2</v>
      </c>
      <c r="B47" s="52" t="s">
        <v>75</v>
      </c>
      <c r="C47" s="26">
        <f>-'Earnings Test and 3% Test'!E34</f>
        <v>0</v>
      </c>
      <c r="D47" s="27"/>
      <c r="E47" s="27"/>
      <c r="F47" s="27"/>
      <c r="G47" s="77">
        <v>2</v>
      </c>
      <c r="H47" s="52" t="s">
        <v>75</v>
      </c>
      <c r="I47" s="26">
        <f>-'Earnings Test and 3% Test'!E35</f>
        <v>0</v>
      </c>
      <c r="J47" s="27"/>
      <c r="K47" s="27"/>
    </row>
    <row r="48" spans="1:12" x14ac:dyDescent="0.25">
      <c r="A48" s="77">
        <v>3</v>
      </c>
      <c r="B48" s="52" t="s">
        <v>76</v>
      </c>
      <c r="C48" s="26">
        <f>C46+C47</f>
        <v>-810734.29</v>
      </c>
      <c r="D48" s="27"/>
      <c r="E48" s="27"/>
      <c r="F48" s="27"/>
      <c r="G48" s="77">
        <v>3</v>
      </c>
      <c r="H48" s="52" t="s">
        <v>76</v>
      </c>
      <c r="I48" s="26">
        <f>I46+I47</f>
        <v>11263209.41</v>
      </c>
      <c r="J48" s="27"/>
      <c r="K48" s="27"/>
    </row>
    <row r="49" spans="1:12" x14ac:dyDescent="0.25">
      <c r="A49" s="77">
        <v>4</v>
      </c>
      <c r="B49" s="52">
        <v>44197</v>
      </c>
      <c r="C49" s="26">
        <f>C48+D49-E49</f>
        <v>-812930.02870208339</v>
      </c>
      <c r="D49" s="26">
        <f>(C48-E49/2)*F49/12</f>
        <v>-2195.7387020833335</v>
      </c>
      <c r="E49" s="27"/>
      <c r="F49" s="35">
        <v>3.2500000000000001E-2</v>
      </c>
      <c r="G49" s="77">
        <v>4</v>
      </c>
      <c r="H49" s="52">
        <f>B49</f>
        <v>44197</v>
      </c>
      <c r="I49" s="26">
        <f>I48+J49-K49</f>
        <v>11293713.935485417</v>
      </c>
      <c r="J49" s="26">
        <f>(I48-K49/2)*L49/12</f>
        <v>30504.525485416667</v>
      </c>
      <c r="K49" s="27"/>
      <c r="L49" s="37">
        <f>F49</f>
        <v>3.2500000000000001E-2</v>
      </c>
    </row>
    <row r="50" spans="1:12" x14ac:dyDescent="0.25">
      <c r="A50" s="77">
        <v>5</v>
      </c>
      <c r="B50" s="52">
        <f>B49+31</f>
        <v>44228</v>
      </c>
      <c r="C50" s="26">
        <f t="shared" ref="C50:C55" si="6">C49+D50-E50</f>
        <v>-815131.71419648489</v>
      </c>
      <c r="D50" s="26">
        <f t="shared" ref="D50:D55" si="7">(C49-E50/2)*F50/12</f>
        <v>-2201.6854944014758</v>
      </c>
      <c r="E50" s="27"/>
      <c r="F50" s="123">
        <f>F49</f>
        <v>3.2500000000000001E-2</v>
      </c>
      <c r="G50" s="77">
        <v>5</v>
      </c>
      <c r="H50" s="52">
        <f t="shared" ref="H50:H68" si="8">B50</f>
        <v>44228</v>
      </c>
      <c r="I50" s="26">
        <f t="shared" ref="I50:I55" si="9">I49+J50-K50</f>
        <v>11324301.077394024</v>
      </c>
      <c r="J50" s="26">
        <f t="shared" ref="J50:J55" si="10">(I49-K50/2)*L50/12</f>
        <v>30587.14190860634</v>
      </c>
      <c r="K50" s="27"/>
      <c r="L50" s="37">
        <f t="shared" ref="L50:L68" si="11">F50</f>
        <v>3.2500000000000001E-2</v>
      </c>
    </row>
    <row r="51" spans="1:12" x14ac:dyDescent="0.25">
      <c r="A51" s="77">
        <v>6</v>
      </c>
      <c r="B51" s="52">
        <f t="shared" ref="B51:B55" si="12">B50+31</f>
        <v>44259</v>
      </c>
      <c r="C51" s="26">
        <f t="shared" si="6"/>
        <v>-817339.36258910038</v>
      </c>
      <c r="D51" s="26">
        <f t="shared" si="7"/>
        <v>-2207.6483926154801</v>
      </c>
      <c r="E51" s="27"/>
      <c r="F51" s="123">
        <f t="shared" ref="F51:F54" si="13">F50</f>
        <v>3.2500000000000001E-2</v>
      </c>
      <c r="G51" s="77">
        <v>6</v>
      </c>
      <c r="H51" s="52">
        <f t="shared" si="8"/>
        <v>44259</v>
      </c>
      <c r="I51" s="26">
        <f t="shared" si="9"/>
        <v>11354971.059478633</v>
      </c>
      <c r="J51" s="26">
        <f t="shared" si="10"/>
        <v>30669.982084608815</v>
      </c>
      <c r="K51" s="27"/>
      <c r="L51" s="37">
        <f t="shared" si="11"/>
        <v>3.2500000000000001E-2</v>
      </c>
    </row>
    <row r="52" spans="1:12" x14ac:dyDescent="0.25">
      <c r="A52" s="77">
        <v>7</v>
      </c>
      <c r="B52" s="52">
        <f t="shared" si="12"/>
        <v>44290</v>
      </c>
      <c r="C52" s="26">
        <f t="shared" si="6"/>
        <v>-819552.99002944585</v>
      </c>
      <c r="D52" s="26">
        <f t="shared" si="7"/>
        <v>-2213.6274403454804</v>
      </c>
      <c r="E52" s="27"/>
      <c r="F52" s="123">
        <v>3.2500000000000001E-2</v>
      </c>
      <c r="G52" s="77">
        <v>7</v>
      </c>
      <c r="H52" s="52">
        <f t="shared" si="8"/>
        <v>44290</v>
      </c>
      <c r="I52" s="26">
        <f t="shared" si="9"/>
        <v>11385724.106098054</v>
      </c>
      <c r="J52" s="26">
        <f t="shared" si="10"/>
        <v>30753.046619421297</v>
      </c>
      <c r="K52" s="27"/>
      <c r="L52" s="37">
        <f t="shared" si="11"/>
        <v>3.2500000000000001E-2</v>
      </c>
    </row>
    <row r="53" spans="1:12" x14ac:dyDescent="0.25">
      <c r="A53" s="77">
        <v>8</v>
      </c>
      <c r="B53" s="52">
        <f t="shared" si="12"/>
        <v>44321</v>
      </c>
      <c r="C53" s="26">
        <f t="shared" si="6"/>
        <v>-821772.61271077557</v>
      </c>
      <c r="D53" s="26">
        <f t="shared" si="7"/>
        <v>-2219.6226813297494</v>
      </c>
      <c r="E53" s="27"/>
      <c r="F53" s="123">
        <f t="shared" si="13"/>
        <v>3.2500000000000001E-2</v>
      </c>
      <c r="G53" s="77">
        <v>8</v>
      </c>
      <c r="H53" s="52">
        <f t="shared" si="8"/>
        <v>44321</v>
      </c>
      <c r="I53" s="26">
        <f t="shared" si="9"/>
        <v>11416560.442218736</v>
      </c>
      <c r="J53" s="26">
        <f t="shared" si="10"/>
        <v>30836.33612068223</v>
      </c>
      <c r="K53" s="27"/>
      <c r="L53" s="37">
        <f t="shared" si="11"/>
        <v>3.2500000000000001E-2</v>
      </c>
    </row>
    <row r="54" spans="1:12" x14ac:dyDescent="0.25">
      <c r="A54" s="77">
        <v>9</v>
      </c>
      <c r="B54" s="52">
        <f t="shared" si="12"/>
        <v>44352</v>
      </c>
      <c r="C54" s="26">
        <f t="shared" si="6"/>
        <v>-823998.24687020062</v>
      </c>
      <c r="D54" s="26">
        <f t="shared" si="7"/>
        <v>-2225.6341594250175</v>
      </c>
      <c r="E54" s="27"/>
      <c r="F54" s="123">
        <f t="shared" si="13"/>
        <v>3.2500000000000001E-2</v>
      </c>
      <c r="G54" s="77">
        <v>9</v>
      </c>
      <c r="H54" s="52">
        <f t="shared" si="8"/>
        <v>44352</v>
      </c>
      <c r="I54" s="26">
        <f t="shared" si="9"/>
        <v>11447480.293416411</v>
      </c>
      <c r="J54" s="26">
        <f t="shared" si="10"/>
        <v>30919.851197675744</v>
      </c>
      <c r="K54" s="27"/>
      <c r="L54" s="37">
        <f t="shared" si="11"/>
        <v>3.2500000000000001E-2</v>
      </c>
    </row>
    <row r="55" spans="1:12" x14ac:dyDescent="0.25">
      <c r="A55" s="77">
        <v>10</v>
      </c>
      <c r="B55" s="54">
        <f t="shared" si="12"/>
        <v>44383</v>
      </c>
      <c r="C55" s="55">
        <f t="shared" si="6"/>
        <v>-826229.90878880746</v>
      </c>
      <c r="D55" s="26">
        <f t="shared" si="7"/>
        <v>-2231.6619186067933</v>
      </c>
      <c r="E55" s="27"/>
      <c r="F55" s="123">
        <v>3.2500000000000001E-2</v>
      </c>
      <c r="G55" s="77">
        <v>10</v>
      </c>
      <c r="H55" s="54">
        <f t="shared" si="8"/>
        <v>44383</v>
      </c>
      <c r="I55" s="55">
        <f t="shared" si="9"/>
        <v>11478483.885877747</v>
      </c>
      <c r="J55" s="26">
        <f t="shared" si="10"/>
        <v>31003.592461336113</v>
      </c>
      <c r="K55" s="27"/>
      <c r="L55" s="37">
        <f t="shared" si="11"/>
        <v>3.2500000000000001E-2</v>
      </c>
    </row>
    <row r="56" spans="1:12" x14ac:dyDescent="0.25">
      <c r="A56" s="85">
        <v>14</v>
      </c>
      <c r="B56" s="97" t="s">
        <v>169</v>
      </c>
      <c r="C56" s="55">
        <f>'Prior Year Amortization'!F20</f>
        <v>-210964.44999999972</v>
      </c>
      <c r="D56" s="26"/>
      <c r="E56" s="27"/>
      <c r="F56" s="27"/>
      <c r="G56" s="85">
        <v>14</v>
      </c>
      <c r="H56" s="97" t="str">
        <f t="shared" si="8"/>
        <v xml:space="preserve">Prior Year Carryover Balance </v>
      </c>
      <c r="I56" s="55">
        <f>'Prior Year Amortization'!F37</f>
        <v>2433164.1600000029</v>
      </c>
      <c r="J56" s="26"/>
      <c r="K56" s="27"/>
    </row>
    <row r="57" spans="1:12" x14ac:dyDescent="0.25">
      <c r="A57" s="85">
        <v>15</v>
      </c>
      <c r="B57" s="52">
        <f>B55+31</f>
        <v>44414</v>
      </c>
      <c r="C57" s="26">
        <f>C55+D57+C56-E57</f>
        <v>-955863.7750655812</v>
      </c>
      <c r="D57" s="26">
        <f>(C55+C56-E57/2)*F57/12</f>
        <v>-2695.2830271618691</v>
      </c>
      <c r="E57" s="26">
        <f>E9*D$31</f>
        <v>-84025.866750387868</v>
      </c>
      <c r="F57" s="123">
        <f>F55</f>
        <v>3.2500000000000001E-2</v>
      </c>
      <c r="G57" s="85">
        <v>15</v>
      </c>
      <c r="H57" s="52">
        <f t="shared" si="8"/>
        <v>44414</v>
      </c>
      <c r="I57" s="26">
        <f>I55+J57+I56-K57</f>
        <v>12641766.91518916</v>
      </c>
      <c r="J57" s="26">
        <f>(I55+I56-K57/2)*L57/12</f>
        <v>35909.122489739922</v>
      </c>
      <c r="K57" s="26">
        <f t="shared" ref="K57:K68" si="14">K9*J$31</f>
        <v>1305790.2531783294</v>
      </c>
      <c r="L57" s="37">
        <f t="shared" si="11"/>
        <v>3.2500000000000001E-2</v>
      </c>
    </row>
    <row r="58" spans="1:12" x14ac:dyDescent="0.25">
      <c r="A58" s="85">
        <v>16</v>
      </c>
      <c r="B58" s="52">
        <f t="shared" ref="B58:B67" si="15">B57+31</f>
        <v>44445</v>
      </c>
      <c r="C58" s="26">
        <f t="shared" ref="C58:C67" si="16">C57+D58-E58</f>
        <v>-891782.9139414489</v>
      </c>
      <c r="D58" s="26">
        <f t="shared" ref="D58:D68" si="17">(C57-E58/2)*F58/12</f>
        <v>-2498.6379857579727</v>
      </c>
      <c r="E58" s="26">
        <f t="shared" ref="E58:E68" si="18">E10*D$31</f>
        <v>-66579.499109890356</v>
      </c>
      <c r="F58" s="123">
        <f t="shared" ref="F58:F68" si="19">F57</f>
        <v>3.2500000000000001E-2</v>
      </c>
      <c r="G58" s="85">
        <v>16</v>
      </c>
      <c r="H58" s="52">
        <f t="shared" si="8"/>
        <v>44445</v>
      </c>
      <c r="I58" s="26">
        <f t="shared" ref="I58:I68" si="20">I57+J58-K58</f>
        <v>11559963.72749953</v>
      </c>
      <c r="J58" s="26">
        <f>(I57-K58/2)*L58/12</f>
        <v>32728.856585348276</v>
      </c>
      <c r="K58" s="26">
        <f t="shared" si="14"/>
        <v>1114532.0442749793</v>
      </c>
      <c r="L58" s="37">
        <f t="shared" si="11"/>
        <v>3.2500000000000001E-2</v>
      </c>
    </row>
    <row r="59" spans="1:12" ht="14.45" customHeight="1" x14ac:dyDescent="0.25">
      <c r="A59" s="85">
        <v>17</v>
      </c>
      <c r="B59" s="52">
        <f t="shared" si="15"/>
        <v>44476</v>
      </c>
      <c r="C59" s="26">
        <f t="shared" si="16"/>
        <v>-816894.47383700137</v>
      </c>
      <c r="D59" s="26">
        <f t="shared" si="17"/>
        <v>-2310.7048830874705</v>
      </c>
      <c r="E59" s="26">
        <f t="shared" si="18"/>
        <v>-77199.14498753495</v>
      </c>
      <c r="F59" s="123">
        <f t="shared" si="19"/>
        <v>3.2500000000000001E-2</v>
      </c>
      <c r="G59" s="85">
        <v>17</v>
      </c>
      <c r="H59" s="52">
        <f t="shared" si="8"/>
        <v>44476</v>
      </c>
      <c r="I59" s="26">
        <f t="shared" si="20"/>
        <v>10446081.032757632</v>
      </c>
      <c r="J59" s="26">
        <f t="shared" ref="J59:J68" si="21">(I58-K59/2)*L59/12</f>
        <v>29759.552884983161</v>
      </c>
      <c r="K59" s="26">
        <f t="shared" si="14"/>
        <v>1143642.2476268797</v>
      </c>
      <c r="L59" s="37">
        <f t="shared" si="11"/>
        <v>3.2500000000000001E-2</v>
      </c>
    </row>
    <row r="60" spans="1:12" x14ac:dyDescent="0.25">
      <c r="A60" s="85">
        <v>18</v>
      </c>
      <c r="B60" s="52">
        <f t="shared" si="15"/>
        <v>44507</v>
      </c>
      <c r="C60" s="26">
        <f t="shared" si="16"/>
        <v>-720659.0545157016</v>
      </c>
      <c r="D60" s="26">
        <f t="shared" si="17"/>
        <v>-2079.2880337652282</v>
      </c>
      <c r="E60" s="26">
        <f t="shared" si="18"/>
        <v>-98314.707355065068</v>
      </c>
      <c r="F60" s="123">
        <f t="shared" si="19"/>
        <v>3.2500000000000001E-2</v>
      </c>
      <c r="G60" s="85">
        <v>18</v>
      </c>
      <c r="H60" s="52">
        <f t="shared" si="8"/>
        <v>44507</v>
      </c>
      <c r="I60" s="26">
        <f t="shared" si="20"/>
        <v>9345699.4364663158</v>
      </c>
      <c r="J60" s="26">
        <f t="shared" si="21"/>
        <v>26765.124945377233</v>
      </c>
      <c r="K60" s="26">
        <f t="shared" si="14"/>
        <v>1127146.7212366951</v>
      </c>
      <c r="L60" s="37">
        <f t="shared" si="11"/>
        <v>3.2500000000000001E-2</v>
      </c>
    </row>
    <row r="61" spans="1:12" x14ac:dyDescent="0.25">
      <c r="A61" s="85">
        <v>19</v>
      </c>
      <c r="B61" s="52">
        <f t="shared" si="15"/>
        <v>44538</v>
      </c>
      <c r="C61" s="26">
        <f t="shared" si="16"/>
        <v>-598276.04115527391</v>
      </c>
      <c r="D61" s="26">
        <f t="shared" si="17"/>
        <v>-1783.6425927101511</v>
      </c>
      <c r="E61" s="26">
        <f t="shared" si="18"/>
        <v>-124166.65595313777</v>
      </c>
      <c r="F61" s="123">
        <f t="shared" si="19"/>
        <v>3.2500000000000001E-2</v>
      </c>
      <c r="G61" s="85">
        <v>19</v>
      </c>
      <c r="H61" s="52">
        <f t="shared" si="8"/>
        <v>44538</v>
      </c>
      <c r="I61" s="26">
        <f t="shared" si="20"/>
        <v>8151963.7215597183</v>
      </c>
      <c r="J61" s="26">
        <f t="shared" si="21"/>
        <v>23662.708941468682</v>
      </c>
      <c r="K61" s="26">
        <f t="shared" si="14"/>
        <v>1217398.4238480667</v>
      </c>
      <c r="L61" s="37">
        <f t="shared" si="11"/>
        <v>3.2500000000000001E-2</v>
      </c>
    </row>
    <row r="62" spans="1:12" x14ac:dyDescent="0.25">
      <c r="A62" s="85">
        <v>20</v>
      </c>
      <c r="B62" s="52">
        <f t="shared" si="15"/>
        <v>44569</v>
      </c>
      <c r="C62" s="26">
        <f t="shared" si="16"/>
        <v>-475397.89374562283</v>
      </c>
      <c r="D62" s="26">
        <f t="shared" si="17"/>
        <v>-1451.9672478634827</v>
      </c>
      <c r="E62" s="26">
        <f t="shared" si="18"/>
        <v>-124330.11465751458</v>
      </c>
      <c r="F62" s="123">
        <f t="shared" si="19"/>
        <v>3.2500000000000001E-2</v>
      </c>
      <c r="G62" s="85">
        <v>20</v>
      </c>
      <c r="H62" s="52">
        <f t="shared" si="8"/>
        <v>44569</v>
      </c>
      <c r="I62" s="26">
        <f t="shared" si="20"/>
        <v>6961410.677980613</v>
      </c>
      <c r="J62" s="26">
        <f t="shared" si="21"/>
        <v>20438.35089920153</v>
      </c>
      <c r="K62" s="26">
        <f t="shared" si="14"/>
        <v>1210991.3944783076</v>
      </c>
      <c r="L62" s="37">
        <f t="shared" si="11"/>
        <v>3.2500000000000001E-2</v>
      </c>
    </row>
    <row r="63" spans="1:12" x14ac:dyDescent="0.25">
      <c r="A63" s="85">
        <v>21</v>
      </c>
      <c r="B63" s="52">
        <f t="shared" si="15"/>
        <v>44600</v>
      </c>
      <c r="C63" s="26">
        <f t="shared" si="16"/>
        <v>-374656.84309664764</v>
      </c>
      <c r="D63" s="26">
        <f t="shared" si="17"/>
        <v>-1149.5590948662766</v>
      </c>
      <c r="E63" s="26">
        <f t="shared" si="18"/>
        <v>-101890.60974384144</v>
      </c>
      <c r="F63" s="123">
        <f t="shared" si="19"/>
        <v>3.2500000000000001E-2</v>
      </c>
      <c r="G63" s="85">
        <v>21</v>
      </c>
      <c r="H63" s="52">
        <f t="shared" si="8"/>
        <v>44600</v>
      </c>
      <c r="I63" s="26">
        <f t="shared" si="20"/>
        <v>5907813.553244533</v>
      </c>
      <c r="J63" s="26">
        <f t="shared" si="21"/>
        <v>17403.507230409541</v>
      </c>
      <c r="K63" s="26">
        <f t="shared" si="14"/>
        <v>1071000.6319664891</v>
      </c>
      <c r="L63" s="37">
        <f t="shared" si="11"/>
        <v>3.2500000000000001E-2</v>
      </c>
    </row>
    <row r="64" spans="1:12" x14ac:dyDescent="0.25">
      <c r="A64" s="85">
        <v>22</v>
      </c>
      <c r="B64" s="52">
        <f t="shared" si="15"/>
        <v>44631</v>
      </c>
      <c r="C64" s="26">
        <f t="shared" si="16"/>
        <v>-279978.71663005475</v>
      </c>
      <c r="D64" s="26">
        <f t="shared" si="17"/>
        <v>-885.28682788381684</v>
      </c>
      <c r="E64" s="26">
        <f t="shared" si="18"/>
        <v>-95563.413294476719</v>
      </c>
      <c r="F64" s="123">
        <f t="shared" si="19"/>
        <v>3.2500000000000001E-2</v>
      </c>
      <c r="G64" s="85">
        <v>22</v>
      </c>
      <c r="H64" s="52">
        <f t="shared" si="8"/>
        <v>44631</v>
      </c>
      <c r="I64" s="26">
        <f t="shared" si="20"/>
        <v>4816466.3011454279</v>
      </c>
      <c r="J64" s="26">
        <f t="shared" si="21"/>
        <v>14502.823063254915</v>
      </c>
      <c r="K64" s="26">
        <f t="shared" si="14"/>
        <v>1105850.0751623602</v>
      </c>
      <c r="L64" s="37">
        <f t="shared" si="11"/>
        <v>3.2500000000000001E-2</v>
      </c>
    </row>
    <row r="65" spans="1:12" x14ac:dyDescent="0.25">
      <c r="A65" s="85">
        <v>23</v>
      </c>
      <c r="B65" s="52">
        <f t="shared" si="15"/>
        <v>44662</v>
      </c>
      <c r="C65" s="26">
        <f t="shared" si="16"/>
        <v>-205116.05429665686</v>
      </c>
      <c r="D65" s="26">
        <f t="shared" si="17"/>
        <v>-656.01082097651636</v>
      </c>
      <c r="E65" s="26">
        <f t="shared" si="18"/>
        <v>-75518.67315437441</v>
      </c>
      <c r="F65" s="123">
        <f t="shared" si="19"/>
        <v>3.2500000000000001E-2</v>
      </c>
      <c r="G65" s="85">
        <v>23</v>
      </c>
      <c r="H65" s="52">
        <f t="shared" si="8"/>
        <v>44662</v>
      </c>
      <c r="I65" s="26">
        <f t="shared" si="20"/>
        <v>3814923.965767066</v>
      </c>
      <c r="J65" s="26">
        <f t="shared" si="21"/>
        <v>11672.534429404184</v>
      </c>
      <c r="K65" s="26">
        <f t="shared" si="14"/>
        <v>1013214.8698077661</v>
      </c>
      <c r="L65" s="37">
        <f t="shared" si="11"/>
        <v>3.2500000000000001E-2</v>
      </c>
    </row>
    <row r="66" spans="1:12" x14ac:dyDescent="0.25">
      <c r="A66" s="85">
        <v>24</v>
      </c>
      <c r="B66" s="52">
        <f t="shared" si="15"/>
        <v>44693</v>
      </c>
      <c r="C66" s="26">
        <f t="shared" si="16"/>
        <v>-137307.07174557255</v>
      </c>
      <c r="D66" s="26">
        <f t="shared" si="17"/>
        <v>-463.07090799427675</v>
      </c>
      <c r="E66" s="26">
        <f t="shared" si="18"/>
        <v>-68272.053459078597</v>
      </c>
      <c r="F66" s="123">
        <f t="shared" si="19"/>
        <v>3.2500000000000001E-2</v>
      </c>
      <c r="G66" s="85">
        <v>24</v>
      </c>
      <c r="H66" s="52">
        <f t="shared" si="8"/>
        <v>44693</v>
      </c>
      <c r="I66" s="26">
        <f t="shared" si="20"/>
        <v>2744151.3327603522</v>
      </c>
      <c r="J66" s="26">
        <f t="shared" si="21"/>
        <v>8870.0695808651253</v>
      </c>
      <c r="K66" s="26">
        <f t="shared" si="14"/>
        <v>1079642.7025875789</v>
      </c>
      <c r="L66" s="37">
        <f t="shared" si="11"/>
        <v>3.2500000000000001E-2</v>
      </c>
    </row>
    <row r="67" spans="1:12" x14ac:dyDescent="0.25">
      <c r="A67" s="85">
        <v>25</v>
      </c>
      <c r="B67" s="52">
        <f t="shared" si="15"/>
        <v>44724</v>
      </c>
      <c r="C67" s="26">
        <f t="shared" si="16"/>
        <v>-71267.386155815533</v>
      </c>
      <c r="D67" s="26">
        <f t="shared" si="17"/>
        <v>-282.06261861209254</v>
      </c>
      <c r="E67" s="26">
        <f t="shared" si="18"/>
        <v>-66321.748208369099</v>
      </c>
      <c r="F67" s="123">
        <f t="shared" si="19"/>
        <v>3.2500000000000001E-2</v>
      </c>
      <c r="G67" s="85">
        <v>25</v>
      </c>
      <c r="H67" s="52">
        <f t="shared" si="8"/>
        <v>44724</v>
      </c>
      <c r="I67" s="26">
        <f t="shared" si="20"/>
        <v>1607818.6799157728</v>
      </c>
      <c r="J67" s="26">
        <f t="shared" si="21"/>
        <v>5885.3230172463982</v>
      </c>
      <c r="K67" s="26">
        <f t="shared" si="14"/>
        <v>1142217.975861826</v>
      </c>
      <c r="L67" s="37">
        <f t="shared" si="11"/>
        <v>3.2500000000000001E-2</v>
      </c>
    </row>
    <row r="68" spans="1:12" x14ac:dyDescent="0.25">
      <c r="A68" s="85">
        <v>26</v>
      </c>
      <c r="B68" s="54">
        <f>B67+31</f>
        <v>44755</v>
      </c>
      <c r="C68" s="55">
        <f>C67+D68-E68</f>
        <v>9418.138914243289</v>
      </c>
      <c r="D68" s="26">
        <f t="shared" si="17"/>
        <v>-83.640925220060254</v>
      </c>
      <c r="E68" s="26">
        <f t="shared" si="18"/>
        <v>-80769.165995278876</v>
      </c>
      <c r="F68" s="123">
        <f t="shared" si="19"/>
        <v>3.2500000000000001E-2</v>
      </c>
      <c r="G68" s="77">
        <v>26</v>
      </c>
      <c r="H68" s="54">
        <f t="shared" si="8"/>
        <v>44755</v>
      </c>
      <c r="I68" s="55">
        <f t="shared" si="20"/>
        <v>271257.41217132634</v>
      </c>
      <c r="J68" s="26">
        <f t="shared" si="21"/>
        <v>2541.1410794894714</v>
      </c>
      <c r="K68" s="26">
        <f t="shared" si="14"/>
        <v>1339102.4088239358</v>
      </c>
      <c r="L68" s="37">
        <f t="shared" si="11"/>
        <v>3.2500000000000001E-2</v>
      </c>
    </row>
    <row r="69" spans="1:12" x14ac:dyDescent="0.25">
      <c r="B69" s="27"/>
      <c r="C69" s="27"/>
      <c r="D69" s="27"/>
      <c r="E69" s="27"/>
    </row>
    <row r="70" spans="1:12" x14ac:dyDescent="0.25">
      <c r="A70" s="87">
        <v>27</v>
      </c>
      <c r="B70" s="30" t="s">
        <v>93</v>
      </c>
      <c r="C70" s="27"/>
      <c r="D70" s="26">
        <f>SUM(D49:D69)</f>
        <v>-31834.773754706544</v>
      </c>
      <c r="E70" s="26">
        <f>SUM(E57:E68)</f>
        <v>-1062951.6526689497</v>
      </c>
      <c r="G70" s="87">
        <v>27</v>
      </c>
      <c r="H70" s="30" t="s">
        <v>93</v>
      </c>
      <c r="I70" s="27"/>
      <c r="J70" s="26">
        <f>SUM(J49:J69)</f>
        <v>445413.59102453571</v>
      </c>
      <c r="K70" s="26">
        <f>SUM(K57:K68)</f>
        <v>13870529.748853212</v>
      </c>
    </row>
    <row r="71" spans="1:12" x14ac:dyDescent="0.25">
      <c r="A71" s="87"/>
      <c r="B71" s="30"/>
      <c r="C71" s="27"/>
      <c r="D71" s="26"/>
      <c r="E71" s="26"/>
      <c r="G71" s="87"/>
      <c r="H71" s="30"/>
      <c r="I71" s="27"/>
      <c r="J71" s="26"/>
      <c r="K71" s="26"/>
    </row>
    <row r="72" spans="1:12" x14ac:dyDescent="0.25">
      <c r="B72" s="44" t="s">
        <v>98</v>
      </c>
      <c r="H72" s="44" t="s">
        <v>97</v>
      </c>
    </row>
    <row r="73" spans="1:12" x14ac:dyDescent="0.25">
      <c r="A73" s="87">
        <v>28</v>
      </c>
      <c r="B73" t="s">
        <v>180</v>
      </c>
      <c r="C73" s="81">
        <f>C46</f>
        <v>-810734.29</v>
      </c>
      <c r="G73" s="87">
        <v>28</v>
      </c>
      <c r="H73" t="s">
        <v>180</v>
      </c>
      <c r="I73" s="81">
        <f>I46</f>
        <v>11263209.41</v>
      </c>
    </row>
    <row r="74" spans="1:12" x14ac:dyDescent="0.25">
      <c r="A74" s="87">
        <v>29</v>
      </c>
      <c r="B74" t="s">
        <v>94</v>
      </c>
      <c r="C74" s="81">
        <f>C47</f>
        <v>0</v>
      </c>
      <c r="G74" s="87">
        <v>29</v>
      </c>
      <c r="H74" t="s">
        <v>94</v>
      </c>
      <c r="I74" s="81">
        <f>I47</f>
        <v>0</v>
      </c>
    </row>
    <row r="75" spans="1:12" x14ac:dyDescent="0.25">
      <c r="A75" s="87">
        <v>30</v>
      </c>
      <c r="B75" t="s">
        <v>170</v>
      </c>
      <c r="C75" s="81">
        <f>C56</f>
        <v>-210964.44999999972</v>
      </c>
      <c r="G75" s="87">
        <v>30</v>
      </c>
      <c r="H75" t="s">
        <v>170</v>
      </c>
      <c r="I75" s="81">
        <f>I56</f>
        <v>2433164.1600000029</v>
      </c>
    </row>
    <row r="76" spans="1:12" x14ac:dyDescent="0.25">
      <c r="A76" s="87">
        <v>31</v>
      </c>
      <c r="B76" t="s">
        <v>181</v>
      </c>
      <c r="C76" s="81">
        <f>D70</f>
        <v>-31834.773754706544</v>
      </c>
      <c r="G76" s="87">
        <v>31</v>
      </c>
      <c r="H76" t="s">
        <v>181</v>
      </c>
      <c r="I76" s="81">
        <f>J70</f>
        <v>445413.59102453571</v>
      </c>
    </row>
    <row r="77" spans="1:12" x14ac:dyDescent="0.25">
      <c r="A77" s="87">
        <v>32</v>
      </c>
      <c r="B77" t="s">
        <v>108</v>
      </c>
      <c r="C77" s="81">
        <f>(D30-D31)*E22-C68</f>
        <v>-58857.750666287466</v>
      </c>
      <c r="G77" s="87">
        <v>32</v>
      </c>
      <c r="H77" t="s">
        <v>108</v>
      </c>
      <c r="I77" s="81">
        <f>(J30-J31)*K22-0</f>
        <v>618839.01956422103</v>
      </c>
    </row>
    <row r="78" spans="1:12" x14ac:dyDescent="0.25">
      <c r="A78" s="87">
        <v>33</v>
      </c>
      <c r="B78" t="s">
        <v>192</v>
      </c>
      <c r="C78" s="82">
        <f>SUM(C73:C77)</f>
        <v>-1112391.2644209939</v>
      </c>
      <c r="G78" s="87">
        <v>33</v>
      </c>
      <c r="H78" t="s">
        <v>107</v>
      </c>
      <c r="I78" s="82">
        <f>SUM(I73:I77)</f>
        <v>14760626.180588761</v>
      </c>
    </row>
    <row r="79" spans="1:12" x14ac:dyDescent="0.25">
      <c r="A79" s="87">
        <v>34</v>
      </c>
      <c r="B79" t="s">
        <v>193</v>
      </c>
      <c r="C79" s="81">
        <f>D30*E22</f>
        <v>-1112391.2644209941</v>
      </c>
      <c r="G79" s="87">
        <v>34</v>
      </c>
      <c r="H79" t="s">
        <v>95</v>
      </c>
      <c r="I79" s="81">
        <f>J30*K22</f>
        <v>14489368.768417435</v>
      </c>
    </row>
    <row r="80" spans="1:12" x14ac:dyDescent="0.25">
      <c r="A80" s="87">
        <v>35</v>
      </c>
      <c r="B80" t="s">
        <v>96</v>
      </c>
      <c r="C80" s="81">
        <f>C78-C79</f>
        <v>0</v>
      </c>
      <c r="G80" s="87">
        <v>35</v>
      </c>
      <c r="H80" t="s">
        <v>96</v>
      </c>
      <c r="I80" s="81">
        <f>I78-I79</f>
        <v>271257.41217132658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topLeftCell="A10" zoomScaleNormal="100" workbookViewId="0">
      <selection activeCell="I27" sqref="I27"/>
    </sheetView>
  </sheetViews>
  <sheetFormatPr defaultRowHeight="15" x14ac:dyDescent="0.25"/>
  <cols>
    <col min="1" max="1" width="4.140625" customWidth="1"/>
    <col min="3" max="3" width="16.28515625" customWidth="1"/>
    <col min="4" max="4" width="11.28515625" customWidth="1"/>
    <col min="5" max="5" width="14" customWidth="1"/>
    <col min="6" max="6" width="15.28515625" customWidth="1"/>
    <col min="7" max="7" width="8.28515625" customWidth="1"/>
    <col min="8" max="8" width="13.28515625" customWidth="1"/>
    <col min="9" max="9" width="0.7109375" customWidth="1"/>
    <col min="10" max="10" width="4.28515625" customWidth="1"/>
    <col min="11" max="12" width="11.5703125" bestFit="1" customWidth="1"/>
  </cols>
  <sheetData>
    <row r="1" spans="1:9" x14ac:dyDescent="0.25">
      <c r="B1" s="151" t="s">
        <v>0</v>
      </c>
      <c r="C1" s="151"/>
      <c r="D1" s="151"/>
      <c r="E1" s="151"/>
      <c r="F1" s="151"/>
      <c r="G1" s="151"/>
      <c r="H1" s="151"/>
    </row>
    <row r="2" spans="1:9" x14ac:dyDescent="0.25">
      <c r="B2" s="151" t="s">
        <v>113</v>
      </c>
      <c r="C2" s="151"/>
      <c r="D2" s="151"/>
      <c r="E2" s="151"/>
      <c r="F2" s="151"/>
      <c r="G2" s="151"/>
      <c r="H2" s="151"/>
    </row>
    <row r="3" spans="1:9" x14ac:dyDescent="0.25">
      <c r="B3" s="151" t="s">
        <v>196</v>
      </c>
      <c r="C3" s="151"/>
      <c r="D3" s="151"/>
      <c r="E3" s="151"/>
      <c r="F3" s="151"/>
      <c r="G3" s="151"/>
      <c r="H3" s="151"/>
    </row>
    <row r="4" spans="1:9" x14ac:dyDescent="0.25">
      <c r="B4" s="159" t="s">
        <v>189</v>
      </c>
      <c r="C4" s="159"/>
      <c r="D4" s="159"/>
      <c r="E4" s="159"/>
      <c r="F4" s="159"/>
      <c r="G4" s="159"/>
      <c r="H4" s="159"/>
    </row>
    <row r="6" spans="1:9" x14ac:dyDescent="0.25">
      <c r="B6" s="151" t="s">
        <v>115</v>
      </c>
      <c r="C6" s="151"/>
      <c r="D6" s="151"/>
      <c r="E6" s="151"/>
      <c r="F6" s="151"/>
      <c r="G6" s="151"/>
      <c r="H6" s="151"/>
    </row>
    <row r="7" spans="1:9" ht="43.9" customHeight="1" x14ac:dyDescent="0.25">
      <c r="A7" s="92" t="s">
        <v>92</v>
      </c>
      <c r="B7" s="87" t="s">
        <v>2</v>
      </c>
      <c r="C7" s="86" t="s">
        <v>116</v>
      </c>
      <c r="D7" s="87" t="s">
        <v>3</v>
      </c>
      <c r="E7" s="87" t="s">
        <v>70</v>
      </c>
      <c r="F7" s="86" t="s">
        <v>114</v>
      </c>
      <c r="G7" s="86" t="s">
        <v>117</v>
      </c>
      <c r="H7" s="86" t="s">
        <v>168</v>
      </c>
    </row>
    <row r="9" spans="1:9" x14ac:dyDescent="0.25">
      <c r="A9" s="87">
        <v>1</v>
      </c>
      <c r="B9" s="93">
        <v>44044</v>
      </c>
      <c r="C9" s="137">
        <f>4289422.95+1214479.76</f>
        <v>5503902.71</v>
      </c>
      <c r="D9" s="96">
        <f>ROUND(((C9+C9+E9)/2)*G9/12,2)</f>
        <v>15043.32</v>
      </c>
      <c r="E9" s="137">
        <v>-481866.08</v>
      </c>
      <c r="F9" s="95">
        <f>C9+D9+E9</f>
        <v>5037079.95</v>
      </c>
      <c r="G9" s="140">
        <v>3.4299999999999997E-2</v>
      </c>
      <c r="I9" s="95"/>
    </row>
    <row r="10" spans="1:9" x14ac:dyDescent="0.25">
      <c r="A10" s="87">
        <v>2</v>
      </c>
      <c r="B10" s="93">
        <f>B9+31</f>
        <v>44075</v>
      </c>
      <c r="C10" s="94">
        <f>F9</f>
        <v>5037079.95</v>
      </c>
      <c r="D10" s="96">
        <f t="shared" ref="D10:D17" si="0">ROUND(((C10+C10+E10)/2)*G10/12,2)</f>
        <v>13834.34</v>
      </c>
      <c r="E10" s="137">
        <v>-394152.69</v>
      </c>
      <c r="F10" s="95">
        <f t="shared" ref="F10:F17" si="1">C10+D10+E10</f>
        <v>4656761.5999999996</v>
      </c>
      <c r="G10" s="37">
        <f>G9</f>
        <v>3.4299999999999997E-2</v>
      </c>
    </row>
    <row r="11" spans="1:9" x14ac:dyDescent="0.25">
      <c r="A11" s="87">
        <v>3</v>
      </c>
      <c r="B11" s="93">
        <f t="shared" ref="B11:B20" si="2">B10+31</f>
        <v>44106</v>
      </c>
      <c r="C11" s="94">
        <f t="shared" ref="C11:C17" si="3">F10</f>
        <v>4656761.5999999996</v>
      </c>
      <c r="D11" s="96">
        <f t="shared" si="0"/>
        <v>12063.13</v>
      </c>
      <c r="E11" s="137">
        <v>-405363.43</v>
      </c>
      <c r="F11" s="95">
        <f t="shared" si="1"/>
        <v>4263461.3</v>
      </c>
      <c r="G11" s="140">
        <v>3.2500000000000001E-2</v>
      </c>
    </row>
    <row r="12" spans="1:9" x14ac:dyDescent="0.25">
      <c r="A12" s="87">
        <v>4</v>
      </c>
      <c r="B12" s="93">
        <f t="shared" si="2"/>
        <v>44137</v>
      </c>
      <c r="C12" s="94">
        <f t="shared" si="3"/>
        <v>4263461.3</v>
      </c>
      <c r="D12" s="96">
        <f t="shared" si="0"/>
        <v>10818.48</v>
      </c>
      <c r="E12" s="137">
        <v>-537894.43999999994</v>
      </c>
      <c r="F12" s="95">
        <f t="shared" si="1"/>
        <v>3736385.3400000003</v>
      </c>
      <c r="G12" s="37">
        <f>G11</f>
        <v>3.2500000000000001E-2</v>
      </c>
    </row>
    <row r="13" spans="1:9" x14ac:dyDescent="0.25">
      <c r="A13" s="87">
        <v>5</v>
      </c>
      <c r="B13" s="93">
        <f t="shared" si="2"/>
        <v>44168</v>
      </c>
      <c r="C13" s="94">
        <f t="shared" si="3"/>
        <v>3736385.3400000003</v>
      </c>
      <c r="D13" s="96">
        <f t="shared" si="0"/>
        <v>9251.27</v>
      </c>
      <c r="E13" s="137">
        <v>-641065.5</v>
      </c>
      <c r="F13" s="95">
        <f t="shared" si="1"/>
        <v>3104571.1100000003</v>
      </c>
      <c r="G13" s="37">
        <f>G12</f>
        <v>3.2500000000000001E-2</v>
      </c>
    </row>
    <row r="14" spans="1:9" x14ac:dyDescent="0.25">
      <c r="A14" s="87">
        <v>6</v>
      </c>
      <c r="B14" s="93">
        <f t="shared" si="2"/>
        <v>44199</v>
      </c>
      <c r="C14" s="94">
        <f t="shared" si="3"/>
        <v>3104571.1100000003</v>
      </c>
      <c r="D14" s="96">
        <f t="shared" si="0"/>
        <v>7609.64</v>
      </c>
      <c r="E14" s="137">
        <v>-589719.35</v>
      </c>
      <c r="F14" s="95">
        <f t="shared" si="1"/>
        <v>2522461.4000000004</v>
      </c>
      <c r="G14" s="140">
        <v>3.2500000000000001E-2</v>
      </c>
    </row>
    <row r="15" spans="1:9" x14ac:dyDescent="0.25">
      <c r="A15" s="87">
        <v>7</v>
      </c>
      <c r="B15" s="93">
        <f t="shared" si="2"/>
        <v>44230</v>
      </c>
      <c r="C15" s="94">
        <f t="shared" si="3"/>
        <v>2522461.4000000004</v>
      </c>
      <c r="D15" s="96">
        <f t="shared" si="0"/>
        <v>6063.34</v>
      </c>
      <c r="E15" s="137">
        <v>-567377.80000000005</v>
      </c>
      <c r="F15" s="95">
        <f t="shared" si="1"/>
        <v>1961146.9400000002</v>
      </c>
      <c r="G15" s="37">
        <f t="shared" ref="G15:G20" si="4">G14</f>
        <v>3.2500000000000001E-2</v>
      </c>
      <c r="H15" s="72"/>
    </row>
    <row r="16" spans="1:9" x14ac:dyDescent="0.25">
      <c r="A16" s="87">
        <v>8</v>
      </c>
      <c r="B16" s="93">
        <f t="shared" si="2"/>
        <v>44261</v>
      </c>
      <c r="C16" s="94">
        <f t="shared" si="3"/>
        <v>1961146.9400000002</v>
      </c>
      <c r="D16" s="96">
        <f t="shared" si="0"/>
        <v>4583.9399999999996</v>
      </c>
      <c r="E16" s="137">
        <v>-537229.39</v>
      </c>
      <c r="F16" s="95">
        <f t="shared" si="1"/>
        <v>1428501.4900000002</v>
      </c>
      <c r="G16" s="37">
        <f t="shared" si="4"/>
        <v>3.2500000000000001E-2</v>
      </c>
      <c r="H16" s="72"/>
    </row>
    <row r="17" spans="1:12" x14ac:dyDescent="0.25">
      <c r="A17" s="87">
        <v>9</v>
      </c>
      <c r="B17" s="93">
        <f t="shared" si="2"/>
        <v>44292</v>
      </c>
      <c r="C17" s="94">
        <f t="shared" si="3"/>
        <v>1428501.4900000002</v>
      </c>
      <c r="D17" s="96">
        <f t="shared" si="0"/>
        <v>3315.17</v>
      </c>
      <c r="E17" s="137">
        <v>-408874.95</v>
      </c>
      <c r="F17" s="95">
        <f t="shared" si="1"/>
        <v>1022941.7100000002</v>
      </c>
      <c r="G17" s="37">
        <f t="shared" si="4"/>
        <v>3.2500000000000001E-2</v>
      </c>
      <c r="H17" s="72"/>
    </row>
    <row r="18" spans="1:12" x14ac:dyDescent="0.25">
      <c r="A18" s="100">
        <v>10</v>
      </c>
      <c r="B18" s="93">
        <f t="shared" si="2"/>
        <v>44323</v>
      </c>
      <c r="C18" s="94">
        <f>F17</f>
        <v>1022941.7100000002</v>
      </c>
      <c r="D18" s="96">
        <f t="shared" ref="D18:D20" si="5">ROUND(((C18+C18+E18)/2)*G18/12,2)</f>
        <v>2152.5500000000002</v>
      </c>
      <c r="E18" s="137">
        <f>-ROUND(H18*('Earnings Test and 3% Test'!$D$45/'Conversion Factor'!$E$114),2)</f>
        <v>-456307.46</v>
      </c>
      <c r="F18" s="95">
        <f t="shared" ref="F18:F20" si="6">C18+D18+E18</f>
        <v>568786.80000000028</v>
      </c>
      <c r="G18" s="37">
        <f t="shared" si="4"/>
        <v>3.2500000000000001E-2</v>
      </c>
      <c r="H18" s="72">
        <f>'5 12 21 Forecast Usage by Sched'!M8</f>
        <v>195408992.44276249</v>
      </c>
      <c r="K18" s="145"/>
      <c r="L18" s="145"/>
    </row>
    <row r="19" spans="1:12" ht="15.75" thickBot="1" x14ac:dyDescent="0.3">
      <c r="A19" s="100">
        <v>11</v>
      </c>
      <c r="B19" s="93">
        <f t="shared" si="2"/>
        <v>44354</v>
      </c>
      <c r="C19" s="94">
        <f t="shared" ref="C19:C20" si="7">F18</f>
        <v>568786.80000000028</v>
      </c>
      <c r="D19" s="96">
        <f t="shared" si="5"/>
        <v>1050.8499999999999</v>
      </c>
      <c r="E19" s="137">
        <f>-ROUND(H19*('Earnings Test and 3% Test'!$D$45/'Conversion Factor'!$E$114),2)</f>
        <v>-361563.92</v>
      </c>
      <c r="F19" s="95">
        <f t="shared" si="6"/>
        <v>208273.73000000027</v>
      </c>
      <c r="G19" s="37">
        <f t="shared" si="4"/>
        <v>3.2500000000000001E-2</v>
      </c>
      <c r="H19" s="72">
        <f>'5 12 21 Forecast Usage by Sched'!M9</f>
        <v>154836044.44160548</v>
      </c>
      <c r="K19" s="144"/>
      <c r="L19" s="95"/>
    </row>
    <row r="20" spans="1:12" ht="15.75" thickBot="1" x14ac:dyDescent="0.3">
      <c r="A20" s="100">
        <v>12</v>
      </c>
      <c r="B20" s="93">
        <f t="shared" si="2"/>
        <v>44385</v>
      </c>
      <c r="C20" s="94">
        <f t="shared" si="7"/>
        <v>208273.73000000027</v>
      </c>
      <c r="D20" s="96">
        <f t="shared" si="5"/>
        <v>-3.64</v>
      </c>
      <c r="E20" s="137">
        <f>-ROUND(H20*('Earnings Test and 3% Test'!$D$45/'Conversion Factor'!$E$114),2)</f>
        <v>-419234.54</v>
      </c>
      <c r="F20" s="139">
        <f t="shared" si="6"/>
        <v>-210964.44999999972</v>
      </c>
      <c r="G20" s="37">
        <f t="shared" si="4"/>
        <v>3.2500000000000001E-2</v>
      </c>
      <c r="H20" s="72">
        <f>'5 12 21 Forecast Usage by Sched'!M10</f>
        <v>179532895.31984872</v>
      </c>
      <c r="K20" s="144"/>
      <c r="L20" s="95"/>
    </row>
    <row r="23" spans="1:12" x14ac:dyDescent="0.25">
      <c r="B23" s="151" t="s">
        <v>164</v>
      </c>
      <c r="C23" s="151"/>
      <c r="D23" s="151"/>
      <c r="E23" s="151"/>
      <c r="F23" s="151"/>
      <c r="G23" s="151"/>
      <c r="H23" s="151"/>
    </row>
    <row r="24" spans="1:12" ht="45" x14ac:dyDescent="0.25">
      <c r="A24" s="92" t="s">
        <v>92</v>
      </c>
      <c r="B24" s="87" t="s">
        <v>2</v>
      </c>
      <c r="C24" s="86" t="s">
        <v>116</v>
      </c>
      <c r="D24" s="87" t="s">
        <v>3</v>
      </c>
      <c r="E24" s="87" t="s">
        <v>70</v>
      </c>
      <c r="F24" s="86" t="s">
        <v>114</v>
      </c>
      <c r="G24" s="86" t="s">
        <v>117</v>
      </c>
      <c r="H24" s="138" t="s">
        <v>168</v>
      </c>
    </row>
    <row r="26" spans="1:12" x14ac:dyDescent="0.25">
      <c r="A26" s="87">
        <v>13</v>
      </c>
      <c r="B26" s="93">
        <f t="shared" ref="B26:B37" si="8">B9</f>
        <v>44044</v>
      </c>
      <c r="C26" s="137">
        <f>7047932.85+2373963.06</f>
        <v>9421895.9100000001</v>
      </c>
      <c r="D26" s="96">
        <f>ROUND(((C26+C26+E26)/2)*G26/12,2)</f>
        <v>26025.73</v>
      </c>
      <c r="E26" s="137">
        <v>-633365.26</v>
      </c>
      <c r="F26" s="95">
        <f>C26+D26+E26</f>
        <v>8814556.3800000008</v>
      </c>
      <c r="G26" s="133">
        <f t="shared" ref="G26:G37" si="9">G9</f>
        <v>3.4299999999999997E-2</v>
      </c>
    </row>
    <row r="27" spans="1:12" x14ac:dyDescent="0.25">
      <c r="A27" s="87">
        <v>14</v>
      </c>
      <c r="B27" s="93">
        <f t="shared" si="8"/>
        <v>44075</v>
      </c>
      <c r="C27" s="94">
        <f>F26</f>
        <v>8814556.3800000008</v>
      </c>
      <c r="D27" s="96">
        <f>ROUND(((C27+C27+E27)/2)*G27/12,2)</f>
        <v>24334</v>
      </c>
      <c r="E27" s="137">
        <v>-602410.23</v>
      </c>
      <c r="F27" s="95">
        <f t="shared" ref="F27:F34" si="10">C27+D27+E27</f>
        <v>8236480.1500000004</v>
      </c>
      <c r="G27" s="133">
        <f t="shared" si="9"/>
        <v>3.4299999999999997E-2</v>
      </c>
    </row>
    <row r="28" spans="1:12" x14ac:dyDescent="0.25">
      <c r="A28" s="87">
        <v>15</v>
      </c>
      <c r="B28" s="93">
        <f t="shared" si="8"/>
        <v>44106</v>
      </c>
      <c r="C28" s="94">
        <f t="shared" ref="C28:C34" si="11">F27</f>
        <v>8236480.1500000004</v>
      </c>
      <c r="D28" s="96">
        <f t="shared" ref="D28:D32" si="12">ROUND(((C28+C28+E28)/2)*G28/12,2)</f>
        <v>21425.78</v>
      </c>
      <c r="E28" s="137">
        <v>-650847.06000000006</v>
      </c>
      <c r="F28" s="95">
        <f t="shared" si="10"/>
        <v>7607058.870000001</v>
      </c>
      <c r="G28" s="133">
        <f t="shared" si="9"/>
        <v>3.2500000000000001E-2</v>
      </c>
    </row>
    <row r="29" spans="1:12" x14ac:dyDescent="0.25">
      <c r="A29" s="87">
        <v>16</v>
      </c>
      <c r="B29" s="93">
        <f t="shared" si="8"/>
        <v>44137</v>
      </c>
      <c r="C29" s="94">
        <f t="shared" si="11"/>
        <v>7607058.870000001</v>
      </c>
      <c r="D29" s="96">
        <f t="shared" si="12"/>
        <v>19883.04</v>
      </c>
      <c r="E29" s="137">
        <v>-531260.64</v>
      </c>
      <c r="F29" s="95">
        <f t="shared" si="10"/>
        <v>7095681.2700000014</v>
      </c>
      <c r="G29" s="133">
        <f t="shared" si="9"/>
        <v>3.2500000000000001E-2</v>
      </c>
    </row>
    <row r="30" spans="1:12" x14ac:dyDescent="0.25">
      <c r="A30" s="91">
        <v>17</v>
      </c>
      <c r="B30" s="93">
        <f t="shared" si="8"/>
        <v>44168</v>
      </c>
      <c r="C30" s="94">
        <f t="shared" si="11"/>
        <v>7095681.2700000014</v>
      </c>
      <c r="D30" s="96">
        <f t="shared" si="12"/>
        <v>18422.13</v>
      </c>
      <c r="E30" s="137">
        <v>-587329.65</v>
      </c>
      <c r="F30" s="95">
        <f t="shared" si="10"/>
        <v>6526773.7500000009</v>
      </c>
      <c r="G30" s="133">
        <f t="shared" si="9"/>
        <v>3.2500000000000001E-2</v>
      </c>
    </row>
    <row r="31" spans="1:12" x14ac:dyDescent="0.25">
      <c r="A31" s="91">
        <v>18</v>
      </c>
      <c r="B31" s="93">
        <f t="shared" si="8"/>
        <v>44199</v>
      </c>
      <c r="C31" s="94">
        <f t="shared" si="11"/>
        <v>6526773.7500000009</v>
      </c>
      <c r="D31" s="96">
        <f t="shared" si="12"/>
        <v>16887.669999999998</v>
      </c>
      <c r="E31" s="137">
        <v>-582649.56999999995</v>
      </c>
      <c r="F31" s="95">
        <f t="shared" si="10"/>
        <v>5961011.8500000006</v>
      </c>
      <c r="G31" s="133">
        <f t="shared" si="9"/>
        <v>3.2500000000000001E-2</v>
      </c>
    </row>
    <row r="32" spans="1:12" x14ac:dyDescent="0.25">
      <c r="A32" s="91">
        <v>19</v>
      </c>
      <c r="B32" s="93">
        <f t="shared" si="8"/>
        <v>44230</v>
      </c>
      <c r="C32" s="94">
        <f t="shared" si="11"/>
        <v>5961011.8500000006</v>
      </c>
      <c r="D32" s="96">
        <f t="shared" si="12"/>
        <v>15398.69</v>
      </c>
      <c r="E32" s="137">
        <v>-550684.30000000005</v>
      </c>
      <c r="F32" s="95">
        <f t="shared" si="10"/>
        <v>5425726.2400000012</v>
      </c>
      <c r="G32" s="133">
        <f t="shared" si="9"/>
        <v>3.2500000000000001E-2</v>
      </c>
      <c r="H32" s="72"/>
    </row>
    <row r="33" spans="1:12" x14ac:dyDescent="0.25">
      <c r="A33" s="91">
        <v>20</v>
      </c>
      <c r="B33" s="93">
        <f t="shared" si="8"/>
        <v>44261</v>
      </c>
      <c r="C33" s="94">
        <f t="shared" si="11"/>
        <v>5425726.2400000012</v>
      </c>
      <c r="D33" s="96">
        <f>ROUND(((C33+C33+E33)/2)*G33/12,2)</f>
        <v>13899.41</v>
      </c>
      <c r="E33" s="137">
        <v>-587273.43000000005</v>
      </c>
      <c r="F33" s="95">
        <f t="shared" si="10"/>
        <v>4852352.2200000016</v>
      </c>
      <c r="G33" s="133">
        <f t="shared" si="9"/>
        <v>3.2500000000000001E-2</v>
      </c>
      <c r="H33" s="72"/>
    </row>
    <row r="34" spans="1:12" x14ac:dyDescent="0.25">
      <c r="A34" s="91">
        <v>21</v>
      </c>
      <c r="B34" s="93">
        <f t="shared" si="8"/>
        <v>44292</v>
      </c>
      <c r="C34" s="94">
        <f t="shared" si="11"/>
        <v>4852352.2200000016</v>
      </c>
      <c r="D34" s="96">
        <f>ROUND(((C34+C34+E34)/2)*G34/12,2)</f>
        <v>12405.83</v>
      </c>
      <c r="E34" s="137">
        <v>-543473.35</v>
      </c>
      <c r="F34" s="95">
        <f t="shared" si="10"/>
        <v>4321284.700000002</v>
      </c>
      <c r="G34" s="133">
        <f t="shared" si="9"/>
        <v>3.2500000000000001E-2</v>
      </c>
      <c r="H34" s="72"/>
    </row>
    <row r="35" spans="1:12" x14ac:dyDescent="0.25">
      <c r="A35" s="100">
        <v>22</v>
      </c>
      <c r="B35" s="93">
        <f t="shared" si="8"/>
        <v>44323</v>
      </c>
      <c r="C35" s="94">
        <f>F34</f>
        <v>4321284.700000002</v>
      </c>
      <c r="D35" s="96">
        <f>ROUND(((C35+C35+E35)/2)*G35/12,2)</f>
        <v>10753.21</v>
      </c>
      <c r="E35" s="137">
        <f>-ROUND(H35*('Earnings Test and 3% Test'!$E$45/'Conversion Factor'!$E$114),2)</f>
        <v>-701739.82</v>
      </c>
      <c r="F35" s="95">
        <f t="shared" ref="F35:F37" si="13">C35+D35+E35</f>
        <v>3630298.0900000022</v>
      </c>
      <c r="G35" s="133">
        <f t="shared" si="9"/>
        <v>3.2500000000000001E-2</v>
      </c>
      <c r="H35" s="72">
        <f>'5 12 21 Forecast Usage by Sched'!N8</f>
        <v>200890808.18128148</v>
      </c>
      <c r="K35" s="144"/>
      <c r="L35" s="95"/>
    </row>
    <row r="36" spans="1:12" ht="15.75" thickBot="1" x14ac:dyDescent="0.3">
      <c r="A36" s="100">
        <v>23</v>
      </c>
      <c r="B36" s="93">
        <f t="shared" si="8"/>
        <v>44354</v>
      </c>
      <c r="C36" s="94">
        <f>F35</f>
        <v>3630298.0900000022</v>
      </c>
      <c r="D36" s="96">
        <f t="shared" ref="D36:D37" si="14">ROUND(((C36+C36+E36)/2)*G36/12,2)</f>
        <v>9020.9699999999993</v>
      </c>
      <c r="E36" s="137">
        <f>-ROUND(H36*('Earnings Test and 3% Test'!$E$45/'Conversion Factor'!$E$114),2)</f>
        <v>-598956.47</v>
      </c>
      <c r="F36" s="95">
        <f t="shared" si="13"/>
        <v>3040362.5900000026</v>
      </c>
      <c r="G36" s="133">
        <f t="shared" si="9"/>
        <v>3.2500000000000001E-2</v>
      </c>
      <c r="H36" s="72">
        <f>'5 12 21 Forecast Usage by Sched'!N9</f>
        <v>171466468.34999683</v>
      </c>
      <c r="K36" s="144"/>
      <c r="L36" s="95"/>
    </row>
    <row r="37" spans="1:12" ht="15.75" thickBot="1" x14ac:dyDescent="0.3">
      <c r="A37" s="100">
        <v>24</v>
      </c>
      <c r="B37" s="93">
        <f t="shared" si="8"/>
        <v>44385</v>
      </c>
      <c r="C37" s="94">
        <f>F36</f>
        <v>3040362.5900000026</v>
      </c>
      <c r="D37" s="96">
        <f t="shared" si="14"/>
        <v>7402.04</v>
      </c>
      <c r="E37" s="137">
        <f>-ROUND(H37*('Earnings Test and 3% Test'!$E$45/'Conversion Factor'!$E$114),2)</f>
        <v>-614600.47</v>
      </c>
      <c r="F37" s="139">
        <f t="shared" si="13"/>
        <v>2433164.1600000029</v>
      </c>
      <c r="G37" s="133">
        <f t="shared" si="9"/>
        <v>3.2500000000000001E-2</v>
      </c>
      <c r="H37" s="72">
        <f>'5 12 21 Forecast Usage by Sched'!N10</f>
        <v>175944961.17336613</v>
      </c>
      <c r="K37" s="144"/>
      <c r="L37" s="95"/>
    </row>
  </sheetData>
  <mergeCells count="6">
    <mergeCell ref="B1:H1"/>
    <mergeCell ref="B2:H2"/>
    <mergeCell ref="B3:H3"/>
    <mergeCell ref="B6:H6"/>
    <mergeCell ref="B23:H23"/>
    <mergeCell ref="B4:H4"/>
  </mergeCells>
  <printOptions horizontalCentered="1"/>
  <pageMargins left="0.7" right="0.7" top="0.55000000000000004" bottom="0.48" header="0.3" footer="0.3"/>
  <pageSetup scale="88" firstPageNumber="5" orientation="portrait" useFirstPageNumber="1" r:id="rId1"/>
  <headerFooter scaleWithDoc="0">
    <oddFooter>&amp;CATTACHMENT A&amp;RPage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zoomScaleNormal="100" workbookViewId="0">
      <selection activeCell="I20" sqref="I20"/>
    </sheetView>
  </sheetViews>
  <sheetFormatPr defaultRowHeight="15" x14ac:dyDescent="0.25"/>
  <cols>
    <col min="1" max="1" width="7.42578125" style="75" customWidth="1"/>
    <col min="2" max="2" width="35.7109375" customWidth="1"/>
    <col min="3" max="3" width="13" customWidth="1"/>
    <col min="4" max="4" width="15.28515625" customWidth="1"/>
    <col min="5" max="5" width="15" customWidth="1"/>
    <col min="6" max="6" width="4.7109375" customWidth="1"/>
    <col min="7" max="7" width="15.42578125" hidden="1" customWidth="1"/>
    <col min="8" max="8" width="9.7109375" hidden="1" customWidth="1"/>
    <col min="9" max="9" width="10.140625" customWidth="1"/>
    <col min="10" max="10" width="20.42578125" customWidth="1"/>
    <col min="11" max="11" width="17.140625" customWidth="1"/>
    <col min="12" max="12" width="16.28515625" customWidth="1"/>
    <col min="13" max="13" width="14" customWidth="1"/>
    <col min="14" max="14" width="15" customWidth="1"/>
    <col min="15" max="15" width="4.5703125" customWidth="1"/>
    <col min="16" max="16" width="25.28515625" customWidth="1"/>
    <col min="17" max="17" width="16.7109375" customWidth="1"/>
    <col min="18" max="18" width="17" customWidth="1"/>
    <col min="19" max="19" width="12.42578125" customWidth="1"/>
    <col min="20" max="20" width="13.5703125" customWidth="1"/>
  </cols>
  <sheetData>
    <row r="1" spans="1:12" x14ac:dyDescent="0.25">
      <c r="B1" s="151" t="s">
        <v>0</v>
      </c>
      <c r="C1" s="151"/>
      <c r="D1" s="151"/>
      <c r="E1" s="151"/>
      <c r="F1" s="151"/>
      <c r="G1" s="151"/>
      <c r="H1" s="151"/>
    </row>
    <row r="2" spans="1:12" x14ac:dyDescent="0.25">
      <c r="B2" s="151" t="s">
        <v>40</v>
      </c>
      <c r="C2" s="151"/>
      <c r="D2" s="151"/>
      <c r="E2" s="151"/>
      <c r="F2" s="151"/>
      <c r="G2" s="151"/>
      <c r="H2" s="151"/>
    </row>
    <row r="3" spans="1:12" x14ac:dyDescent="0.25">
      <c r="B3" s="151" t="s">
        <v>172</v>
      </c>
      <c r="C3" s="151"/>
      <c r="D3" s="151"/>
      <c r="E3" s="151"/>
      <c r="F3" s="151"/>
      <c r="G3" s="151"/>
      <c r="H3" s="151"/>
    </row>
    <row r="5" spans="1:12" x14ac:dyDescent="0.25">
      <c r="B5" s="78" t="s">
        <v>182</v>
      </c>
      <c r="C5" s="78"/>
      <c r="D5" s="78"/>
      <c r="E5" s="78"/>
      <c r="F5" s="78"/>
    </row>
    <row r="7" spans="1:12" x14ac:dyDescent="0.25">
      <c r="A7" s="75" t="s">
        <v>92</v>
      </c>
      <c r="D7" s="31" t="s">
        <v>41</v>
      </c>
      <c r="E7" s="31"/>
      <c r="F7" s="75"/>
      <c r="G7" s="31" t="s">
        <v>42</v>
      </c>
      <c r="H7" s="43"/>
    </row>
    <row r="9" spans="1:12" x14ac:dyDescent="0.25">
      <c r="A9" s="75">
        <v>1</v>
      </c>
      <c r="B9" t="s">
        <v>43</v>
      </c>
      <c r="D9" s="115">
        <v>1700977000</v>
      </c>
      <c r="G9" s="38">
        <v>272971000</v>
      </c>
      <c r="H9" s="38"/>
    </row>
    <row r="10" spans="1:12" x14ac:dyDescent="0.25">
      <c r="D10" s="66"/>
    </row>
    <row r="11" spans="1:12" x14ac:dyDescent="0.25">
      <c r="A11" s="75">
        <v>2</v>
      </c>
      <c r="B11" t="s">
        <v>44</v>
      </c>
      <c r="D11" s="115">
        <v>108650000</v>
      </c>
      <c r="G11" s="38">
        <v>16783000</v>
      </c>
      <c r="H11" s="38"/>
    </row>
    <row r="12" spans="1:12" x14ac:dyDescent="0.25">
      <c r="D12" s="38"/>
    </row>
    <row r="13" spans="1:12" x14ac:dyDescent="0.25">
      <c r="A13" s="75">
        <v>3</v>
      </c>
      <c r="B13" t="s">
        <v>45</v>
      </c>
      <c r="D13" s="36">
        <f>D11/D9</f>
        <v>6.3875055335845227E-2</v>
      </c>
      <c r="G13" s="36">
        <f>G11/G9</f>
        <v>6.1482721607789836E-2</v>
      </c>
      <c r="H13" s="36"/>
    </row>
    <row r="14" spans="1:12" x14ac:dyDescent="0.25">
      <c r="A14" s="75">
        <v>4</v>
      </c>
      <c r="B14" t="s">
        <v>46</v>
      </c>
      <c r="C14" t="s">
        <v>198</v>
      </c>
      <c r="D14" s="36">
        <f>(7.5%*3+7.21%*9)/12</f>
        <v>7.2825000000000001E-2</v>
      </c>
      <c r="G14" s="36">
        <v>7.3200000000000001E-2</v>
      </c>
      <c r="H14" s="36"/>
      <c r="K14" s="36"/>
      <c r="L14" s="36"/>
    </row>
    <row r="15" spans="1:12" x14ac:dyDescent="0.25">
      <c r="A15" s="75">
        <v>5</v>
      </c>
      <c r="B15" t="s">
        <v>47</v>
      </c>
      <c r="D15" s="37">
        <f>D13-D14</f>
        <v>-8.9499446641547742E-3</v>
      </c>
      <c r="G15" s="37">
        <f>G13-G14</f>
        <v>-1.1717278392210165E-2</v>
      </c>
      <c r="H15" s="37"/>
    </row>
    <row r="17" spans="1:9" x14ac:dyDescent="0.25">
      <c r="A17" s="75">
        <v>6</v>
      </c>
      <c r="B17" t="s">
        <v>48</v>
      </c>
      <c r="D17" s="38">
        <f>IF(D15&gt;0,D9*D15,0)</f>
        <v>0</v>
      </c>
      <c r="G17" s="38">
        <f>IF(G15&gt;0,G9*G15,0)</f>
        <v>0</v>
      </c>
      <c r="H17" s="38"/>
    </row>
    <row r="18" spans="1:9" x14ac:dyDescent="0.25">
      <c r="A18" s="75">
        <v>7</v>
      </c>
      <c r="B18" t="s">
        <v>49</v>
      </c>
      <c r="D18" s="39">
        <f>'Conversion Factor'!E112</f>
        <v>0.75605</v>
      </c>
      <c r="G18" s="39">
        <v>0.61944999999999995</v>
      </c>
      <c r="H18" s="39"/>
    </row>
    <row r="19" spans="1:9" x14ac:dyDescent="0.25">
      <c r="A19" s="75">
        <v>8</v>
      </c>
      <c r="B19" t="s">
        <v>50</v>
      </c>
      <c r="D19" s="38">
        <f>D17/D18</f>
        <v>0</v>
      </c>
      <c r="G19" s="38">
        <f>G17/G18</f>
        <v>0</v>
      </c>
      <c r="H19" s="38"/>
      <c r="I19" s="38"/>
    </row>
    <row r="20" spans="1:9" ht="15.75" thickBot="1" x14ac:dyDescent="0.3">
      <c r="A20" s="75">
        <v>9</v>
      </c>
      <c r="B20" t="s">
        <v>51</v>
      </c>
      <c r="D20" s="40">
        <v>0.5</v>
      </c>
      <c r="G20" s="40">
        <v>0.5</v>
      </c>
      <c r="H20" s="40"/>
    </row>
    <row r="21" spans="1:9" ht="16.5" thickTop="1" thickBot="1" x14ac:dyDescent="0.3">
      <c r="A21" s="75">
        <v>10</v>
      </c>
      <c r="B21" t="s">
        <v>186</v>
      </c>
      <c r="D21" s="41">
        <f>D19*D20</f>
        <v>0</v>
      </c>
      <c r="G21" s="41">
        <v>0</v>
      </c>
      <c r="H21" s="49"/>
    </row>
    <row r="22" spans="1:9" ht="15.75" thickTop="1" x14ac:dyDescent="0.25"/>
    <row r="24" spans="1:9" x14ac:dyDescent="0.25">
      <c r="B24" s="78" t="s">
        <v>183</v>
      </c>
      <c r="C24" s="78"/>
      <c r="D24" s="78"/>
      <c r="E24" s="78"/>
      <c r="F24" s="78"/>
      <c r="G24" s="78"/>
      <c r="H24" s="78"/>
    </row>
    <row r="26" spans="1:9" x14ac:dyDescent="0.25">
      <c r="A26" s="75">
        <v>11</v>
      </c>
      <c r="B26" t="s">
        <v>52</v>
      </c>
      <c r="D26" s="65">
        <v>239238066</v>
      </c>
      <c r="E26" s="36">
        <f>D26/D30</f>
        <v>0.51734546718506036</v>
      </c>
      <c r="F26" s="36"/>
      <c r="G26" s="65">
        <v>116284996</v>
      </c>
      <c r="H26" s="36">
        <f>G26/G30</f>
        <v>0.75882679845758572</v>
      </c>
    </row>
    <row r="27" spans="1:9" x14ac:dyDescent="0.25">
      <c r="D27" s="66"/>
      <c r="G27" s="66"/>
      <c r="I27" s="36"/>
    </row>
    <row r="28" spans="1:9" x14ac:dyDescent="0.25">
      <c r="A28" s="75">
        <v>12</v>
      </c>
      <c r="B28" t="s">
        <v>53</v>
      </c>
      <c r="D28" s="65">
        <v>223195803</v>
      </c>
      <c r="E28" s="36">
        <f>D28/D30</f>
        <v>0.48265453281493964</v>
      </c>
      <c r="F28" s="36"/>
      <c r="G28" s="65">
        <f>33950044+3372711-364618</f>
        <v>36958137</v>
      </c>
      <c r="H28" s="36">
        <f>G28/G30</f>
        <v>0.24117320154241431</v>
      </c>
    </row>
    <row r="29" spans="1:9" x14ac:dyDescent="0.25">
      <c r="D29" s="66"/>
      <c r="I29" s="36"/>
    </row>
    <row r="30" spans="1:9" x14ac:dyDescent="0.25">
      <c r="A30" s="75">
        <v>13</v>
      </c>
      <c r="B30" t="s">
        <v>54</v>
      </c>
      <c r="D30" s="38">
        <f>D26+D28</f>
        <v>462433869</v>
      </c>
      <c r="E30" s="37">
        <f>E26+E28</f>
        <v>1</v>
      </c>
      <c r="F30" s="37"/>
      <c r="G30" s="38">
        <f>G26+G28</f>
        <v>153243133</v>
      </c>
      <c r="H30" s="37">
        <f>H26+H28</f>
        <v>1</v>
      </c>
    </row>
    <row r="31" spans="1:9" x14ac:dyDescent="0.25">
      <c r="I31" s="37"/>
    </row>
    <row r="32" spans="1:9" x14ac:dyDescent="0.25">
      <c r="A32" s="84"/>
      <c r="D32" s="161" t="s">
        <v>110</v>
      </c>
      <c r="E32" s="161" t="s">
        <v>109</v>
      </c>
      <c r="I32" s="37"/>
    </row>
    <row r="33" spans="1:10" x14ac:dyDescent="0.25">
      <c r="B33" s="44" t="s">
        <v>55</v>
      </c>
      <c r="D33" s="161"/>
      <c r="E33" s="161"/>
    </row>
    <row r="34" spans="1:10" x14ac:dyDescent="0.25">
      <c r="A34" s="75">
        <v>14</v>
      </c>
      <c r="B34" t="s">
        <v>57</v>
      </c>
      <c r="D34" s="38">
        <f>D21*E26</f>
        <v>0</v>
      </c>
      <c r="E34" s="38">
        <f>ROUND(D34*'Conversion Factor'!E108,0)</f>
        <v>0</v>
      </c>
      <c r="G34" s="38">
        <f>G21*H26</f>
        <v>0</v>
      </c>
    </row>
    <row r="35" spans="1:10" x14ac:dyDescent="0.25">
      <c r="A35" s="75">
        <v>15</v>
      </c>
      <c r="B35" t="s">
        <v>77</v>
      </c>
      <c r="D35" s="38">
        <f>D21*E28</f>
        <v>0</v>
      </c>
      <c r="E35" s="38">
        <f>ROUND(D35*'Conversion Factor'!E108,0)</f>
        <v>0</v>
      </c>
      <c r="G35" s="38">
        <f>G21*H28</f>
        <v>0</v>
      </c>
    </row>
    <row r="36" spans="1:10" x14ac:dyDescent="0.25">
      <c r="A36" s="75">
        <v>16</v>
      </c>
      <c r="B36" t="s">
        <v>56</v>
      </c>
      <c r="D36" s="42">
        <f>SUM(D34:D35)</f>
        <v>0</v>
      </c>
      <c r="E36" s="42">
        <f>SUM(E34:E35)</f>
        <v>0</v>
      </c>
      <c r="G36" s="42">
        <f>SUM(G34:G35)</f>
        <v>0</v>
      </c>
    </row>
    <row r="38" spans="1:10" ht="32.450000000000003" customHeight="1" x14ac:dyDescent="0.25">
      <c r="A38" s="75" t="s">
        <v>92</v>
      </c>
      <c r="B38" s="79" t="s">
        <v>61</v>
      </c>
      <c r="D38" s="85" t="s">
        <v>111</v>
      </c>
      <c r="E38" s="85" t="s">
        <v>112</v>
      </c>
      <c r="F38" s="85"/>
      <c r="J38" s="99"/>
    </row>
    <row r="39" spans="1:10" ht="32.450000000000003" customHeight="1" x14ac:dyDescent="0.25">
      <c r="A39" s="90">
        <v>1</v>
      </c>
      <c r="B39" s="162" t="s">
        <v>184</v>
      </c>
      <c r="C39" s="162"/>
      <c r="D39" s="89">
        <f>D26</f>
        <v>239238066</v>
      </c>
      <c r="E39" s="89">
        <f>D28</f>
        <v>223195803</v>
      </c>
      <c r="F39" s="89"/>
      <c r="J39" s="89"/>
    </row>
    <row r="41" spans="1:10" x14ac:dyDescent="0.25">
      <c r="A41" s="85">
        <v>2</v>
      </c>
      <c r="B41" t="s">
        <v>185</v>
      </c>
      <c r="D41" s="72">
        <f>'Electric 2021 Rate Calc'!E22</f>
        <v>2471980587.6022091</v>
      </c>
      <c r="E41" s="72">
        <f>'Electric 2021 Rate Calc'!K22</f>
        <v>2133927653.6697254</v>
      </c>
      <c r="F41" s="88"/>
      <c r="G41" s="72" t="e">
        <f>#REF!</f>
        <v>#REF!</v>
      </c>
      <c r="J41" s="95"/>
    </row>
    <row r="42" spans="1:10" ht="13.9" customHeight="1" x14ac:dyDescent="0.25">
      <c r="J42" s="95"/>
    </row>
    <row r="43" spans="1:10" x14ac:dyDescent="0.25">
      <c r="A43" s="85">
        <v>3</v>
      </c>
      <c r="B43" t="s">
        <v>58</v>
      </c>
      <c r="D43" s="47">
        <f>'Electric 2021 Rate Calc'!D28</f>
        <v>-4.4999999999999999E-4</v>
      </c>
      <c r="E43" s="47">
        <f>'Electric 2021 Rate Calc'!J28</f>
        <v>6.9300000000000004E-3</v>
      </c>
    </row>
    <row r="44" spans="1:10" ht="11.45" customHeight="1" x14ac:dyDescent="0.25"/>
    <row r="45" spans="1:10" ht="14.45" customHeight="1" x14ac:dyDescent="0.25">
      <c r="A45" s="75">
        <v>4</v>
      </c>
      <c r="B45" t="s">
        <v>171</v>
      </c>
      <c r="D45" s="142">
        <v>2.4399999999999999E-3</v>
      </c>
      <c r="E45" s="142">
        <v>3.65E-3</v>
      </c>
    </row>
    <row r="46" spans="1:10" ht="14.45" customHeight="1" x14ac:dyDescent="0.25"/>
    <row r="47" spans="1:10" ht="14.45" customHeight="1" x14ac:dyDescent="0.25">
      <c r="A47" s="85">
        <v>5</v>
      </c>
      <c r="B47" t="s">
        <v>59</v>
      </c>
      <c r="D47" s="47">
        <f>D43-D45</f>
        <v>-2.8899999999999998E-3</v>
      </c>
      <c r="E47" s="47">
        <f>E43-E45</f>
        <v>3.2800000000000004E-3</v>
      </c>
    </row>
    <row r="48" spans="1:10" ht="15" customHeight="1" x14ac:dyDescent="0.25"/>
    <row r="49" spans="1:10" ht="15" customHeight="1" x14ac:dyDescent="0.25">
      <c r="A49" s="75">
        <v>6</v>
      </c>
      <c r="B49" t="s">
        <v>60</v>
      </c>
      <c r="D49" s="45">
        <f>D47*D41</f>
        <v>-7144023.8981703836</v>
      </c>
      <c r="E49" s="45">
        <f>E47*E41</f>
        <v>6999282.7040367005</v>
      </c>
      <c r="F49" s="45"/>
      <c r="G49" s="45" t="e">
        <f>#REF!+#REF!</f>
        <v>#REF!</v>
      </c>
    </row>
    <row r="50" spans="1:10" ht="12.6" customHeight="1" x14ac:dyDescent="0.25">
      <c r="D50" s="45"/>
      <c r="G50" s="45"/>
    </row>
    <row r="51" spans="1:10" ht="12.6" customHeight="1" x14ac:dyDescent="0.25">
      <c r="A51" s="75">
        <v>7</v>
      </c>
      <c r="B51" t="s">
        <v>62</v>
      </c>
      <c r="D51" s="48">
        <f>D49/D39</f>
        <v>-2.9861568510465987E-2</v>
      </c>
      <c r="E51" s="48">
        <f>E49/E39</f>
        <v>3.1359383151289368E-2</v>
      </c>
      <c r="F51" s="48"/>
      <c r="G51" s="48"/>
    </row>
    <row r="52" spans="1:10" ht="13.15" customHeight="1" x14ac:dyDescent="0.25"/>
    <row r="53" spans="1:10" ht="13.15" customHeight="1" x14ac:dyDescent="0.25">
      <c r="A53" s="75">
        <v>8</v>
      </c>
      <c r="B53" t="s">
        <v>195</v>
      </c>
      <c r="D53" s="38">
        <f>IF(D51&gt;0.03,D39*0.03-D49,0)</f>
        <v>0</v>
      </c>
      <c r="E53" s="38">
        <f>IF(E51&gt;0.03,E39*0.03-E49,0)</f>
        <v>-303408.61403670069</v>
      </c>
      <c r="G53" s="38"/>
    </row>
    <row r="54" spans="1:10" ht="12.6" customHeight="1" x14ac:dyDescent="0.25"/>
    <row r="55" spans="1:10" ht="12.6" customHeight="1" x14ac:dyDescent="0.25">
      <c r="A55" s="75">
        <v>9</v>
      </c>
      <c r="B55" t="s">
        <v>63</v>
      </c>
      <c r="D55" s="47">
        <f>ROUND(D53/D41,5)</f>
        <v>0</v>
      </c>
      <c r="E55" s="47">
        <f>ROUND(E53/E41,5)</f>
        <v>-1.3999999999999999E-4</v>
      </c>
    </row>
    <row r="56" spans="1:10" ht="6" customHeight="1" x14ac:dyDescent="0.25"/>
    <row r="57" spans="1:10" x14ac:dyDescent="0.25">
      <c r="A57" s="75">
        <v>10</v>
      </c>
      <c r="B57" t="s">
        <v>64</v>
      </c>
      <c r="D57" s="47">
        <f>D43+D55</f>
        <v>-4.4999999999999999E-4</v>
      </c>
      <c r="E57" s="47">
        <f>E43+E55</f>
        <v>6.79E-3</v>
      </c>
    </row>
    <row r="58" spans="1:10" ht="13.9" customHeight="1" x14ac:dyDescent="0.25"/>
    <row r="59" spans="1:10" ht="13.9" customHeight="1" x14ac:dyDescent="0.25">
      <c r="A59" s="75">
        <v>11</v>
      </c>
      <c r="B59" t="s">
        <v>65</v>
      </c>
      <c r="D59" s="45">
        <f>(D57-D45)*D41</f>
        <v>-7144023.8981703836</v>
      </c>
      <c r="E59" s="45">
        <f>(E57-E45)*E41</f>
        <v>6700532.832522938</v>
      </c>
      <c r="F59" s="45"/>
      <c r="G59" s="50" t="e">
        <f>#REF!+#REF!</f>
        <v>#REF!</v>
      </c>
      <c r="J59" s="36"/>
    </row>
    <row r="60" spans="1:10" ht="14.45" customHeight="1" x14ac:dyDescent="0.25">
      <c r="D60" s="50"/>
      <c r="G60" s="50"/>
    </row>
    <row r="61" spans="1:10" ht="14.45" customHeight="1" x14ac:dyDescent="0.25">
      <c r="A61" s="75">
        <v>12</v>
      </c>
      <c r="B61" t="s">
        <v>66</v>
      </c>
      <c r="D61" s="48">
        <f>D59/D39</f>
        <v>-2.9861568510465987E-2</v>
      </c>
      <c r="E61" s="48">
        <f>E59/E39</f>
        <v>3.002087289483189E-2</v>
      </c>
      <c r="F61" s="48"/>
    </row>
    <row r="62" spans="1:10" ht="16.149999999999999" customHeight="1" x14ac:dyDescent="0.25"/>
    <row r="63" spans="1:10" ht="16.149999999999999" customHeight="1" x14ac:dyDescent="0.25">
      <c r="B63" t="s">
        <v>69</v>
      </c>
    </row>
    <row r="64" spans="1:10" ht="31.5" customHeight="1" x14ac:dyDescent="0.25">
      <c r="B64" s="160" t="s">
        <v>191</v>
      </c>
      <c r="C64" s="160"/>
      <c r="D64" s="160"/>
      <c r="E64" s="160"/>
      <c r="F64" s="160"/>
      <c r="G64" s="160"/>
      <c r="H64" s="160"/>
    </row>
    <row r="65" spans="2:8" ht="54" customHeight="1" x14ac:dyDescent="0.25">
      <c r="B65" s="160" t="s">
        <v>194</v>
      </c>
      <c r="C65" s="160"/>
      <c r="D65" s="160"/>
      <c r="E65" s="160"/>
      <c r="F65" s="160"/>
      <c r="G65" s="160"/>
      <c r="H65" s="160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55000000000000004" bottom="0.48" header="0.3" footer="0.3"/>
  <pageSetup scale="88" firstPageNumber="6" orientation="portrait" useFirstPageNumber="1" r:id="rId3"/>
  <headerFooter scaleWithDoc="0">
    <oddFooter>&amp;CATTACHMENT A&amp;RPage &amp;P of 9</oddFooter>
  </headerFooter>
  <rowBreaks count="1" manualBreakCount="1">
    <brk id="37" max="7" man="1"/>
  </rowBreak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6"/>
  <sheetViews>
    <sheetView topLeftCell="A89" zoomScaleNormal="100" workbookViewId="0">
      <selection activeCell="I27" sqref="I27"/>
    </sheetView>
  </sheetViews>
  <sheetFormatPr defaultRowHeight="15" x14ac:dyDescent="0.25"/>
  <cols>
    <col min="1" max="1" width="6.42578125" customWidth="1"/>
    <col min="2" max="2" width="2.140625" customWidth="1"/>
    <col min="3" max="3" width="37.28515625" customWidth="1"/>
    <col min="5" max="5" width="11.42578125" bestFit="1" customWidth="1"/>
    <col min="6" max="6" width="2.28515625" customWidth="1"/>
  </cols>
  <sheetData>
    <row r="1" spans="1:5" ht="14.45" hidden="1" customHeight="1" x14ac:dyDescent="0.25">
      <c r="A1" s="1" t="s">
        <v>13</v>
      </c>
      <c r="B1" s="1"/>
      <c r="C1" s="1"/>
      <c r="D1" s="1"/>
      <c r="E1" s="2"/>
    </row>
    <row r="2" spans="1:5" hidden="1" x14ac:dyDescent="0.25">
      <c r="A2" s="164" t="s">
        <v>14</v>
      </c>
      <c r="B2" s="164"/>
      <c r="C2" s="164"/>
      <c r="D2" s="164"/>
      <c r="E2" s="164"/>
    </row>
    <row r="3" spans="1:5" hidden="1" x14ac:dyDescent="0.25">
      <c r="A3" s="164" t="s">
        <v>15</v>
      </c>
      <c r="B3" s="164"/>
      <c r="C3" s="164"/>
      <c r="D3" s="164"/>
      <c r="E3" s="164"/>
    </row>
    <row r="4" spans="1:5" ht="15.75" hidden="1" x14ac:dyDescent="0.25">
      <c r="A4" s="164" t="s">
        <v>16</v>
      </c>
      <c r="B4" s="167"/>
      <c r="C4" s="164"/>
      <c r="D4" s="164"/>
      <c r="E4" s="164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17</v>
      </c>
      <c r="B6" s="5"/>
      <c r="C6" s="5"/>
      <c r="D6" s="5"/>
      <c r="E6" s="6"/>
    </row>
    <row r="7" spans="1:5" hidden="1" x14ac:dyDescent="0.25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22</v>
      </c>
      <c r="D11" s="14"/>
      <c r="E11" s="12"/>
    </row>
    <row r="12" spans="1:5" hidden="1" x14ac:dyDescent="0.25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25">
      <c r="A17" s="10"/>
      <c r="B17" s="3"/>
      <c r="C17" s="14"/>
      <c r="D17" s="14"/>
      <c r="E17" s="14"/>
    </row>
    <row r="18" spans="1:5" ht="15.75" hidden="1" thickBot="1" x14ac:dyDescent="0.3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25">
      <c r="A25" s="20"/>
      <c r="B25" s="20"/>
      <c r="C25" s="20"/>
      <c r="D25" s="20"/>
      <c r="E25" s="20"/>
    </row>
    <row r="26" spans="1:5" hidden="1" x14ac:dyDescent="0.25">
      <c r="C26" t="s">
        <v>30</v>
      </c>
    </row>
    <row r="27" spans="1:5" hidden="1" x14ac:dyDescent="0.25">
      <c r="C27" t="s">
        <v>31</v>
      </c>
    </row>
    <row r="28" spans="1:5" hidden="1" x14ac:dyDescent="0.25">
      <c r="C28" t="s">
        <v>37</v>
      </c>
      <c r="E28">
        <f>1/E20</f>
        <v>1.0475537002215576</v>
      </c>
    </row>
    <row r="29" spans="1:5" hidden="1" x14ac:dyDescent="0.25"/>
    <row r="30" spans="1:5" ht="14.45" hidden="1" customHeight="1" x14ac:dyDescent="0.25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25">
      <c r="A31" s="164" t="s">
        <v>14</v>
      </c>
      <c r="B31" s="164"/>
      <c r="C31" s="164"/>
      <c r="D31" s="164"/>
      <c r="E31" s="164"/>
    </row>
    <row r="32" spans="1:5" hidden="1" x14ac:dyDescent="0.25">
      <c r="A32" s="164" t="s">
        <v>15</v>
      </c>
      <c r="B32" s="164"/>
      <c r="C32" s="164"/>
      <c r="D32" s="164"/>
      <c r="E32" s="164"/>
    </row>
    <row r="33" spans="1:5" ht="15.75" hidden="1" x14ac:dyDescent="0.25">
      <c r="A33" s="164" t="s">
        <v>32</v>
      </c>
      <c r="B33" s="167"/>
      <c r="C33" s="164"/>
      <c r="D33" s="164"/>
      <c r="E33" s="164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17</v>
      </c>
      <c r="B35" s="5"/>
      <c r="C35" s="5"/>
      <c r="D35" s="5"/>
      <c r="E35" s="6"/>
    </row>
    <row r="36" spans="1:5" hidden="1" x14ac:dyDescent="0.25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22</v>
      </c>
      <c r="D40" s="14"/>
      <c r="E40" s="12"/>
    </row>
    <row r="41" spans="1:5" hidden="1" x14ac:dyDescent="0.25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25">
      <c r="A48" s="10"/>
      <c r="B48" s="3"/>
      <c r="C48" s="14"/>
      <c r="D48" s="14"/>
      <c r="E48" s="14"/>
    </row>
    <row r="49" spans="1:5" hidden="1" x14ac:dyDescent="0.25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25">
      <c r="A50" s="3"/>
      <c r="B50" s="3"/>
      <c r="C50" s="14"/>
      <c r="D50" s="14"/>
      <c r="E50" s="16"/>
    </row>
    <row r="51" spans="1:5" hidden="1" x14ac:dyDescent="0.25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25">
      <c r="A52" s="3"/>
      <c r="B52" s="3"/>
      <c r="C52" s="14"/>
      <c r="D52" s="14"/>
      <c r="E52" s="16"/>
    </row>
    <row r="53" spans="1:5" hidden="1" x14ac:dyDescent="0.25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25">
      <c r="A54" s="3"/>
      <c r="B54" s="3"/>
      <c r="C54" s="14"/>
      <c r="D54" s="14"/>
      <c r="E54" s="16"/>
    </row>
    <row r="55" spans="1:5" ht="15.75" hidden="1" thickBot="1" x14ac:dyDescent="0.3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25">
      <c r="A56" s="20"/>
      <c r="B56" s="20"/>
      <c r="C56" s="20"/>
      <c r="D56" s="20"/>
      <c r="E56" s="20"/>
    </row>
    <row r="57" spans="1:5" hidden="1" x14ac:dyDescent="0.25">
      <c r="C57" t="s">
        <v>30</v>
      </c>
    </row>
    <row r="58" spans="1:5" hidden="1" x14ac:dyDescent="0.25">
      <c r="C58" t="s">
        <v>34</v>
      </c>
    </row>
    <row r="59" spans="1:5" hidden="1" x14ac:dyDescent="0.25">
      <c r="C59" t="s">
        <v>37</v>
      </c>
      <c r="E59">
        <f>1/E51</f>
        <v>1.0471320012699215</v>
      </c>
    </row>
    <row r="60" spans="1:5" hidden="1" x14ac:dyDescent="0.25"/>
    <row r="61" spans="1:5" hidden="1" x14ac:dyDescent="0.25">
      <c r="A61" s="163" t="s">
        <v>14</v>
      </c>
      <c r="B61" s="163"/>
      <c r="C61" s="163"/>
      <c r="D61" s="163"/>
      <c r="E61" s="163"/>
    </row>
    <row r="62" spans="1:5" hidden="1" x14ac:dyDescent="0.25">
      <c r="A62" s="164" t="s">
        <v>15</v>
      </c>
      <c r="B62" s="164"/>
      <c r="C62" s="164"/>
      <c r="D62" s="164"/>
      <c r="E62" s="164"/>
    </row>
    <row r="63" spans="1:5" ht="15.6" hidden="1" customHeight="1" x14ac:dyDescent="0.25">
      <c r="A63" s="165" t="s">
        <v>35</v>
      </c>
      <c r="B63" s="166"/>
      <c r="C63" s="165"/>
      <c r="D63" s="165"/>
      <c r="E63" s="165"/>
    </row>
    <row r="64" spans="1:5" hidden="1" x14ac:dyDescent="0.25">
      <c r="A64" s="3"/>
      <c r="B64" s="3"/>
      <c r="C64" s="3"/>
      <c r="D64" s="3"/>
      <c r="E64" s="4"/>
    </row>
    <row r="65" spans="1:5" hidden="1" x14ac:dyDescent="0.25">
      <c r="A65" s="5" t="s">
        <v>17</v>
      </c>
      <c r="B65" s="5"/>
      <c r="C65" s="5"/>
      <c r="D65" s="5"/>
      <c r="E65" s="6"/>
    </row>
    <row r="66" spans="1:5" hidden="1" x14ac:dyDescent="0.25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22</v>
      </c>
      <c r="D70" s="14"/>
      <c r="E70" s="12"/>
    </row>
    <row r="71" spans="1:5" hidden="1" x14ac:dyDescent="0.25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5" hidden="1" x14ac:dyDescent="0.25"/>
    <row r="85" spans="1:5" hidden="1" x14ac:dyDescent="0.25">
      <c r="C85" t="s">
        <v>36</v>
      </c>
    </row>
    <row r="86" spans="1:5" hidden="1" x14ac:dyDescent="0.25">
      <c r="C86" t="s">
        <v>34</v>
      </c>
    </row>
    <row r="87" spans="1:5" hidden="1" x14ac:dyDescent="0.25">
      <c r="C87" t="s">
        <v>37</v>
      </c>
      <c r="E87">
        <f>1/E79</f>
        <v>1.0486165915892141</v>
      </c>
    </row>
    <row r="88" spans="1:5" hidden="1" x14ac:dyDescent="0.25"/>
    <row r="89" spans="1:5" x14ac:dyDescent="0.25">
      <c r="A89" s="1" t="s">
        <v>13</v>
      </c>
      <c r="B89" s="1"/>
      <c r="C89" s="1"/>
      <c r="D89" s="1"/>
      <c r="E89" s="2"/>
    </row>
    <row r="90" spans="1:5" x14ac:dyDescent="0.25">
      <c r="A90" s="1" t="s">
        <v>14</v>
      </c>
      <c r="B90" s="1"/>
      <c r="C90" s="1"/>
      <c r="D90" s="1"/>
      <c r="E90" s="2"/>
    </row>
    <row r="91" spans="1:5" x14ac:dyDescent="0.25">
      <c r="A91" s="1" t="s">
        <v>15</v>
      </c>
      <c r="B91" s="1"/>
      <c r="C91" s="1"/>
      <c r="D91" s="1"/>
      <c r="E91" s="2"/>
    </row>
    <row r="92" spans="1:5" x14ac:dyDescent="0.25">
      <c r="A92" s="1" t="s">
        <v>173</v>
      </c>
      <c r="B92" s="1"/>
      <c r="C92" s="1"/>
      <c r="D92" s="1"/>
      <c r="E92" s="2"/>
    </row>
    <row r="93" spans="1:5" x14ac:dyDescent="0.25">
      <c r="A93" s="3"/>
      <c r="B93" s="3"/>
      <c r="C93" s="3"/>
      <c r="D93" s="3"/>
      <c r="E93" s="4"/>
    </row>
    <row r="94" spans="1:5" x14ac:dyDescent="0.25">
      <c r="A94" s="5" t="s">
        <v>17</v>
      </c>
      <c r="B94" s="5"/>
      <c r="C94" s="5"/>
      <c r="D94" s="5"/>
      <c r="E94" s="6"/>
    </row>
    <row r="95" spans="1:5" x14ac:dyDescent="0.25">
      <c r="A95" s="7" t="s">
        <v>18</v>
      </c>
      <c r="B95" s="5"/>
      <c r="C95" s="7" t="s">
        <v>19</v>
      </c>
      <c r="D95" s="8"/>
      <c r="E95" s="9" t="s">
        <v>20</v>
      </c>
    </row>
    <row r="96" spans="1:5" x14ac:dyDescent="0.25">
      <c r="A96" s="3"/>
      <c r="B96" s="3"/>
      <c r="C96" s="3"/>
      <c r="D96" s="3"/>
      <c r="E96" s="4"/>
    </row>
    <row r="97" spans="1:5" x14ac:dyDescent="0.25">
      <c r="A97" s="10">
        <v>1</v>
      </c>
      <c r="B97" s="3"/>
      <c r="C97" s="11" t="s">
        <v>21</v>
      </c>
      <c r="D97" s="3"/>
      <c r="E97" s="12">
        <v>1</v>
      </c>
    </row>
    <row r="98" spans="1:5" x14ac:dyDescent="0.25">
      <c r="A98" s="10"/>
      <c r="B98" s="3"/>
      <c r="C98" s="3"/>
      <c r="D98" s="3"/>
      <c r="E98" s="12"/>
    </row>
    <row r="99" spans="1:5" x14ac:dyDescent="0.25">
      <c r="A99" s="10"/>
      <c r="B99" s="3"/>
      <c r="C99" s="13" t="s">
        <v>22</v>
      </c>
      <c r="D99" s="14"/>
      <c r="E99" s="12"/>
    </row>
    <row r="100" spans="1:5" x14ac:dyDescent="0.25">
      <c r="A100" s="10">
        <v>2</v>
      </c>
      <c r="B100" s="3"/>
      <c r="C100" s="14" t="s">
        <v>23</v>
      </c>
      <c r="D100" s="14"/>
      <c r="E100" s="143">
        <v>2.3317705013422702E-3</v>
      </c>
    </row>
    <row r="101" spans="1:5" x14ac:dyDescent="0.25">
      <c r="A101" s="10"/>
      <c r="B101" s="3"/>
      <c r="C101" s="14"/>
      <c r="D101" s="14"/>
      <c r="E101" s="143"/>
    </row>
    <row r="102" spans="1:5" x14ac:dyDescent="0.25">
      <c r="A102" s="10">
        <v>3</v>
      </c>
      <c r="B102" s="3"/>
      <c r="C102" s="14" t="s">
        <v>24</v>
      </c>
      <c r="D102" s="14"/>
      <c r="E102" s="143">
        <v>2E-3</v>
      </c>
    </row>
    <row r="103" spans="1:5" x14ac:dyDescent="0.25">
      <c r="A103" s="10"/>
      <c r="B103" s="3"/>
      <c r="C103" s="14"/>
      <c r="D103" s="14"/>
      <c r="E103" s="143"/>
    </row>
    <row r="104" spans="1:5" x14ac:dyDescent="0.25">
      <c r="A104" s="10">
        <v>4</v>
      </c>
      <c r="B104" s="3"/>
      <c r="C104" s="14" t="s">
        <v>25</v>
      </c>
      <c r="D104" s="14"/>
      <c r="E104" s="143">
        <v>3.8643681201400999E-2</v>
      </c>
    </row>
    <row r="105" spans="1:5" x14ac:dyDescent="0.25">
      <c r="A105" s="10"/>
      <c r="B105" s="3"/>
      <c r="C105" s="14"/>
      <c r="D105" s="14"/>
      <c r="E105" s="14"/>
    </row>
    <row r="106" spans="1:5" x14ac:dyDescent="0.25">
      <c r="A106" s="10">
        <v>5</v>
      </c>
      <c r="B106" s="3"/>
      <c r="C106" s="14" t="s">
        <v>26</v>
      </c>
      <c r="D106" s="14"/>
      <c r="E106" s="15">
        <f>ROUND(SUM(E100:E105),6)</f>
        <v>4.2974999999999999E-2</v>
      </c>
    </row>
    <row r="107" spans="1:5" x14ac:dyDescent="0.25">
      <c r="A107" s="3"/>
      <c r="B107" s="3"/>
      <c r="C107" s="14"/>
      <c r="D107" s="14"/>
      <c r="E107" s="16"/>
    </row>
    <row r="108" spans="1:5" x14ac:dyDescent="0.25">
      <c r="A108" s="10">
        <v>6</v>
      </c>
      <c r="B108" s="3"/>
      <c r="C108" s="14" t="s">
        <v>27</v>
      </c>
      <c r="D108" s="14"/>
      <c r="E108" s="16">
        <f>E97-E106</f>
        <v>0.95702500000000001</v>
      </c>
    </row>
    <row r="109" spans="1:5" x14ac:dyDescent="0.25">
      <c r="A109" s="3"/>
      <c r="B109" s="3"/>
      <c r="C109" s="14"/>
      <c r="D109" s="14"/>
      <c r="E109" s="16"/>
    </row>
    <row r="110" spans="1:5" x14ac:dyDescent="0.25">
      <c r="A110" s="10">
        <v>7</v>
      </c>
      <c r="B110" s="3"/>
      <c r="C110" s="14" t="s">
        <v>166</v>
      </c>
      <c r="D110" s="17"/>
      <c r="E110" s="18">
        <f>ROUND(E108*0.21,6)</f>
        <v>0.20097499999999999</v>
      </c>
    </row>
    <row r="111" spans="1:5" x14ac:dyDescent="0.25">
      <c r="A111" s="3"/>
      <c r="B111" s="3"/>
      <c r="C111" s="14"/>
      <c r="D111" s="14"/>
      <c r="E111" s="16"/>
    </row>
    <row r="112" spans="1:5" ht="15.75" thickBot="1" x14ac:dyDescent="0.3">
      <c r="A112" s="10">
        <v>8</v>
      </c>
      <c r="B112" s="3"/>
      <c r="C112" s="13" t="s">
        <v>29</v>
      </c>
      <c r="D112" s="14"/>
      <c r="E112" s="24">
        <f>ROUND(E108-E110,6)</f>
        <v>0.75605</v>
      </c>
    </row>
    <row r="113" spans="1:5" ht="15.75" thickTop="1" x14ac:dyDescent="0.25">
      <c r="A113" s="3"/>
      <c r="B113" s="3"/>
      <c r="C113" s="3"/>
      <c r="D113" s="3"/>
      <c r="E113" s="4"/>
    </row>
    <row r="114" spans="1:5" x14ac:dyDescent="0.25">
      <c r="A114" s="75">
        <v>9</v>
      </c>
      <c r="C114" t="s">
        <v>37</v>
      </c>
      <c r="E114">
        <f>ROUND(1/E108,6)</f>
        <v>1.044905</v>
      </c>
    </row>
    <row r="116" spans="1:5" x14ac:dyDescent="0.25">
      <c r="A116" t="s">
        <v>174</v>
      </c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55000000000000004" bottom="0.48" header="0.3" footer="0.3"/>
  <pageSetup scale="88" firstPageNumber="8" orientation="portrait" useFirstPageNumber="1" r:id="rId3"/>
  <headerFooter scaleWithDoc="0">
    <oddFooter>&amp;CATTACHMENT A&amp;RPage &amp;P of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38"/>
  <sheetViews>
    <sheetView tabSelected="1" topLeftCell="A19" zoomScaleNormal="100" workbookViewId="0">
      <selection activeCell="H27" sqref="H27"/>
    </sheetView>
  </sheetViews>
  <sheetFormatPr defaultRowHeight="15" x14ac:dyDescent="0.25"/>
  <cols>
    <col min="1" max="1" width="2.140625" customWidth="1"/>
    <col min="2" max="2" width="23.28515625" customWidth="1"/>
    <col min="3" max="3" width="8.42578125" customWidth="1"/>
    <col min="4" max="4" width="13.7109375" customWidth="1"/>
    <col min="5" max="5" width="10.7109375" customWidth="1"/>
    <col min="6" max="6" width="13.140625" customWidth="1"/>
    <col min="7" max="7" width="13.28515625" customWidth="1"/>
    <col min="8" max="8" width="12.28515625" customWidth="1"/>
    <col min="9" max="9" width="11.42578125" customWidth="1"/>
    <col min="10" max="10" width="12.28515625" customWidth="1"/>
    <col min="11" max="11" width="1.7109375" customWidth="1"/>
    <col min="12" max="12" width="13.28515625" customWidth="1"/>
    <col min="13" max="13" width="7.7109375" customWidth="1"/>
  </cols>
  <sheetData>
    <row r="1" spans="2:13" x14ac:dyDescent="0.25">
      <c r="B1" s="44" t="s">
        <v>0</v>
      </c>
    </row>
    <row r="2" spans="2:13" x14ac:dyDescent="0.25">
      <c r="B2" s="44" t="s">
        <v>120</v>
      </c>
    </row>
    <row r="3" spans="2:13" x14ac:dyDescent="0.25">
      <c r="B3" s="44" t="s">
        <v>177</v>
      </c>
    </row>
    <row r="4" spans="2:13" x14ac:dyDescent="0.25">
      <c r="B4" s="44" t="s">
        <v>167</v>
      </c>
    </row>
    <row r="6" spans="2:13" x14ac:dyDescent="0.25">
      <c r="D6" s="100" t="s">
        <v>121</v>
      </c>
      <c r="E6" s="100" t="s">
        <v>122</v>
      </c>
      <c r="F6" s="100" t="s">
        <v>123</v>
      </c>
      <c r="G6" s="100" t="s">
        <v>124</v>
      </c>
      <c r="H6" s="100" t="s">
        <v>125</v>
      </c>
      <c r="I6" s="100" t="s">
        <v>125</v>
      </c>
      <c r="J6" s="100" t="s">
        <v>126</v>
      </c>
      <c r="L6" s="100" t="s">
        <v>123</v>
      </c>
    </row>
    <row r="7" spans="2:13" x14ac:dyDescent="0.25">
      <c r="B7" s="101" t="s">
        <v>127</v>
      </c>
      <c r="C7" s="101" t="s">
        <v>128</v>
      </c>
      <c r="D7" s="100" t="s">
        <v>129</v>
      </c>
      <c r="E7" s="100" t="s">
        <v>121</v>
      </c>
      <c r="F7" s="100" t="s">
        <v>121</v>
      </c>
      <c r="G7" s="100" t="s">
        <v>121</v>
      </c>
      <c r="H7" s="100" t="s">
        <v>121</v>
      </c>
      <c r="I7" s="100" t="s">
        <v>121</v>
      </c>
      <c r="J7" s="100" t="s">
        <v>130</v>
      </c>
      <c r="L7" s="100" t="s">
        <v>131</v>
      </c>
    </row>
    <row r="8" spans="2:13" x14ac:dyDescent="0.25">
      <c r="B8" s="102" t="s">
        <v>132</v>
      </c>
      <c r="C8" s="102" t="s">
        <v>133</v>
      </c>
      <c r="D8" s="103" t="s">
        <v>134</v>
      </c>
      <c r="E8" s="103" t="s">
        <v>130</v>
      </c>
      <c r="F8" s="103" t="s">
        <v>135</v>
      </c>
      <c r="G8" s="103" t="s">
        <v>165</v>
      </c>
      <c r="H8" s="103" t="s">
        <v>135</v>
      </c>
      <c r="I8" s="103" t="s">
        <v>130</v>
      </c>
      <c r="J8" s="104" t="s">
        <v>136</v>
      </c>
      <c r="L8" s="105" t="s">
        <v>135</v>
      </c>
    </row>
    <row r="9" spans="2:13" x14ac:dyDescent="0.25">
      <c r="B9" s="101" t="s">
        <v>137</v>
      </c>
      <c r="C9" s="101" t="s">
        <v>138</v>
      </c>
      <c r="D9" s="101" t="s">
        <v>139</v>
      </c>
      <c r="E9" s="101" t="s">
        <v>140</v>
      </c>
      <c r="F9" s="101" t="s">
        <v>141</v>
      </c>
      <c r="G9" s="101" t="s">
        <v>142</v>
      </c>
      <c r="H9" s="101" t="s">
        <v>143</v>
      </c>
      <c r="I9" s="101" t="s">
        <v>144</v>
      </c>
      <c r="J9" s="105" t="s">
        <v>145</v>
      </c>
    </row>
    <row r="10" spans="2:13" x14ac:dyDescent="0.25">
      <c r="B10" s="106"/>
      <c r="C10" s="101"/>
    </row>
    <row r="11" spans="2:13" x14ac:dyDescent="0.25">
      <c r="B11" s="128" t="s">
        <v>111</v>
      </c>
      <c r="C11" s="129" t="s">
        <v>146</v>
      </c>
      <c r="D11" s="124">
        <f>SUM('5 12 21 Forecast Usage by Sched'!C8:C19)</f>
        <v>2471980587.6022091</v>
      </c>
      <c r="E11" s="136">
        <v>2.4399999999999999E-3</v>
      </c>
      <c r="F11" s="130">
        <f>D11*E11</f>
        <v>6031632.63374939</v>
      </c>
      <c r="G11" s="131">
        <f>H11-F11</f>
        <v>-7144023.8981703836</v>
      </c>
      <c r="H11" s="125">
        <f>D11*I11</f>
        <v>-1112391.2644209941</v>
      </c>
      <c r="I11" s="110">
        <f>'Electric 2021 Rate Calc'!D30</f>
        <v>-4.4999999999999999E-4</v>
      </c>
      <c r="J11" s="132">
        <f>ROUND(I11-E11,5)</f>
        <v>-2.8900000000000002E-3</v>
      </c>
      <c r="K11" s="44"/>
      <c r="L11" s="131">
        <v>239238066</v>
      </c>
      <c r="M11" s="127">
        <f>G11/L11</f>
        <v>-2.9861568510465987E-2</v>
      </c>
    </row>
    <row r="12" spans="2:13" x14ac:dyDescent="0.25">
      <c r="B12" s="106"/>
      <c r="C12" s="101"/>
      <c r="F12" s="45"/>
      <c r="G12" s="45"/>
      <c r="H12" s="38"/>
      <c r="I12" s="110"/>
      <c r="J12" s="111"/>
      <c r="L12" s="65"/>
      <c r="M12" s="36"/>
    </row>
    <row r="13" spans="2:13" x14ac:dyDescent="0.25">
      <c r="B13" s="106" t="s">
        <v>147</v>
      </c>
      <c r="C13" s="112" t="s">
        <v>175</v>
      </c>
      <c r="D13" s="108">
        <f>SUM('5 12 21 Forecast Usage by Sched'!D8:E19)</f>
        <v>658351304.81775558</v>
      </c>
      <c r="E13" s="136">
        <v>3.65E-3</v>
      </c>
      <c r="F13" s="45">
        <f t="shared" ref="F13:F17" si="0">D13*E13</f>
        <v>2402982.2625848078</v>
      </c>
      <c r="G13" s="45">
        <f>H13-F13</f>
        <v>2067223.0971277528</v>
      </c>
      <c r="H13" s="38">
        <f>D13*I13</f>
        <v>4470205.3597125607</v>
      </c>
      <c r="I13" s="110">
        <f>'Electric 2021 Rate Calc'!J30</f>
        <v>6.79E-3</v>
      </c>
      <c r="J13" s="111">
        <f t="shared" ref="J13:J17" si="1">I13-E13</f>
        <v>3.14E-3</v>
      </c>
      <c r="L13" s="65">
        <v>79232027</v>
      </c>
      <c r="M13" s="36">
        <f t="shared" ref="M13:M25" si="2">G13/L13</f>
        <v>2.609075111921285E-2</v>
      </c>
    </row>
    <row r="14" spans="2:13" x14ac:dyDescent="0.25">
      <c r="B14" s="106"/>
      <c r="C14" s="101"/>
      <c r="E14" s="136"/>
      <c r="F14" s="45"/>
      <c r="G14" s="45"/>
      <c r="H14" s="38"/>
      <c r="I14" s="110"/>
      <c r="J14" s="111"/>
      <c r="L14" s="65"/>
      <c r="M14" s="36"/>
    </row>
    <row r="15" spans="2:13" x14ac:dyDescent="0.25">
      <c r="B15" s="106" t="s">
        <v>148</v>
      </c>
      <c r="C15" s="107" t="s">
        <v>176</v>
      </c>
      <c r="D15" s="108">
        <f>SUM('5 12 21 Forecast Usage by Sched'!F8:G19)</f>
        <v>1328213987.238811</v>
      </c>
      <c r="E15" s="136">
        <v>3.65E-3</v>
      </c>
      <c r="F15" s="45">
        <f t="shared" si="0"/>
        <v>4847981.0534216603</v>
      </c>
      <c r="G15" s="45">
        <f>H15-F15</f>
        <v>4170591.9199298667</v>
      </c>
      <c r="H15" s="38">
        <f>D15*I15</f>
        <v>9018572.973351527</v>
      </c>
      <c r="I15" s="110">
        <f>I13</f>
        <v>6.79E-3</v>
      </c>
      <c r="J15" s="111">
        <f t="shared" si="1"/>
        <v>3.14E-3</v>
      </c>
      <c r="L15" s="65">
        <v>130707704</v>
      </c>
      <c r="M15" s="36">
        <f t="shared" si="2"/>
        <v>3.1907774310914884E-2</v>
      </c>
    </row>
    <row r="16" spans="2:13" x14ac:dyDescent="0.25">
      <c r="B16" s="106"/>
      <c r="C16" s="101"/>
      <c r="E16" s="136"/>
      <c r="F16" s="45"/>
      <c r="G16" s="45"/>
      <c r="H16" s="38"/>
      <c r="I16" s="110"/>
      <c r="J16" s="111"/>
      <c r="L16" s="65"/>
      <c r="M16" s="36"/>
    </row>
    <row r="17" spans="2:13" x14ac:dyDescent="0.25">
      <c r="B17" s="106" t="s">
        <v>149</v>
      </c>
      <c r="C17" s="107" t="s">
        <v>150</v>
      </c>
      <c r="D17" s="108">
        <f>SUM('5 12 21 Forecast Usage by Sched'!I8:J19)</f>
        <v>147362361.61315909</v>
      </c>
      <c r="E17" s="136">
        <v>3.65E-3</v>
      </c>
      <c r="F17" s="45">
        <f t="shared" si="0"/>
        <v>537872.61988803069</v>
      </c>
      <c r="G17" s="45">
        <f>H17-F17</f>
        <v>462717.81546531955</v>
      </c>
      <c r="H17" s="38">
        <f>D17*I17</f>
        <v>1000590.4353533502</v>
      </c>
      <c r="I17" s="110">
        <f>I15</f>
        <v>6.79E-3</v>
      </c>
      <c r="J17" s="111">
        <f t="shared" si="1"/>
        <v>3.14E-3</v>
      </c>
      <c r="L17" s="65">
        <v>13256072</v>
      </c>
      <c r="M17" s="36">
        <f t="shared" si="2"/>
        <v>3.4906103064717781E-2</v>
      </c>
    </row>
    <row r="18" spans="2:13" x14ac:dyDescent="0.25">
      <c r="B18" s="106"/>
      <c r="C18" s="107"/>
      <c r="D18" s="108"/>
      <c r="E18" s="109"/>
      <c r="F18" s="45"/>
      <c r="G18" s="45"/>
      <c r="H18" s="38"/>
      <c r="I18" s="110"/>
      <c r="J18" s="111"/>
      <c r="L18" s="65"/>
      <c r="M18" s="36"/>
    </row>
    <row r="19" spans="2:13" x14ac:dyDescent="0.25">
      <c r="B19" s="106" t="s">
        <v>151</v>
      </c>
      <c r="C19" s="107">
        <v>25</v>
      </c>
      <c r="D19" s="113" t="s">
        <v>152</v>
      </c>
      <c r="E19" s="109"/>
      <c r="F19" s="45"/>
      <c r="G19" s="45"/>
      <c r="H19" s="38"/>
      <c r="I19" s="110"/>
      <c r="J19" s="111"/>
      <c r="L19" s="65">
        <v>62808728</v>
      </c>
      <c r="M19" s="36">
        <v>0</v>
      </c>
    </row>
    <row r="20" spans="2:13" x14ac:dyDescent="0.25">
      <c r="B20" s="106"/>
      <c r="C20" s="107"/>
      <c r="D20" s="113"/>
      <c r="E20" s="109"/>
      <c r="F20" s="45"/>
      <c r="G20" s="117"/>
      <c r="H20" s="38"/>
      <c r="I20" s="110"/>
      <c r="J20" s="111"/>
      <c r="L20" s="65"/>
      <c r="M20" s="36"/>
    </row>
    <row r="21" spans="2:13" x14ac:dyDescent="0.25">
      <c r="B21" s="106" t="s">
        <v>153</v>
      </c>
      <c r="C21" s="107" t="s">
        <v>154</v>
      </c>
      <c r="D21" s="113" t="s">
        <v>152</v>
      </c>
      <c r="E21" s="109"/>
      <c r="F21" s="45"/>
      <c r="G21" s="45"/>
      <c r="H21" s="38"/>
      <c r="I21" s="110"/>
      <c r="J21" s="111"/>
      <c r="L21" s="65">
        <v>6626668</v>
      </c>
      <c r="M21" s="36">
        <v>0</v>
      </c>
    </row>
    <row r="22" spans="2:13" x14ac:dyDescent="0.25">
      <c r="B22" s="106"/>
      <c r="C22" s="101"/>
      <c r="L22" s="45"/>
      <c r="M22" s="36"/>
    </row>
    <row r="23" spans="2:13" x14ac:dyDescent="0.25">
      <c r="B23" s="114" t="s">
        <v>56</v>
      </c>
      <c r="C23" s="101"/>
      <c r="D23" s="108">
        <f>SUM(D11:D17)</f>
        <v>4605908241.2719345</v>
      </c>
      <c r="F23" s="38">
        <f>SUM(F11:F17)</f>
        <v>13820468.569643889</v>
      </c>
      <c r="G23" s="38">
        <f>SUM(G11:G17)</f>
        <v>-443491.06564744504</v>
      </c>
      <c r="H23" s="38">
        <f>SUM(H11:H17)</f>
        <v>13376977.503996443</v>
      </c>
      <c r="L23" s="115">
        <f>SUM(L11:L21)</f>
        <v>531869265</v>
      </c>
      <c r="M23" s="36">
        <f t="shared" si="2"/>
        <v>-8.3383473126134682E-4</v>
      </c>
    </row>
    <row r="25" spans="2:13" x14ac:dyDescent="0.25">
      <c r="B25" s="44" t="s">
        <v>155</v>
      </c>
      <c r="D25" s="124">
        <f>SUM(D13:D17)</f>
        <v>2133927653.6697259</v>
      </c>
      <c r="E25" s="44"/>
      <c r="F25" s="125">
        <f>SUM(F13:F17)</f>
        <v>7788835.9358944995</v>
      </c>
      <c r="G25" s="126">
        <f t="shared" ref="G25:H25" si="3">SUM(G13:G17)</f>
        <v>6700532.8325229399</v>
      </c>
      <c r="H25" s="125">
        <f t="shared" si="3"/>
        <v>14489368.768417437</v>
      </c>
      <c r="I25" s="44"/>
      <c r="J25" s="44"/>
      <c r="K25" s="44"/>
      <c r="L25" s="125">
        <f t="shared" ref="L25" si="4">SUM(L13:L17)</f>
        <v>223195803</v>
      </c>
      <c r="M25" s="127">
        <f t="shared" si="2"/>
        <v>3.0020872894831897E-2</v>
      </c>
    </row>
    <row r="27" spans="2:13" x14ac:dyDescent="0.25">
      <c r="G27" s="36"/>
      <c r="H27" s="100" t="s">
        <v>156</v>
      </c>
      <c r="J27" s="146" t="s">
        <v>187</v>
      </c>
      <c r="K27" s="116"/>
    </row>
    <row r="28" spans="2:13" x14ac:dyDescent="0.25">
      <c r="G28" s="117"/>
      <c r="H28" s="118" t="s">
        <v>157</v>
      </c>
      <c r="I28" s="119">
        <v>9</v>
      </c>
      <c r="J28" s="119">
        <f>I28</f>
        <v>9</v>
      </c>
      <c r="K28" s="116"/>
      <c r="L28" s="95"/>
    </row>
    <row r="29" spans="2:13" x14ac:dyDescent="0.25">
      <c r="G29" s="36"/>
      <c r="H29" s="118" t="s">
        <v>158</v>
      </c>
      <c r="I29" s="142">
        <v>8.0759999999999998E-2</v>
      </c>
      <c r="J29" s="119">
        <f>ROUND(800*I29,2)</f>
        <v>64.61</v>
      </c>
    </row>
    <row r="30" spans="2:13" x14ac:dyDescent="0.25">
      <c r="H30" s="118" t="s">
        <v>159</v>
      </c>
      <c r="I30" s="142">
        <v>9.4E-2</v>
      </c>
      <c r="J30" s="135">
        <f>ROUND(114*I30,2)</f>
        <v>10.72</v>
      </c>
    </row>
    <row r="31" spans="2:13" x14ac:dyDescent="0.25">
      <c r="H31" s="118" t="s">
        <v>160</v>
      </c>
      <c r="I31" s="142">
        <v>0.11026</v>
      </c>
      <c r="J31" s="119">
        <f>ROUND(0*I31,2)</f>
        <v>0</v>
      </c>
    </row>
    <row r="32" spans="2:13" x14ac:dyDescent="0.25">
      <c r="H32" s="100" t="s">
        <v>188</v>
      </c>
      <c r="J32" s="120">
        <f>SUM(J28:J31)</f>
        <v>84.33</v>
      </c>
    </row>
    <row r="33" spans="8:12" x14ac:dyDescent="0.25">
      <c r="H33" s="118" t="s">
        <v>161</v>
      </c>
      <c r="I33" s="111">
        <f>J11</f>
        <v>-2.8900000000000002E-3</v>
      </c>
      <c r="J33" s="135">
        <f>ROUND(I33*914,2)</f>
        <v>-2.64</v>
      </c>
    </row>
    <row r="34" spans="8:12" x14ac:dyDescent="0.25">
      <c r="H34" s="100" t="s">
        <v>162</v>
      </c>
      <c r="J34" s="120">
        <f>J32+J33</f>
        <v>81.69</v>
      </c>
      <c r="L34" s="116"/>
    </row>
    <row r="35" spans="8:12" x14ac:dyDescent="0.25">
      <c r="H35" s="100" t="s">
        <v>163</v>
      </c>
      <c r="J35" s="36">
        <f>J33/J32</f>
        <v>-3.1305585200996092E-2</v>
      </c>
    </row>
    <row r="36" spans="8:12" x14ac:dyDescent="0.25">
      <c r="J36" s="121"/>
    </row>
    <row r="37" spans="8:12" x14ac:dyDescent="0.25">
      <c r="J37" s="121"/>
    </row>
    <row r="38" spans="8:12" x14ac:dyDescent="0.25">
      <c r="J38" s="95"/>
      <c r="L38" s="36"/>
    </row>
  </sheetData>
  <printOptions horizontalCentered="1"/>
  <pageMargins left="0.7" right="0.7" top="0.55000000000000004" bottom="0.48" header="0.3" footer="0.3"/>
  <pageSetup scale="85" firstPageNumber="9" orientation="landscape" useFirstPageNumber="1" r:id="rId1"/>
  <headerFooter scaleWithDoc="0">
    <oddFooter>&amp;CATTACHMENT A&amp;RPage &amp;P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58EE20B7BE83479325C0557723836B" ma:contentTypeVersion="36" ma:contentTypeDescription="" ma:contentTypeScope="" ma:versionID="c19f17c37ba6e0a4e5679471f78365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A3EE82-12DA-4C3D-8ED5-C9BCCDF97C68}"/>
</file>

<file path=customXml/itemProps2.xml><?xml version="1.0" encoding="utf-8"?>
<ds:datastoreItem xmlns:ds="http://schemas.openxmlformats.org/officeDocument/2006/customXml" ds:itemID="{A3DC124A-3729-4559-ABF5-E82BFC648AB8}"/>
</file>

<file path=customXml/itemProps3.xml><?xml version="1.0" encoding="utf-8"?>
<ds:datastoreItem xmlns:ds="http://schemas.openxmlformats.org/officeDocument/2006/customXml" ds:itemID="{6A76C0BE-EEBD-4847-A079-CC728028E0F3}"/>
</file>

<file path=customXml/itemProps4.xml><?xml version="1.0" encoding="utf-8"?>
<ds:datastoreItem xmlns:ds="http://schemas.openxmlformats.org/officeDocument/2006/customXml" ds:itemID="{0CD5D43C-0E93-4143-8BCC-188803758C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5 12 21 Forecast Usage by Sched</vt:lpstr>
      <vt:lpstr>Electric 2021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2021 Rate Calc'!Print_Area</vt:lpstr>
      <vt:lpstr>'Prior Year Amortization'!Print_Area</vt:lpstr>
      <vt:lpstr>'Earnings Test and 3% Test'!Print_Titles</vt:lpstr>
      <vt:lpstr>'Electric 2021 Rate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0x0101006E56B4D1795A2E4DB2F0B01679ED314A005B58EE20B7BE83479325C0557723836B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