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6.xml" ContentType="application/vnd.openxmlformats-officedocument.customXmlProperties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customXml/itemProps7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PS Reporting\2020\Attachment 3 Tool\"/>
    </mc:Choice>
  </mc:AlternateContent>
  <bookViews>
    <workbookView xWindow="1265" yWindow="0" windowWidth="15840" windowHeight="6424" tabRatio="670" firstSheet="1" activeTab="3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Facilities">'Facility Detail'!$B$4:$H$43</definedName>
    <definedName name="FacilityTypes">'Facility Detail'!$B$1621:$B$1629</definedName>
    <definedName name="LaborBonus">'Facility Detail'!$B$1609:$B$1611</definedName>
    <definedName name="_xlnm.Print_Area" localSheetId="2">'Compliance Summary'!$A$2:$F$44</definedName>
    <definedName name="_xlnm.Print_Area" localSheetId="3">'Facility Detail'!$A$1:$H$746</definedName>
    <definedName name="_xlnm.Print_Area" localSheetId="1">Instructions!$A$2:$F$39</definedName>
    <definedName name="StartYear">'Facility Detail'!$B$1617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74" i="1" l="1"/>
  <c r="H1574" i="1"/>
  <c r="G1535" i="1"/>
  <c r="H1535" i="1"/>
  <c r="G1496" i="1"/>
  <c r="H1496" i="1"/>
  <c r="G1457" i="1"/>
  <c r="H1457" i="1"/>
  <c r="G1418" i="1"/>
  <c r="H1418" i="1"/>
  <c r="G1379" i="1"/>
  <c r="H1379" i="1"/>
  <c r="G1340" i="1"/>
  <c r="H1340" i="1"/>
  <c r="G1301" i="1"/>
  <c r="H1301" i="1"/>
  <c r="G1262" i="1"/>
  <c r="H1262" i="1"/>
  <c r="G1223" i="1"/>
  <c r="H1223" i="1"/>
  <c r="K206" i="1" l="1"/>
  <c r="K209" i="1" s="1"/>
  <c r="K211" i="1" s="1"/>
  <c r="K167" i="1"/>
  <c r="K170" i="1" s="1"/>
  <c r="K172" i="1" s="1"/>
  <c r="C4" i="6"/>
  <c r="B1" i="1"/>
  <c r="A1" i="8"/>
  <c r="A5" i="8" a="1"/>
  <c r="A5" i="8" s="1"/>
  <c r="C18" i="8"/>
  <c r="D18" i="8" s="1"/>
  <c r="C4" i="8"/>
  <c r="D4" i="8" s="1"/>
  <c r="C1529" i="1"/>
  <c r="C1490" i="1"/>
  <c r="C1451" i="1"/>
  <c r="C1412" i="1"/>
  <c r="C1373" i="1"/>
  <c r="B1376" i="1" s="1"/>
  <c r="C1334" i="1"/>
  <c r="B1337" i="1" s="1"/>
  <c r="C1295" i="1"/>
  <c r="B1298" i="1" s="1"/>
  <c r="C1256" i="1"/>
  <c r="B1259" i="1" s="1"/>
  <c r="C1217" i="1"/>
  <c r="B1220" i="1"/>
  <c r="E4" i="8" l="1"/>
  <c r="E18" i="8"/>
  <c r="A12" i="8"/>
  <c r="A8" i="8"/>
  <c r="A11" i="8"/>
  <c r="A7" i="8"/>
  <c r="A10" i="8"/>
  <c r="A6" i="8"/>
  <c r="A13" i="8"/>
  <c r="A9" i="8"/>
  <c r="F18" i="8" l="1"/>
  <c r="F4" i="8"/>
  <c r="G4" i="8" l="1"/>
  <c r="G18" i="8"/>
  <c r="G1594" i="1" l="1"/>
  <c r="F1592" i="1"/>
  <c r="F1598" i="1" s="1"/>
  <c r="H1585" i="1"/>
  <c r="G1585" i="1"/>
  <c r="F1585" i="1"/>
  <c r="H1578" i="1"/>
  <c r="G1578" i="1"/>
  <c r="F1578" i="1"/>
  <c r="H1577" i="1"/>
  <c r="G1577" i="1"/>
  <c r="F1577" i="1"/>
  <c r="F1574" i="1"/>
  <c r="G1555" i="1"/>
  <c r="F1553" i="1"/>
  <c r="F1559" i="1" s="1"/>
  <c r="H1546" i="1"/>
  <c r="G1546" i="1"/>
  <c r="F1546" i="1"/>
  <c r="H1539" i="1"/>
  <c r="G1539" i="1"/>
  <c r="F1539" i="1"/>
  <c r="H1538" i="1"/>
  <c r="G1538" i="1"/>
  <c r="F1538" i="1"/>
  <c r="F1535" i="1"/>
  <c r="G1516" i="1"/>
  <c r="F1514" i="1"/>
  <c r="F1520" i="1" s="1"/>
  <c r="H1507" i="1"/>
  <c r="G1507" i="1"/>
  <c r="F1507" i="1"/>
  <c r="H1500" i="1"/>
  <c r="G1500" i="1"/>
  <c r="F1500" i="1"/>
  <c r="H1499" i="1"/>
  <c r="G1499" i="1"/>
  <c r="F1499" i="1"/>
  <c r="F1496" i="1"/>
  <c r="G1477" i="1"/>
  <c r="F1475" i="1"/>
  <c r="F1481" i="1" s="1"/>
  <c r="H1468" i="1"/>
  <c r="G1468" i="1"/>
  <c r="F1468" i="1"/>
  <c r="H1461" i="1"/>
  <c r="G1461" i="1"/>
  <c r="F1461" i="1"/>
  <c r="H1460" i="1"/>
  <c r="G1460" i="1"/>
  <c r="F1460" i="1"/>
  <c r="F1457" i="1"/>
  <c r="G1438" i="1"/>
  <c r="F1436" i="1"/>
  <c r="F1442" i="1" s="1"/>
  <c r="H1429" i="1"/>
  <c r="G1429" i="1"/>
  <c r="F1429" i="1"/>
  <c r="H1422" i="1"/>
  <c r="G1422" i="1"/>
  <c r="F1422" i="1"/>
  <c r="H1421" i="1"/>
  <c r="G1421" i="1"/>
  <c r="F1421" i="1"/>
  <c r="F1418" i="1"/>
  <c r="G1399" i="1"/>
  <c r="F1397" i="1"/>
  <c r="F1403" i="1" s="1"/>
  <c r="H1390" i="1"/>
  <c r="G1390" i="1"/>
  <c r="F1390" i="1"/>
  <c r="H1383" i="1"/>
  <c r="G1383" i="1"/>
  <c r="F1383" i="1"/>
  <c r="H1382" i="1"/>
  <c r="G1382" i="1"/>
  <c r="F1382" i="1"/>
  <c r="F1379" i="1"/>
  <c r="G1360" i="1"/>
  <c r="F1358" i="1"/>
  <c r="F1364" i="1" s="1"/>
  <c r="H1351" i="1"/>
  <c r="G1351" i="1"/>
  <c r="F1351" i="1"/>
  <c r="H1344" i="1"/>
  <c r="G1344" i="1"/>
  <c r="F1344" i="1"/>
  <c r="H1343" i="1"/>
  <c r="G1343" i="1"/>
  <c r="F1343" i="1"/>
  <c r="F1340" i="1"/>
  <c r="G1321" i="1"/>
  <c r="F1319" i="1"/>
  <c r="F1325" i="1" s="1"/>
  <c r="H1312" i="1"/>
  <c r="G1312" i="1"/>
  <c r="F1312" i="1"/>
  <c r="H1305" i="1"/>
  <c r="G1305" i="1"/>
  <c r="F1305" i="1"/>
  <c r="H1304" i="1"/>
  <c r="G1304" i="1"/>
  <c r="F1304" i="1"/>
  <c r="F1301" i="1"/>
  <c r="G1282" i="1"/>
  <c r="F1280" i="1"/>
  <c r="F1286" i="1" s="1"/>
  <c r="H1273" i="1"/>
  <c r="G1273" i="1"/>
  <c r="F1273" i="1"/>
  <c r="H1266" i="1"/>
  <c r="G1266" i="1"/>
  <c r="F1266" i="1"/>
  <c r="H1265" i="1"/>
  <c r="G1265" i="1"/>
  <c r="F1265" i="1"/>
  <c r="F1262" i="1"/>
  <c r="G1243" i="1"/>
  <c r="F1241" i="1"/>
  <c r="F1247" i="1" s="1"/>
  <c r="H1234" i="1"/>
  <c r="G1234" i="1"/>
  <c r="F1234" i="1"/>
  <c r="H1227" i="1"/>
  <c r="G1227" i="1"/>
  <c r="F1227" i="1"/>
  <c r="H1226" i="1"/>
  <c r="G1226" i="1"/>
  <c r="F1226" i="1"/>
  <c r="F1223" i="1"/>
  <c r="G1204" i="1"/>
  <c r="F1202" i="1"/>
  <c r="F1208" i="1" s="1"/>
  <c r="H1195" i="1"/>
  <c r="G1195" i="1"/>
  <c r="F1195" i="1"/>
  <c r="H1188" i="1"/>
  <c r="G1188" i="1"/>
  <c r="F1188" i="1"/>
  <c r="H1187" i="1"/>
  <c r="G1187" i="1"/>
  <c r="F1187" i="1"/>
  <c r="H1184" i="1"/>
  <c r="G1184" i="1"/>
  <c r="F1184" i="1"/>
  <c r="G1165" i="1"/>
  <c r="F1163" i="1"/>
  <c r="F1169" i="1" s="1"/>
  <c r="H1156" i="1"/>
  <c r="G1156" i="1"/>
  <c r="F1156" i="1"/>
  <c r="H1149" i="1"/>
  <c r="G1149" i="1"/>
  <c r="F1149" i="1"/>
  <c r="H1148" i="1"/>
  <c r="G1148" i="1"/>
  <c r="F1148" i="1"/>
  <c r="H1145" i="1"/>
  <c r="G1145" i="1"/>
  <c r="F1145" i="1"/>
  <c r="G1126" i="1"/>
  <c r="F1124" i="1"/>
  <c r="F1130" i="1" s="1"/>
  <c r="H1117" i="1"/>
  <c r="G1117" i="1"/>
  <c r="F1117" i="1"/>
  <c r="H1110" i="1"/>
  <c r="G1110" i="1"/>
  <c r="F1110" i="1"/>
  <c r="H1109" i="1"/>
  <c r="G1109" i="1"/>
  <c r="F1109" i="1"/>
  <c r="H1106" i="1"/>
  <c r="G1106" i="1"/>
  <c r="F1106" i="1"/>
  <c r="G1087" i="1"/>
  <c r="F1085" i="1"/>
  <c r="F1091" i="1" s="1"/>
  <c r="H1078" i="1"/>
  <c r="G1078" i="1"/>
  <c r="F1078" i="1"/>
  <c r="H1071" i="1"/>
  <c r="G1071" i="1"/>
  <c r="F1071" i="1"/>
  <c r="H1070" i="1"/>
  <c r="G1070" i="1"/>
  <c r="F1070" i="1"/>
  <c r="H1067" i="1"/>
  <c r="G1067" i="1"/>
  <c r="F1067" i="1"/>
  <c r="G1048" i="1"/>
  <c r="F1046" i="1"/>
  <c r="F1052" i="1" s="1"/>
  <c r="H1039" i="1"/>
  <c r="G1039" i="1"/>
  <c r="F1039" i="1"/>
  <c r="H1032" i="1"/>
  <c r="G1032" i="1"/>
  <c r="F1032" i="1"/>
  <c r="H1031" i="1"/>
  <c r="G1031" i="1"/>
  <c r="F1031" i="1"/>
  <c r="H1028" i="1"/>
  <c r="G1028" i="1"/>
  <c r="F1028" i="1"/>
  <c r="G1009" i="1"/>
  <c r="F1007" i="1"/>
  <c r="F1013" i="1" s="1"/>
  <c r="H1000" i="1"/>
  <c r="G1000" i="1"/>
  <c r="F1000" i="1"/>
  <c r="H993" i="1"/>
  <c r="G993" i="1"/>
  <c r="F993" i="1"/>
  <c r="H992" i="1"/>
  <c r="G992" i="1"/>
  <c r="F992" i="1"/>
  <c r="H989" i="1"/>
  <c r="G989" i="1"/>
  <c r="F989" i="1"/>
  <c r="G970" i="1"/>
  <c r="F968" i="1"/>
  <c r="F974" i="1" s="1"/>
  <c r="H961" i="1"/>
  <c r="G961" i="1"/>
  <c r="F961" i="1"/>
  <c r="H954" i="1"/>
  <c r="G954" i="1"/>
  <c r="F954" i="1"/>
  <c r="H953" i="1"/>
  <c r="G953" i="1"/>
  <c r="F953" i="1"/>
  <c r="H950" i="1"/>
  <c r="G950" i="1"/>
  <c r="F950" i="1"/>
  <c r="G931" i="1"/>
  <c r="F929" i="1"/>
  <c r="F935" i="1" s="1"/>
  <c r="H922" i="1"/>
  <c r="G922" i="1"/>
  <c r="F922" i="1"/>
  <c r="H915" i="1"/>
  <c r="G915" i="1"/>
  <c r="F915" i="1"/>
  <c r="H914" i="1"/>
  <c r="G914" i="1"/>
  <c r="F914" i="1"/>
  <c r="H911" i="1"/>
  <c r="G911" i="1"/>
  <c r="F911" i="1"/>
  <c r="G892" i="1"/>
  <c r="F890" i="1"/>
  <c r="F896" i="1" s="1"/>
  <c r="H883" i="1"/>
  <c r="G883" i="1"/>
  <c r="F883" i="1"/>
  <c r="H876" i="1"/>
  <c r="G876" i="1"/>
  <c r="F876" i="1"/>
  <c r="H875" i="1"/>
  <c r="G875" i="1"/>
  <c r="F875" i="1"/>
  <c r="H872" i="1"/>
  <c r="G872" i="1"/>
  <c r="F872" i="1"/>
  <c r="G853" i="1"/>
  <c r="F851" i="1"/>
  <c r="F857" i="1" s="1"/>
  <c r="H844" i="1"/>
  <c r="G844" i="1"/>
  <c r="F844" i="1"/>
  <c r="H837" i="1"/>
  <c r="G837" i="1"/>
  <c r="F837" i="1"/>
  <c r="H836" i="1"/>
  <c r="G836" i="1"/>
  <c r="F836" i="1"/>
  <c r="H833" i="1"/>
  <c r="G833" i="1"/>
  <c r="F833" i="1"/>
  <c r="G814" i="1"/>
  <c r="F812" i="1"/>
  <c r="F818" i="1" s="1"/>
  <c r="H805" i="1"/>
  <c r="G805" i="1"/>
  <c r="F805" i="1"/>
  <c r="H798" i="1"/>
  <c r="G798" i="1"/>
  <c r="F798" i="1"/>
  <c r="H797" i="1"/>
  <c r="G797" i="1"/>
  <c r="F797" i="1"/>
  <c r="H794" i="1"/>
  <c r="G794" i="1"/>
  <c r="F794" i="1"/>
  <c r="G766" i="1"/>
  <c r="H766" i="1"/>
  <c r="H755" i="1"/>
  <c r="G755" i="1"/>
  <c r="F755" i="1"/>
  <c r="H716" i="1"/>
  <c r="G716" i="1"/>
  <c r="F716" i="1"/>
  <c r="H677" i="1"/>
  <c r="G677" i="1"/>
  <c r="F677" i="1"/>
  <c r="H638" i="1"/>
  <c r="G638" i="1"/>
  <c r="F638" i="1"/>
  <c r="H599" i="1"/>
  <c r="G599" i="1"/>
  <c r="F599" i="1"/>
  <c r="H560" i="1"/>
  <c r="G560" i="1"/>
  <c r="F560" i="1"/>
  <c r="H521" i="1"/>
  <c r="G521" i="1"/>
  <c r="F521" i="1"/>
  <c r="H482" i="1"/>
  <c r="G482" i="1"/>
  <c r="F482" i="1"/>
  <c r="H443" i="1"/>
  <c r="G443" i="1"/>
  <c r="F443" i="1"/>
  <c r="B1597" i="1"/>
  <c r="B1596" i="1"/>
  <c r="B1595" i="1"/>
  <c r="B1594" i="1"/>
  <c r="B1593" i="1"/>
  <c r="B1592" i="1"/>
  <c r="B1591" i="1"/>
  <c r="B1590" i="1"/>
  <c r="B1589" i="1"/>
  <c r="B1588" i="1"/>
  <c r="B1558" i="1"/>
  <c r="B1557" i="1"/>
  <c r="B1556" i="1"/>
  <c r="B1555" i="1"/>
  <c r="B1554" i="1"/>
  <c r="B1553" i="1"/>
  <c r="B1552" i="1"/>
  <c r="B1551" i="1"/>
  <c r="B1550" i="1"/>
  <c r="B1549" i="1"/>
  <c r="B1519" i="1"/>
  <c r="B1518" i="1"/>
  <c r="B1517" i="1"/>
  <c r="B1516" i="1"/>
  <c r="B1515" i="1"/>
  <c r="B1514" i="1"/>
  <c r="B1513" i="1"/>
  <c r="B1512" i="1"/>
  <c r="B1511" i="1"/>
  <c r="B1510" i="1"/>
  <c r="B1480" i="1"/>
  <c r="B1479" i="1"/>
  <c r="B1478" i="1"/>
  <c r="B1477" i="1"/>
  <c r="B1476" i="1"/>
  <c r="B1475" i="1"/>
  <c r="B1474" i="1"/>
  <c r="B1473" i="1"/>
  <c r="B1472" i="1"/>
  <c r="B1471" i="1"/>
  <c r="B1441" i="1"/>
  <c r="B1440" i="1"/>
  <c r="B1439" i="1"/>
  <c r="B1438" i="1"/>
  <c r="B1437" i="1"/>
  <c r="B1436" i="1"/>
  <c r="B1435" i="1"/>
  <c r="B1434" i="1"/>
  <c r="B1433" i="1"/>
  <c r="B1432" i="1"/>
  <c r="B1402" i="1"/>
  <c r="B1401" i="1"/>
  <c r="B1400" i="1"/>
  <c r="B1399" i="1"/>
  <c r="B1398" i="1"/>
  <c r="B1397" i="1"/>
  <c r="B1396" i="1"/>
  <c r="B1395" i="1"/>
  <c r="B1394" i="1"/>
  <c r="B1393" i="1"/>
  <c r="B1363" i="1"/>
  <c r="B1362" i="1"/>
  <c r="B1361" i="1"/>
  <c r="B1360" i="1"/>
  <c r="B1359" i="1"/>
  <c r="B1358" i="1"/>
  <c r="B1357" i="1"/>
  <c r="B1356" i="1"/>
  <c r="B1355" i="1"/>
  <c r="B1354" i="1"/>
  <c r="B1324" i="1"/>
  <c r="B1323" i="1"/>
  <c r="B1322" i="1"/>
  <c r="B1321" i="1"/>
  <c r="B1320" i="1"/>
  <c r="B1319" i="1"/>
  <c r="B1318" i="1"/>
  <c r="B1317" i="1"/>
  <c r="B1316" i="1"/>
  <c r="B1315" i="1"/>
  <c r="B1285" i="1"/>
  <c r="B1284" i="1"/>
  <c r="B1283" i="1"/>
  <c r="B1282" i="1"/>
  <c r="B1281" i="1"/>
  <c r="B1280" i="1"/>
  <c r="B1279" i="1"/>
  <c r="B1278" i="1"/>
  <c r="B1277" i="1"/>
  <c r="B1276" i="1"/>
  <c r="B1246" i="1"/>
  <c r="B1245" i="1"/>
  <c r="B1244" i="1"/>
  <c r="B1243" i="1"/>
  <c r="B1242" i="1"/>
  <c r="B1241" i="1"/>
  <c r="B1240" i="1"/>
  <c r="B1239" i="1"/>
  <c r="B1238" i="1"/>
  <c r="B1237" i="1"/>
  <c r="B1207" i="1"/>
  <c r="B1206" i="1"/>
  <c r="B1205" i="1"/>
  <c r="B1204" i="1"/>
  <c r="B1203" i="1"/>
  <c r="B1202" i="1"/>
  <c r="B1201" i="1"/>
  <c r="B1200" i="1"/>
  <c r="B1199" i="1"/>
  <c r="B1198" i="1"/>
  <c r="B1168" i="1"/>
  <c r="B1167" i="1"/>
  <c r="B1166" i="1"/>
  <c r="B1165" i="1"/>
  <c r="B1164" i="1"/>
  <c r="B1163" i="1"/>
  <c r="B1162" i="1"/>
  <c r="B1161" i="1"/>
  <c r="B1160" i="1"/>
  <c r="B1159" i="1"/>
  <c r="B1129" i="1"/>
  <c r="B1128" i="1"/>
  <c r="B1127" i="1"/>
  <c r="B1126" i="1"/>
  <c r="B1125" i="1"/>
  <c r="B1124" i="1"/>
  <c r="B1123" i="1"/>
  <c r="B1122" i="1"/>
  <c r="B1121" i="1"/>
  <c r="B1120" i="1"/>
  <c r="B1090" i="1"/>
  <c r="B1089" i="1"/>
  <c r="B1088" i="1"/>
  <c r="B1087" i="1"/>
  <c r="B1086" i="1"/>
  <c r="B1085" i="1"/>
  <c r="B1084" i="1"/>
  <c r="B1083" i="1"/>
  <c r="B1082" i="1"/>
  <c r="B1081" i="1"/>
  <c r="B1051" i="1"/>
  <c r="B1050" i="1"/>
  <c r="B1049" i="1"/>
  <c r="B1048" i="1"/>
  <c r="B1047" i="1"/>
  <c r="B1046" i="1"/>
  <c r="B1045" i="1"/>
  <c r="B1044" i="1"/>
  <c r="B1043" i="1"/>
  <c r="B1042" i="1"/>
  <c r="B1012" i="1"/>
  <c r="B1011" i="1"/>
  <c r="B1010" i="1"/>
  <c r="B1009" i="1"/>
  <c r="B1008" i="1"/>
  <c r="B1007" i="1"/>
  <c r="B1006" i="1"/>
  <c r="B1005" i="1"/>
  <c r="B1004" i="1"/>
  <c r="B1003" i="1"/>
  <c r="B973" i="1"/>
  <c r="B972" i="1"/>
  <c r="B971" i="1"/>
  <c r="B970" i="1"/>
  <c r="B969" i="1"/>
  <c r="B968" i="1"/>
  <c r="B967" i="1"/>
  <c r="B966" i="1"/>
  <c r="B965" i="1"/>
  <c r="B964" i="1"/>
  <c r="B934" i="1"/>
  <c r="B933" i="1"/>
  <c r="B932" i="1"/>
  <c r="B931" i="1"/>
  <c r="B930" i="1"/>
  <c r="B929" i="1"/>
  <c r="B928" i="1"/>
  <c r="B927" i="1"/>
  <c r="B926" i="1"/>
  <c r="B925" i="1"/>
  <c r="B895" i="1"/>
  <c r="B894" i="1"/>
  <c r="B893" i="1"/>
  <c r="B892" i="1"/>
  <c r="B891" i="1"/>
  <c r="B890" i="1"/>
  <c r="B889" i="1"/>
  <c r="B888" i="1"/>
  <c r="B887" i="1"/>
  <c r="B886" i="1"/>
  <c r="B856" i="1"/>
  <c r="B855" i="1"/>
  <c r="B854" i="1"/>
  <c r="B853" i="1"/>
  <c r="B852" i="1"/>
  <c r="B851" i="1"/>
  <c r="B850" i="1"/>
  <c r="B849" i="1"/>
  <c r="B848" i="1"/>
  <c r="B847" i="1"/>
  <c r="B817" i="1"/>
  <c r="B816" i="1"/>
  <c r="B815" i="1"/>
  <c r="B814" i="1"/>
  <c r="B813" i="1"/>
  <c r="B812" i="1"/>
  <c r="B811" i="1"/>
  <c r="B810" i="1"/>
  <c r="B809" i="1"/>
  <c r="B808" i="1"/>
  <c r="B778" i="1"/>
  <c r="B777" i="1"/>
  <c r="B776" i="1"/>
  <c r="G775" i="1"/>
  <c r="B775" i="1"/>
  <c r="B774" i="1"/>
  <c r="F773" i="1"/>
  <c r="F779" i="1" s="1"/>
  <c r="B773" i="1"/>
  <c r="B772" i="1"/>
  <c r="B771" i="1"/>
  <c r="B770" i="1"/>
  <c r="B769" i="1"/>
  <c r="C710" i="1"/>
  <c r="B713" i="1" s="1"/>
  <c r="C671" i="1"/>
  <c r="B674" i="1" s="1"/>
  <c r="C632" i="1"/>
  <c r="B635" i="1" s="1"/>
  <c r="C593" i="1"/>
  <c r="B596" i="1" s="1"/>
  <c r="C554" i="1"/>
  <c r="B557" i="1" s="1"/>
  <c r="C515" i="1"/>
  <c r="B518" i="1" s="1"/>
  <c r="C476" i="1"/>
  <c r="B479" i="1" s="1"/>
  <c r="C437" i="1"/>
  <c r="B440" i="1" s="1"/>
  <c r="C398" i="1"/>
  <c r="C359" i="1"/>
  <c r="C320" i="1"/>
  <c r="C281" i="1"/>
  <c r="C242" i="1"/>
  <c r="C203" i="1"/>
  <c r="C164" i="1"/>
  <c r="C126" i="1"/>
  <c r="C87" i="1"/>
  <c r="C49" i="1"/>
  <c r="C1178" i="1"/>
  <c r="B1181" i="1" s="1"/>
  <c r="D1197" i="1"/>
  <c r="E1195" i="1"/>
  <c r="D1195" i="1"/>
  <c r="D1191" i="1"/>
  <c r="E1188" i="1"/>
  <c r="D1188" i="1"/>
  <c r="E1187" i="1"/>
  <c r="E1189" i="1" s="1"/>
  <c r="D1187" i="1"/>
  <c r="D1186" i="1"/>
  <c r="E1184" i="1"/>
  <c r="D1184" i="1"/>
  <c r="D1180" i="1"/>
  <c r="D1236" i="1"/>
  <c r="E1234" i="1"/>
  <c r="D1234" i="1"/>
  <c r="D1230" i="1"/>
  <c r="D1225" i="1"/>
  <c r="E1223" i="1"/>
  <c r="D1223" i="1"/>
  <c r="D1219" i="1"/>
  <c r="D1275" i="1"/>
  <c r="E1273" i="1"/>
  <c r="D1273" i="1"/>
  <c r="D1269" i="1"/>
  <c r="E1269" i="1" s="1"/>
  <c r="F1269" i="1" s="1"/>
  <c r="E1266" i="1"/>
  <c r="D1266" i="1"/>
  <c r="E1265" i="1"/>
  <c r="D1265" i="1"/>
  <c r="D1264" i="1"/>
  <c r="E1262" i="1"/>
  <c r="D1262" i="1"/>
  <c r="D1258" i="1"/>
  <c r="D1314" i="1"/>
  <c r="E1312" i="1"/>
  <c r="D1312" i="1"/>
  <c r="D1308" i="1"/>
  <c r="E1308" i="1" s="1"/>
  <c r="E1305" i="1"/>
  <c r="D1305" i="1"/>
  <c r="E1304" i="1"/>
  <c r="D1304" i="1"/>
  <c r="D1303" i="1"/>
  <c r="E1303" i="1" s="1"/>
  <c r="F1303" i="1" s="1"/>
  <c r="E1301" i="1"/>
  <c r="D1301" i="1"/>
  <c r="D1297" i="1"/>
  <c r="D1353" i="1"/>
  <c r="E1353" i="1" s="1"/>
  <c r="F1353" i="1" s="1"/>
  <c r="E1351" i="1"/>
  <c r="D1351" i="1"/>
  <c r="D1347" i="1"/>
  <c r="E1347" i="1" s="1"/>
  <c r="F1347" i="1" s="1"/>
  <c r="E1343" i="1"/>
  <c r="D1343" i="1"/>
  <c r="D1342" i="1"/>
  <c r="E1342" i="1" s="1"/>
  <c r="F1342" i="1" s="1"/>
  <c r="G1342" i="1" s="1"/>
  <c r="H1342" i="1" s="1"/>
  <c r="E1340" i="1"/>
  <c r="D1340" i="1"/>
  <c r="D1336" i="1"/>
  <c r="D1392" i="1"/>
  <c r="E1390" i="1"/>
  <c r="D1390" i="1"/>
  <c r="D1386" i="1"/>
  <c r="E1383" i="1"/>
  <c r="D1383" i="1"/>
  <c r="D1381" i="1"/>
  <c r="E1381" i="1" s="1"/>
  <c r="F1381" i="1" s="1"/>
  <c r="E1379" i="1"/>
  <c r="D1379" i="1"/>
  <c r="D1375" i="1"/>
  <c r="E1375" i="1" s="1"/>
  <c r="F1375" i="1" s="1"/>
  <c r="G1375" i="1" s="1"/>
  <c r="H1375" i="1" s="1"/>
  <c r="D1431" i="1"/>
  <c r="E1431" i="1" s="1"/>
  <c r="F1431" i="1" s="1"/>
  <c r="G1431" i="1" s="1"/>
  <c r="H1431" i="1" s="1"/>
  <c r="E1429" i="1"/>
  <c r="D1429" i="1"/>
  <c r="D1425" i="1"/>
  <c r="E1425" i="1" s="1"/>
  <c r="E1422" i="1"/>
  <c r="D1422" i="1"/>
  <c r="E1421" i="1"/>
  <c r="D1421" i="1"/>
  <c r="D1420" i="1"/>
  <c r="E1420" i="1" s="1"/>
  <c r="F1420" i="1" s="1"/>
  <c r="E1418" i="1"/>
  <c r="D1418" i="1"/>
  <c r="D1414" i="1"/>
  <c r="E1414" i="1" s="1"/>
  <c r="F1414" i="1" s="1"/>
  <c r="G1414" i="1" s="1"/>
  <c r="H1414" i="1" s="1"/>
  <c r="B1415" i="1"/>
  <c r="D1470" i="1"/>
  <c r="E1470" i="1" s="1"/>
  <c r="F1470" i="1" s="1"/>
  <c r="E1468" i="1"/>
  <c r="D1468" i="1"/>
  <c r="D1464" i="1"/>
  <c r="E1464" i="1" s="1"/>
  <c r="F1464" i="1" s="1"/>
  <c r="G1464" i="1" s="1"/>
  <c r="H1464" i="1" s="1"/>
  <c r="E1461" i="1"/>
  <c r="D1461" i="1"/>
  <c r="E1460" i="1"/>
  <c r="D1460" i="1"/>
  <c r="D1459" i="1"/>
  <c r="E1459" i="1" s="1"/>
  <c r="F1459" i="1" s="1"/>
  <c r="E1457" i="1"/>
  <c r="D1457" i="1"/>
  <c r="D1453" i="1"/>
  <c r="E1453" i="1" s="1"/>
  <c r="F1453" i="1" s="1"/>
  <c r="G1453" i="1" s="1"/>
  <c r="H1453" i="1" s="1"/>
  <c r="B1454" i="1"/>
  <c r="D1509" i="1"/>
  <c r="E1507" i="1"/>
  <c r="D1507" i="1"/>
  <c r="D1503" i="1"/>
  <c r="E1500" i="1"/>
  <c r="D1500" i="1"/>
  <c r="E1499" i="1"/>
  <c r="D1499" i="1"/>
  <c r="D1498" i="1"/>
  <c r="E1496" i="1"/>
  <c r="D1496" i="1"/>
  <c r="D1492" i="1"/>
  <c r="E1492" i="1" s="1"/>
  <c r="F1492" i="1" s="1"/>
  <c r="B1493" i="1"/>
  <c r="D1548" i="1"/>
  <c r="E1548" i="1" s="1"/>
  <c r="F1548" i="1" s="1"/>
  <c r="E1546" i="1"/>
  <c r="D1546" i="1"/>
  <c r="D1542" i="1"/>
  <c r="E1539" i="1"/>
  <c r="D1539" i="1"/>
  <c r="E1538" i="1"/>
  <c r="D1538" i="1"/>
  <c r="D1537" i="1"/>
  <c r="E1537" i="1" s="1"/>
  <c r="F1537" i="1" s="1"/>
  <c r="G1537" i="1" s="1"/>
  <c r="H1537" i="1" s="1"/>
  <c r="E1535" i="1"/>
  <c r="D1535" i="1"/>
  <c r="D1531" i="1"/>
  <c r="E1267" i="1" l="1"/>
  <c r="G955" i="1"/>
  <c r="G1033" i="1"/>
  <c r="G1189" i="1"/>
  <c r="G1501" i="1"/>
  <c r="G1384" i="1"/>
  <c r="G1401" i="1" s="1"/>
  <c r="H1401" i="1" s="1"/>
  <c r="H1403" i="1" s="1"/>
  <c r="E1501" i="1"/>
  <c r="D1462" i="1"/>
  <c r="E1540" i="1"/>
  <c r="D1501" i="1"/>
  <c r="H1579" i="1"/>
  <c r="F799" i="1"/>
  <c r="F822" i="1" s="1"/>
  <c r="F877" i="1"/>
  <c r="F900" i="1" s="1"/>
  <c r="H916" i="1"/>
  <c r="H994" i="1"/>
  <c r="H1072" i="1"/>
  <c r="H1150" i="1"/>
  <c r="F1228" i="1"/>
  <c r="F1251" i="1" s="1"/>
  <c r="F1267" i="1"/>
  <c r="F1540" i="1"/>
  <c r="F1563" i="1" s="1"/>
  <c r="E57" i="8" s="1"/>
  <c r="D1267" i="1"/>
  <c r="D1278" i="1" s="1"/>
  <c r="D1189" i="1"/>
  <c r="E1423" i="1"/>
  <c r="F838" i="1"/>
  <c r="F861" i="1" s="1"/>
  <c r="H877" i="1"/>
  <c r="F916" i="1"/>
  <c r="F939" i="1" s="1"/>
  <c r="H955" i="1"/>
  <c r="F994" i="1"/>
  <c r="F1017" i="1" s="1"/>
  <c r="H1033" i="1"/>
  <c r="F1072" i="1"/>
  <c r="F1095" i="1" s="1"/>
  <c r="H1111" i="1"/>
  <c r="F1150" i="1"/>
  <c r="H1189" i="1"/>
  <c r="H1228" i="1"/>
  <c r="H1267" i="1"/>
  <c r="H1306" i="1"/>
  <c r="H1345" i="1"/>
  <c r="D1540" i="1"/>
  <c r="F955" i="1"/>
  <c r="F978" i="1" s="1"/>
  <c r="G994" i="1"/>
  <c r="G1011" i="1" s="1"/>
  <c r="H1011" i="1" s="1"/>
  <c r="H1013" i="1" s="1"/>
  <c r="G1050" i="1"/>
  <c r="H1050" i="1" s="1"/>
  <c r="H1052" i="1" s="1"/>
  <c r="F1111" i="1"/>
  <c r="F1134" i="1" s="1"/>
  <c r="F1173" i="1"/>
  <c r="G1228" i="1"/>
  <c r="G1245" i="1" s="1"/>
  <c r="H1245" i="1" s="1"/>
  <c r="H1247" i="1" s="1"/>
  <c r="F1306" i="1"/>
  <c r="F1329" i="1" s="1"/>
  <c r="H1384" i="1"/>
  <c r="H1423" i="1"/>
  <c r="H1462" i="1"/>
  <c r="G838" i="1"/>
  <c r="G855" i="1" s="1"/>
  <c r="H855" i="1" s="1"/>
  <c r="H857" i="1" s="1"/>
  <c r="F1033" i="1"/>
  <c r="G1072" i="1"/>
  <c r="F1189" i="1"/>
  <c r="F1290" i="1"/>
  <c r="F1384" i="1"/>
  <c r="F1407" i="1" s="1"/>
  <c r="F1423" i="1"/>
  <c r="F1462" i="1"/>
  <c r="H1501" i="1"/>
  <c r="D1473" i="1"/>
  <c r="D1481" i="1" s="1"/>
  <c r="D1423" i="1"/>
  <c r="G1423" i="1"/>
  <c r="G1440" i="1" s="1"/>
  <c r="H1440" i="1" s="1"/>
  <c r="H1442" i="1" s="1"/>
  <c r="G1111" i="1"/>
  <c r="G1128" i="1" s="1"/>
  <c r="H1128" i="1" s="1"/>
  <c r="H1130" i="1" s="1"/>
  <c r="G1420" i="1"/>
  <c r="H1420" i="1" s="1"/>
  <c r="G1269" i="1"/>
  <c r="H1269" i="1" s="1"/>
  <c r="G1470" i="1"/>
  <c r="H1470" i="1" s="1"/>
  <c r="E1531" i="1"/>
  <c r="E1542" i="1"/>
  <c r="E1498" i="1"/>
  <c r="E1509" i="1"/>
  <c r="E1392" i="1"/>
  <c r="G1303" i="1"/>
  <c r="H1303" i="1" s="1"/>
  <c r="E1314" i="1"/>
  <c r="E1264" i="1"/>
  <c r="E1275" i="1"/>
  <c r="E1225" i="1"/>
  <c r="E1236" i="1"/>
  <c r="E1186" i="1"/>
  <c r="E1197" i="1"/>
  <c r="G1353" i="1"/>
  <c r="H1353" i="1" s="1"/>
  <c r="G1381" i="1"/>
  <c r="H1381" i="1" s="1"/>
  <c r="G1492" i="1"/>
  <c r="H1492" i="1" s="1"/>
  <c r="E1503" i="1"/>
  <c r="G1459" i="1"/>
  <c r="H1459" i="1" s="1"/>
  <c r="E1386" i="1"/>
  <c r="E1336" i="1"/>
  <c r="E1297" i="1"/>
  <c r="F1308" i="1"/>
  <c r="E1258" i="1"/>
  <c r="E1219" i="1"/>
  <c r="E1230" i="1"/>
  <c r="E1180" i="1"/>
  <c r="E1191" i="1"/>
  <c r="G1548" i="1"/>
  <c r="H1548" i="1" s="1"/>
  <c r="F1425" i="1"/>
  <c r="H799" i="1"/>
  <c r="G799" i="1"/>
  <c r="G816" i="1" s="1"/>
  <c r="H816" i="1" s="1"/>
  <c r="H818" i="1" s="1"/>
  <c r="H838" i="1"/>
  <c r="G1579" i="1"/>
  <c r="G1596" i="1" s="1"/>
  <c r="H1596" i="1" s="1"/>
  <c r="H1598" i="1" s="1"/>
  <c r="H1540" i="1"/>
  <c r="G1540" i="1"/>
  <c r="G1557" i="1" s="1"/>
  <c r="H1557" i="1" s="1"/>
  <c r="H1559" i="1" s="1"/>
  <c r="G1462" i="1"/>
  <c r="G1479" i="1" s="1"/>
  <c r="H1479" i="1" s="1"/>
  <c r="H1481" i="1" s="1"/>
  <c r="G1345" i="1"/>
  <c r="G1362" i="1" s="1"/>
  <c r="H1362" i="1" s="1"/>
  <c r="H1364" i="1" s="1"/>
  <c r="G1306" i="1"/>
  <c r="G1323" i="1" s="1"/>
  <c r="H1323" i="1" s="1"/>
  <c r="H1325" i="1" s="1"/>
  <c r="G1267" i="1"/>
  <c r="G1284" i="1" s="1"/>
  <c r="H1284" i="1" s="1"/>
  <c r="H1286" i="1" s="1"/>
  <c r="G1206" i="1"/>
  <c r="H1206" i="1" s="1"/>
  <c r="H1208" i="1" s="1"/>
  <c r="G1150" i="1"/>
  <c r="G1167" i="1" s="1"/>
  <c r="H1167" i="1" s="1"/>
  <c r="H1169" i="1" s="1"/>
  <c r="H1173" i="1" s="1"/>
  <c r="G1089" i="1"/>
  <c r="H1089" i="1" s="1"/>
  <c r="H1091" i="1" s="1"/>
  <c r="H972" i="1"/>
  <c r="H974" i="1" s="1"/>
  <c r="G916" i="1"/>
  <c r="G933" i="1" s="1"/>
  <c r="H933" i="1" s="1"/>
  <c r="H935" i="1" s="1"/>
  <c r="H939" i="1" s="1"/>
  <c r="G877" i="1"/>
  <c r="G894" i="1" s="1"/>
  <c r="H894" i="1" s="1"/>
  <c r="H896" i="1" s="1"/>
  <c r="F1579" i="1"/>
  <c r="G1518" i="1"/>
  <c r="H1518" i="1" s="1"/>
  <c r="H1520" i="1" s="1"/>
  <c r="F1501" i="1"/>
  <c r="F1446" i="1"/>
  <c r="F1345" i="1"/>
  <c r="G1347" i="1"/>
  <c r="H1347" i="1" s="1"/>
  <c r="F1212" i="1"/>
  <c r="F1056" i="1"/>
  <c r="G974" i="1"/>
  <c r="G978" i="1" s="1"/>
  <c r="D1551" i="1"/>
  <c r="D1559" i="1" s="1"/>
  <c r="D1512" i="1"/>
  <c r="E1512" i="1" s="1"/>
  <c r="E1462" i="1"/>
  <c r="E1306" i="1"/>
  <c r="D1306" i="1"/>
  <c r="H1446" i="1" l="1"/>
  <c r="G54" i="8" s="1"/>
  <c r="H1251" i="1"/>
  <c r="G49" i="8" s="1"/>
  <c r="G1052" i="1"/>
  <c r="G1056" i="1" s="1"/>
  <c r="H1602" i="1"/>
  <c r="E1278" i="1"/>
  <c r="D1286" i="1"/>
  <c r="D1290" i="1" s="1"/>
  <c r="E1473" i="1"/>
  <c r="H1056" i="1"/>
  <c r="H1095" i="1"/>
  <c r="H1329" i="1"/>
  <c r="G51" i="8" s="1"/>
  <c r="H1524" i="1"/>
  <c r="G56" i="8" s="1"/>
  <c r="H1017" i="1"/>
  <c r="H1134" i="1"/>
  <c r="H978" i="1"/>
  <c r="H1407" i="1"/>
  <c r="G53" i="8" s="1"/>
  <c r="H1290" i="1"/>
  <c r="G50" i="8" s="1"/>
  <c r="G1013" i="1"/>
  <c r="G1017" i="1" s="1"/>
  <c r="D1200" i="1"/>
  <c r="H1212" i="1"/>
  <c r="G48" i="8" s="1"/>
  <c r="H1368" i="1"/>
  <c r="G52" i="8" s="1"/>
  <c r="G1091" i="1"/>
  <c r="G1095" i="1" s="1"/>
  <c r="H900" i="1"/>
  <c r="H1485" i="1"/>
  <c r="G55" i="8" s="1"/>
  <c r="D1520" i="1"/>
  <c r="D1524" i="1" s="1"/>
  <c r="E54" i="8"/>
  <c r="H1563" i="1"/>
  <c r="G57" i="8" s="1"/>
  <c r="F1485" i="1"/>
  <c r="E51" i="8"/>
  <c r="D1434" i="1"/>
  <c r="D1317" i="1"/>
  <c r="D1325" i="1" s="1"/>
  <c r="E48" i="8"/>
  <c r="E49" i="8"/>
  <c r="E53" i="8"/>
  <c r="E50" i="8"/>
  <c r="G1208" i="1"/>
  <c r="G1212" i="1" s="1"/>
  <c r="F48" i="8" s="1"/>
  <c r="F1219" i="1"/>
  <c r="E1551" i="1"/>
  <c r="F1197" i="1"/>
  <c r="F1275" i="1"/>
  <c r="F1314" i="1"/>
  <c r="F1392" i="1"/>
  <c r="F1498" i="1"/>
  <c r="F1531" i="1"/>
  <c r="E1520" i="1"/>
  <c r="E1524" i="1" s="1"/>
  <c r="F1191" i="1"/>
  <c r="F1230" i="1"/>
  <c r="F1258" i="1"/>
  <c r="F1297" i="1"/>
  <c r="F1386" i="1"/>
  <c r="F1503" i="1"/>
  <c r="F1180" i="1"/>
  <c r="G1308" i="1"/>
  <c r="H1308" i="1" s="1"/>
  <c r="F1336" i="1"/>
  <c r="E1286" i="1"/>
  <c r="E1290" i="1" s="1"/>
  <c r="F1236" i="1"/>
  <c r="E1481" i="1"/>
  <c r="E1485" i="1" s="1"/>
  <c r="G1425" i="1"/>
  <c r="H1425" i="1" s="1"/>
  <c r="F1186" i="1"/>
  <c r="F1225" i="1"/>
  <c r="F1264" i="1"/>
  <c r="F1509" i="1"/>
  <c r="F1542" i="1"/>
  <c r="G857" i="1"/>
  <c r="G861" i="1" s="1"/>
  <c r="H861" i="1"/>
  <c r="H822" i="1"/>
  <c r="G818" i="1"/>
  <c r="G822" i="1" s="1"/>
  <c r="G1325" i="1"/>
  <c r="G1329" i="1" s="1"/>
  <c r="F51" i="8" s="1"/>
  <c r="G1481" i="1"/>
  <c r="G1485" i="1" s="1"/>
  <c r="F55" i="8" s="1"/>
  <c r="G1598" i="1"/>
  <c r="G1602" i="1" s="1"/>
  <c r="G1403" i="1"/>
  <c r="G1407" i="1" s="1"/>
  <c r="F53" i="8" s="1"/>
  <c r="G1286" i="1"/>
  <c r="G1290" i="1" s="1"/>
  <c r="F50" i="8" s="1"/>
  <c r="G1247" i="1"/>
  <c r="G1251" i="1" s="1"/>
  <c r="F49" i="8" s="1"/>
  <c r="G1364" i="1"/>
  <c r="G1368" i="1" s="1"/>
  <c r="F52" i="8" s="1"/>
  <c r="F1602" i="1"/>
  <c r="G1559" i="1"/>
  <c r="G1563" i="1" s="1"/>
  <c r="F57" i="8" s="1"/>
  <c r="F1524" i="1"/>
  <c r="G1520" i="1"/>
  <c r="G1524" i="1" s="1"/>
  <c r="F56" i="8" s="1"/>
  <c r="G1442" i="1"/>
  <c r="G1446" i="1" s="1"/>
  <c r="F54" i="8" s="1"/>
  <c r="F1368" i="1"/>
  <c r="G1169" i="1"/>
  <c r="G1173" i="1" s="1"/>
  <c r="G1130" i="1"/>
  <c r="G1134" i="1" s="1"/>
  <c r="G935" i="1"/>
  <c r="G939" i="1" s="1"/>
  <c r="G896" i="1"/>
  <c r="G900" i="1" s="1"/>
  <c r="E1317" i="1"/>
  <c r="D1563" i="1"/>
  <c r="D1485" i="1"/>
  <c r="D1208" i="1" l="1"/>
  <c r="D1212" i="1" s="1"/>
  <c r="C48" i="8" s="1"/>
  <c r="E1200" i="1"/>
  <c r="E1208" i="1" s="1"/>
  <c r="E1212" i="1" s="1"/>
  <c r="E1434" i="1"/>
  <c r="E1442" i="1" s="1"/>
  <c r="E1446" i="1" s="1"/>
  <c r="D54" i="8" s="1"/>
  <c r="D1442" i="1"/>
  <c r="E52" i="8"/>
  <c r="E56" i="8"/>
  <c r="E55" i="8"/>
  <c r="G1297" i="1"/>
  <c r="H1297" i="1" s="1"/>
  <c r="G1314" i="1"/>
  <c r="H1314" i="1" s="1"/>
  <c r="C56" i="8"/>
  <c r="G1191" i="1"/>
  <c r="H1191" i="1" s="1"/>
  <c r="C50" i="8"/>
  <c r="G1509" i="1"/>
  <c r="H1509" i="1" s="1"/>
  <c r="G1336" i="1"/>
  <c r="H1336" i="1" s="1"/>
  <c r="G1180" i="1"/>
  <c r="H1180" i="1" s="1"/>
  <c r="G1386" i="1"/>
  <c r="H1386" i="1" s="1"/>
  <c r="G1258" i="1"/>
  <c r="H1258" i="1" s="1"/>
  <c r="G1531" i="1"/>
  <c r="H1531" i="1" s="1"/>
  <c r="G1392" i="1"/>
  <c r="H1392" i="1" s="1"/>
  <c r="G1275" i="1"/>
  <c r="H1275" i="1" s="1"/>
  <c r="D56" i="8"/>
  <c r="D50" i="8"/>
  <c r="G1264" i="1"/>
  <c r="H1264" i="1" s="1"/>
  <c r="G1503" i="1"/>
  <c r="H1503" i="1" s="1"/>
  <c r="G1498" i="1"/>
  <c r="H1498" i="1" s="1"/>
  <c r="G1197" i="1"/>
  <c r="H1197" i="1" s="1"/>
  <c r="C57" i="8"/>
  <c r="G1225" i="1"/>
  <c r="H1225" i="1" s="1"/>
  <c r="E1559" i="1"/>
  <c r="C55" i="8"/>
  <c r="D55" i="8"/>
  <c r="D48" i="8"/>
  <c r="G1542" i="1"/>
  <c r="H1542" i="1" s="1"/>
  <c r="G1186" i="1"/>
  <c r="H1186" i="1" s="1"/>
  <c r="G1236" i="1"/>
  <c r="H1236" i="1" s="1"/>
  <c r="G1230" i="1"/>
  <c r="H1230" i="1" s="1"/>
  <c r="G1219" i="1"/>
  <c r="H1219" i="1" s="1"/>
  <c r="E1325" i="1"/>
  <c r="D1329" i="1"/>
  <c r="F63" i="1"/>
  <c r="D1446" i="1" l="1"/>
  <c r="C51" i="8"/>
  <c r="E1563" i="1"/>
  <c r="E1329" i="1"/>
  <c r="F9" i="6"/>
  <c r="C54" i="8" l="1"/>
  <c r="D57" i="8"/>
  <c r="D51" i="8"/>
  <c r="K401" i="1"/>
  <c r="K362" i="1"/>
  <c r="K284" i="1"/>
  <c r="K245" i="1"/>
  <c r="K90" i="1"/>
  <c r="K52" i="1"/>
  <c r="G401" i="1" l="1"/>
  <c r="G362" i="1"/>
  <c r="D428" i="1"/>
  <c r="D389" i="1"/>
  <c r="B731" i="1"/>
  <c r="B730" i="1"/>
  <c r="B692" i="1"/>
  <c r="B691" i="1"/>
  <c r="B653" i="1"/>
  <c r="B652" i="1"/>
  <c r="B614" i="1"/>
  <c r="B613" i="1"/>
  <c r="B575" i="1"/>
  <c r="B574" i="1"/>
  <c r="B536" i="1"/>
  <c r="B535" i="1"/>
  <c r="B497" i="1"/>
  <c r="B496" i="1"/>
  <c r="B458" i="1"/>
  <c r="B457" i="1"/>
  <c r="B419" i="1"/>
  <c r="B418" i="1"/>
  <c r="B380" i="1"/>
  <c r="B379" i="1"/>
  <c r="B341" i="1"/>
  <c r="B340" i="1"/>
  <c r="B302" i="1"/>
  <c r="B301" i="1"/>
  <c r="B263" i="1"/>
  <c r="B262" i="1"/>
  <c r="B224" i="1"/>
  <c r="B223" i="1"/>
  <c r="B185" i="1"/>
  <c r="B184" i="1"/>
  <c r="B147" i="1"/>
  <c r="B146" i="1"/>
  <c r="B108" i="1"/>
  <c r="B107" i="1"/>
  <c r="B70" i="1"/>
  <c r="B69" i="1"/>
  <c r="B1532" i="1" s="1"/>
  <c r="D1587" i="1"/>
  <c r="D1581" i="1"/>
  <c r="D1576" i="1"/>
  <c r="D1570" i="1"/>
  <c r="D1158" i="1"/>
  <c r="D1152" i="1"/>
  <c r="D1147" i="1"/>
  <c r="D1141" i="1"/>
  <c r="D1119" i="1"/>
  <c r="D1113" i="1"/>
  <c r="D1108" i="1"/>
  <c r="D1102" i="1"/>
  <c r="D1080" i="1"/>
  <c r="D1074" i="1"/>
  <c r="D1069" i="1"/>
  <c r="D1063" i="1"/>
  <c r="D1041" i="1"/>
  <c r="D1035" i="1"/>
  <c r="D1030" i="1"/>
  <c r="D1024" i="1"/>
  <c r="D1002" i="1"/>
  <c r="D996" i="1"/>
  <c r="D991" i="1"/>
  <c r="D985" i="1"/>
  <c r="D963" i="1"/>
  <c r="D957" i="1"/>
  <c r="D952" i="1"/>
  <c r="D946" i="1"/>
  <c r="D924" i="1"/>
  <c r="D918" i="1"/>
  <c r="D913" i="1"/>
  <c r="D907" i="1"/>
  <c r="D885" i="1"/>
  <c r="D879" i="1"/>
  <c r="D874" i="1"/>
  <c r="D868" i="1"/>
  <c r="D846" i="1"/>
  <c r="D840" i="1"/>
  <c r="D835" i="1"/>
  <c r="D829" i="1"/>
  <c r="D807" i="1"/>
  <c r="D801" i="1"/>
  <c r="D796" i="1"/>
  <c r="D790" i="1"/>
  <c r="D768" i="1"/>
  <c r="D762" i="1"/>
  <c r="D757" i="1"/>
  <c r="D751" i="1"/>
  <c r="B739" i="1"/>
  <c r="B738" i="1"/>
  <c r="B737" i="1"/>
  <c r="B736" i="1"/>
  <c r="B735" i="1"/>
  <c r="B734" i="1"/>
  <c r="B733" i="1"/>
  <c r="B732" i="1"/>
  <c r="B700" i="1"/>
  <c r="B699" i="1"/>
  <c r="B698" i="1"/>
  <c r="B697" i="1"/>
  <c r="B696" i="1"/>
  <c r="B695" i="1"/>
  <c r="B694" i="1"/>
  <c r="B693" i="1"/>
  <c r="B661" i="1"/>
  <c r="B660" i="1"/>
  <c r="B659" i="1"/>
  <c r="B658" i="1"/>
  <c r="B657" i="1"/>
  <c r="B656" i="1"/>
  <c r="B655" i="1"/>
  <c r="B654" i="1"/>
  <c r="B622" i="1"/>
  <c r="B621" i="1"/>
  <c r="B620" i="1"/>
  <c r="B619" i="1"/>
  <c r="B618" i="1"/>
  <c r="B617" i="1"/>
  <c r="B616" i="1"/>
  <c r="B615" i="1"/>
  <c r="B583" i="1"/>
  <c r="B582" i="1"/>
  <c r="B581" i="1"/>
  <c r="B580" i="1"/>
  <c r="B579" i="1"/>
  <c r="B578" i="1"/>
  <c r="B577" i="1"/>
  <c r="B576" i="1"/>
  <c r="B544" i="1"/>
  <c r="B543" i="1"/>
  <c r="B542" i="1"/>
  <c r="B541" i="1"/>
  <c r="B540" i="1"/>
  <c r="B539" i="1"/>
  <c r="B538" i="1"/>
  <c r="B537" i="1"/>
  <c r="B505" i="1"/>
  <c r="B504" i="1"/>
  <c r="B503" i="1"/>
  <c r="B502" i="1"/>
  <c r="B501" i="1"/>
  <c r="B500" i="1"/>
  <c r="B499" i="1"/>
  <c r="B498" i="1"/>
  <c r="B466" i="1"/>
  <c r="B465" i="1"/>
  <c r="B464" i="1"/>
  <c r="B463" i="1"/>
  <c r="B462" i="1"/>
  <c r="B461" i="1"/>
  <c r="B460" i="1"/>
  <c r="B459" i="1"/>
  <c r="B427" i="1"/>
  <c r="B426" i="1"/>
  <c r="B425" i="1"/>
  <c r="B424" i="1"/>
  <c r="B423" i="1"/>
  <c r="B422" i="1"/>
  <c r="B421" i="1"/>
  <c r="B420" i="1"/>
  <c r="B388" i="1"/>
  <c r="B387" i="1"/>
  <c r="B386" i="1"/>
  <c r="B385" i="1"/>
  <c r="B384" i="1"/>
  <c r="B383" i="1"/>
  <c r="B382" i="1"/>
  <c r="B381" i="1"/>
  <c r="B349" i="1"/>
  <c r="B348" i="1"/>
  <c r="B347" i="1"/>
  <c r="B346" i="1"/>
  <c r="B345" i="1"/>
  <c r="B344" i="1"/>
  <c r="B343" i="1"/>
  <c r="B342" i="1"/>
  <c r="B310" i="1"/>
  <c r="B309" i="1"/>
  <c r="B308" i="1"/>
  <c r="B307" i="1"/>
  <c r="B306" i="1"/>
  <c r="B305" i="1"/>
  <c r="B304" i="1"/>
  <c r="B303" i="1"/>
  <c r="B271" i="1"/>
  <c r="B270" i="1"/>
  <c r="B269" i="1"/>
  <c r="B268" i="1"/>
  <c r="B267" i="1"/>
  <c r="B266" i="1"/>
  <c r="B265" i="1"/>
  <c r="B264" i="1"/>
  <c r="B232" i="1"/>
  <c r="B231" i="1"/>
  <c r="B230" i="1"/>
  <c r="B229" i="1"/>
  <c r="B228" i="1"/>
  <c r="B227" i="1"/>
  <c r="B226" i="1"/>
  <c r="B225" i="1"/>
  <c r="B193" i="1"/>
  <c r="B192" i="1"/>
  <c r="B191" i="1"/>
  <c r="B190" i="1"/>
  <c r="B189" i="1"/>
  <c r="B188" i="1"/>
  <c r="B187" i="1"/>
  <c r="B186" i="1"/>
  <c r="B155" i="1"/>
  <c r="B154" i="1"/>
  <c r="B153" i="1"/>
  <c r="B152" i="1"/>
  <c r="B151" i="1"/>
  <c r="B150" i="1"/>
  <c r="B149" i="1"/>
  <c r="B148" i="1"/>
  <c r="B116" i="1"/>
  <c r="B115" i="1"/>
  <c r="B114" i="1"/>
  <c r="B113" i="1"/>
  <c r="B112" i="1"/>
  <c r="B111" i="1"/>
  <c r="B110" i="1"/>
  <c r="B109" i="1"/>
  <c r="B78" i="1"/>
  <c r="B77" i="1"/>
  <c r="B76" i="1"/>
  <c r="B75" i="1"/>
  <c r="B74" i="1"/>
  <c r="B73" i="1"/>
  <c r="B72" i="1"/>
  <c r="B71" i="1"/>
  <c r="A24" i="6" l="1"/>
  <c r="A23" i="6"/>
  <c r="B37" i="6"/>
  <c r="A32" i="6"/>
  <c r="A31" i="6"/>
  <c r="A30" i="6"/>
  <c r="A29" i="6"/>
  <c r="A28" i="6"/>
  <c r="A27" i="6"/>
  <c r="A26" i="6"/>
  <c r="A25" i="6"/>
  <c r="B22" i="6"/>
  <c r="B16" i="6"/>
  <c r="B11" i="6"/>
  <c r="C11" i="6" s="1"/>
  <c r="D11" i="6" s="1"/>
  <c r="E11" i="6" s="1"/>
  <c r="F11" i="6" s="1"/>
  <c r="B6" i="6"/>
  <c r="E9" i="6"/>
  <c r="D9" i="6"/>
  <c r="F365" i="1" l="1"/>
  <c r="F404" i="1"/>
  <c r="E443" i="1" l="1"/>
  <c r="D51" i="1" l="1"/>
  <c r="G58" i="8" l="1"/>
  <c r="F58" i="8"/>
  <c r="G47" i="8"/>
  <c r="F47" i="8"/>
  <c r="G46" i="8"/>
  <c r="F46" i="8"/>
  <c r="G45" i="8"/>
  <c r="F45" i="8"/>
  <c r="G44" i="8"/>
  <c r="F44" i="8"/>
  <c r="G43" i="8"/>
  <c r="F43" i="8"/>
  <c r="G42" i="8"/>
  <c r="F42" i="8"/>
  <c r="G41" i="8"/>
  <c r="F41" i="8"/>
  <c r="G40" i="8"/>
  <c r="F40" i="8"/>
  <c r="G39" i="8"/>
  <c r="F39" i="8"/>
  <c r="G38" i="8"/>
  <c r="F38" i="8"/>
  <c r="E1587" i="1"/>
  <c r="E1585" i="1"/>
  <c r="D1585" i="1"/>
  <c r="E1581" i="1"/>
  <c r="E1578" i="1"/>
  <c r="D1578" i="1"/>
  <c r="E1577" i="1"/>
  <c r="D1577" i="1"/>
  <c r="E1576" i="1"/>
  <c r="E1574" i="1"/>
  <c r="D1574" i="1"/>
  <c r="E1570" i="1"/>
  <c r="C1568" i="1"/>
  <c r="E1158" i="1"/>
  <c r="E1156" i="1"/>
  <c r="D1156" i="1"/>
  <c r="E1152" i="1"/>
  <c r="E1149" i="1"/>
  <c r="D1149" i="1"/>
  <c r="E1148" i="1"/>
  <c r="D1148" i="1"/>
  <c r="E1147" i="1"/>
  <c r="E1145" i="1"/>
  <c r="D1145" i="1"/>
  <c r="E1141" i="1"/>
  <c r="C1139" i="1"/>
  <c r="B1142" i="1" s="1"/>
  <c r="E1119" i="1"/>
  <c r="E1117" i="1"/>
  <c r="D1117" i="1"/>
  <c r="E1113" i="1"/>
  <c r="E1110" i="1"/>
  <c r="D1110" i="1"/>
  <c r="E1109" i="1"/>
  <c r="D1109" i="1"/>
  <c r="E1108" i="1"/>
  <c r="E1106" i="1"/>
  <c r="D1106" i="1"/>
  <c r="E1102" i="1"/>
  <c r="C1100" i="1"/>
  <c r="B1103" i="1" s="1"/>
  <c r="E1080" i="1"/>
  <c r="E1078" i="1"/>
  <c r="D1078" i="1"/>
  <c r="E1074" i="1"/>
  <c r="E1071" i="1"/>
  <c r="D1071" i="1"/>
  <c r="E1070" i="1"/>
  <c r="D1070" i="1"/>
  <c r="E1069" i="1"/>
  <c r="E1067" i="1"/>
  <c r="D1067" i="1"/>
  <c r="E1063" i="1"/>
  <c r="C1061" i="1"/>
  <c r="B1064" i="1" s="1"/>
  <c r="E1041" i="1"/>
  <c r="E1039" i="1"/>
  <c r="D1039" i="1"/>
  <c r="E1035" i="1"/>
  <c r="E1032" i="1"/>
  <c r="D1032" i="1"/>
  <c r="E1031" i="1"/>
  <c r="D1031" i="1"/>
  <c r="E1030" i="1"/>
  <c r="E1028" i="1"/>
  <c r="D1028" i="1"/>
  <c r="E1024" i="1"/>
  <c r="C1022" i="1"/>
  <c r="B1025" i="1" s="1"/>
  <c r="E1002" i="1"/>
  <c r="E1000" i="1"/>
  <c r="D1000" i="1"/>
  <c r="E996" i="1"/>
  <c r="E993" i="1"/>
  <c r="D993" i="1"/>
  <c r="E992" i="1"/>
  <c r="D992" i="1"/>
  <c r="E991" i="1"/>
  <c r="E989" i="1"/>
  <c r="D989" i="1"/>
  <c r="E985" i="1"/>
  <c r="C983" i="1"/>
  <c r="B986" i="1" s="1"/>
  <c r="E963" i="1"/>
  <c r="E961" i="1"/>
  <c r="D961" i="1"/>
  <c r="E957" i="1"/>
  <c r="E954" i="1"/>
  <c r="D954" i="1"/>
  <c r="E953" i="1"/>
  <c r="D953" i="1"/>
  <c r="E952" i="1"/>
  <c r="E950" i="1"/>
  <c r="D950" i="1"/>
  <c r="E946" i="1"/>
  <c r="C944" i="1"/>
  <c r="B947" i="1" s="1"/>
  <c r="E924" i="1"/>
  <c r="E922" i="1"/>
  <c r="D922" i="1"/>
  <c r="E918" i="1"/>
  <c r="E915" i="1"/>
  <c r="D915" i="1"/>
  <c r="E914" i="1"/>
  <c r="D914" i="1"/>
  <c r="E913" i="1"/>
  <c r="E911" i="1"/>
  <c r="D911" i="1"/>
  <c r="E907" i="1"/>
  <c r="C905" i="1"/>
  <c r="B908" i="1" s="1"/>
  <c r="E885" i="1"/>
  <c r="E883" i="1"/>
  <c r="D883" i="1"/>
  <c r="E879" i="1"/>
  <c r="E876" i="1"/>
  <c r="D876" i="1"/>
  <c r="E875" i="1"/>
  <c r="D875" i="1"/>
  <c r="E874" i="1"/>
  <c r="E872" i="1"/>
  <c r="D872" i="1"/>
  <c r="E868" i="1"/>
  <c r="C866" i="1"/>
  <c r="B869" i="1" s="1"/>
  <c r="E846" i="1"/>
  <c r="E844" i="1"/>
  <c r="D844" i="1"/>
  <c r="E840" i="1"/>
  <c r="E837" i="1"/>
  <c r="D837" i="1"/>
  <c r="E836" i="1"/>
  <c r="D836" i="1"/>
  <c r="E835" i="1"/>
  <c r="E833" i="1"/>
  <c r="D833" i="1"/>
  <c r="E829" i="1"/>
  <c r="C827" i="1"/>
  <c r="B830" i="1" s="1"/>
  <c r="E807" i="1"/>
  <c r="E805" i="1"/>
  <c r="D805" i="1"/>
  <c r="E801" i="1"/>
  <c r="E798" i="1"/>
  <c r="D798" i="1"/>
  <c r="E797" i="1"/>
  <c r="D797" i="1"/>
  <c r="E796" i="1"/>
  <c r="E794" i="1"/>
  <c r="D794" i="1"/>
  <c r="E790" i="1"/>
  <c r="C788" i="1"/>
  <c r="B791" i="1" s="1"/>
  <c r="E768" i="1"/>
  <c r="F766" i="1"/>
  <c r="E766" i="1"/>
  <c r="D766" i="1"/>
  <c r="E762" i="1"/>
  <c r="H759" i="1"/>
  <c r="G759" i="1"/>
  <c r="F759" i="1"/>
  <c r="E759" i="1"/>
  <c r="D759" i="1"/>
  <c r="H758" i="1"/>
  <c r="G758" i="1"/>
  <c r="F758" i="1"/>
  <c r="E758" i="1"/>
  <c r="D758" i="1"/>
  <c r="E757" i="1"/>
  <c r="E755" i="1"/>
  <c r="D755" i="1"/>
  <c r="E751" i="1"/>
  <c r="C749" i="1"/>
  <c r="B752" i="1" s="1"/>
  <c r="G736" i="1"/>
  <c r="H727" i="1"/>
  <c r="G727" i="1"/>
  <c r="F727" i="1"/>
  <c r="E727" i="1"/>
  <c r="D727" i="1"/>
  <c r="E716" i="1"/>
  <c r="D716" i="1"/>
  <c r="G697" i="1"/>
  <c r="H688" i="1"/>
  <c r="G688" i="1"/>
  <c r="F688" i="1"/>
  <c r="E688" i="1"/>
  <c r="D688" i="1"/>
  <c r="E677" i="1"/>
  <c r="D677" i="1"/>
  <c r="G658" i="1"/>
  <c r="H649" i="1"/>
  <c r="G649" i="1"/>
  <c r="F649" i="1"/>
  <c r="E649" i="1"/>
  <c r="D649" i="1"/>
  <c r="H642" i="1"/>
  <c r="G642" i="1"/>
  <c r="F642" i="1"/>
  <c r="E642" i="1"/>
  <c r="D642" i="1"/>
  <c r="H641" i="1"/>
  <c r="G641" i="1"/>
  <c r="F641" i="1"/>
  <c r="E641" i="1"/>
  <c r="D641" i="1"/>
  <c r="E638" i="1"/>
  <c r="D638" i="1"/>
  <c r="G619" i="1"/>
  <c r="H610" i="1"/>
  <c r="G610" i="1"/>
  <c r="F610" i="1"/>
  <c r="E610" i="1"/>
  <c r="D610" i="1"/>
  <c r="H603" i="1"/>
  <c r="G603" i="1"/>
  <c r="F603" i="1"/>
  <c r="E603" i="1"/>
  <c r="D603" i="1"/>
  <c r="E599" i="1"/>
  <c r="D599" i="1"/>
  <c r="G580" i="1"/>
  <c r="H571" i="1"/>
  <c r="G571" i="1"/>
  <c r="F571" i="1"/>
  <c r="E571" i="1"/>
  <c r="D571" i="1"/>
  <c r="H564" i="1"/>
  <c r="G564" i="1"/>
  <c r="F564" i="1"/>
  <c r="E564" i="1"/>
  <c r="D564" i="1"/>
  <c r="H563" i="1"/>
  <c r="G563" i="1"/>
  <c r="F563" i="1"/>
  <c r="E563" i="1"/>
  <c r="D563" i="1"/>
  <c r="E560" i="1"/>
  <c r="D560" i="1"/>
  <c r="E542" i="1"/>
  <c r="G541" i="1"/>
  <c r="D540" i="1"/>
  <c r="H532" i="1"/>
  <c r="G532" i="1"/>
  <c r="F532" i="1"/>
  <c r="E532" i="1"/>
  <c r="D532" i="1"/>
  <c r="H525" i="1"/>
  <c r="G525" i="1"/>
  <c r="F525" i="1"/>
  <c r="E525" i="1"/>
  <c r="D525" i="1"/>
  <c r="H524" i="1"/>
  <c r="G524" i="1"/>
  <c r="F524" i="1"/>
  <c r="E524" i="1"/>
  <c r="D524" i="1"/>
  <c r="E521" i="1"/>
  <c r="D521" i="1"/>
  <c r="G502" i="1"/>
  <c r="H493" i="1"/>
  <c r="G493" i="1"/>
  <c r="F493" i="1"/>
  <c r="E493" i="1"/>
  <c r="D493" i="1"/>
  <c r="H486" i="1"/>
  <c r="G486" i="1"/>
  <c r="F486" i="1"/>
  <c r="E486" i="1"/>
  <c r="D486" i="1"/>
  <c r="H485" i="1"/>
  <c r="G485" i="1"/>
  <c r="F485" i="1"/>
  <c r="E485" i="1"/>
  <c r="D485" i="1"/>
  <c r="E482" i="1"/>
  <c r="D482" i="1"/>
  <c r="G463" i="1"/>
  <c r="H454" i="1"/>
  <c r="G454" i="1"/>
  <c r="F454" i="1"/>
  <c r="E454" i="1"/>
  <c r="D454" i="1"/>
  <c r="H447" i="1"/>
  <c r="G447" i="1"/>
  <c r="F447" i="1"/>
  <c r="E447" i="1"/>
  <c r="D447" i="1"/>
  <c r="H446" i="1"/>
  <c r="G446" i="1"/>
  <c r="F446" i="1"/>
  <c r="E446" i="1"/>
  <c r="D446" i="1"/>
  <c r="D443" i="1"/>
  <c r="H426" i="1"/>
  <c r="H428" i="1" s="1"/>
  <c r="G424" i="1"/>
  <c r="G428" i="1" s="1"/>
  <c r="F422" i="1"/>
  <c r="E420" i="1"/>
  <c r="H415" i="1"/>
  <c r="G415" i="1"/>
  <c r="F415" i="1"/>
  <c r="E415" i="1"/>
  <c r="D415" i="1"/>
  <c r="H408" i="1"/>
  <c r="G408" i="1"/>
  <c r="F408" i="1"/>
  <c r="E408" i="1"/>
  <c r="D408" i="1"/>
  <c r="H407" i="1"/>
  <c r="G407" i="1"/>
  <c r="F407" i="1"/>
  <c r="E407" i="1"/>
  <c r="D407" i="1"/>
  <c r="K404" i="1"/>
  <c r="H404" i="1" s="1"/>
  <c r="G404" i="1"/>
  <c r="E404" i="1"/>
  <c r="D404" i="1"/>
  <c r="B401" i="1"/>
  <c r="H387" i="1"/>
  <c r="H389" i="1" s="1"/>
  <c r="G385" i="1"/>
  <c r="G389" i="1" s="1"/>
  <c r="F383" i="1"/>
  <c r="E381" i="1"/>
  <c r="H376" i="1"/>
  <c r="G376" i="1"/>
  <c r="F376" i="1"/>
  <c r="E376" i="1"/>
  <c r="D376" i="1"/>
  <c r="H369" i="1"/>
  <c r="G369" i="1"/>
  <c r="F369" i="1"/>
  <c r="E369" i="1"/>
  <c r="D369" i="1"/>
  <c r="H368" i="1"/>
  <c r="G368" i="1"/>
  <c r="F368" i="1"/>
  <c r="E368" i="1"/>
  <c r="D368" i="1"/>
  <c r="K365" i="1"/>
  <c r="G365" i="1"/>
  <c r="E365" i="1"/>
  <c r="D365" i="1"/>
  <c r="H365" i="1"/>
  <c r="B362" i="1"/>
  <c r="H337" i="1"/>
  <c r="G337" i="1"/>
  <c r="F337" i="1"/>
  <c r="E337" i="1"/>
  <c r="D337" i="1"/>
  <c r="H330" i="1"/>
  <c r="G330" i="1"/>
  <c r="F330" i="1"/>
  <c r="E330" i="1"/>
  <c r="D330" i="1"/>
  <c r="H329" i="1"/>
  <c r="G329" i="1"/>
  <c r="F329" i="1"/>
  <c r="E329" i="1"/>
  <c r="D329" i="1"/>
  <c r="B323" i="1"/>
  <c r="H297" i="1"/>
  <c r="H298" i="1" s="1"/>
  <c r="G297" i="1"/>
  <c r="G298" i="1" s="1"/>
  <c r="F297" i="1"/>
  <c r="E297" i="1"/>
  <c r="D298" i="1"/>
  <c r="H291" i="1"/>
  <c r="G291" i="1"/>
  <c r="F291" i="1"/>
  <c r="E291" i="1"/>
  <c r="D291" i="1"/>
  <c r="K287" i="1"/>
  <c r="G287" i="1"/>
  <c r="G290" i="1" s="1"/>
  <c r="F287" i="1"/>
  <c r="E287" i="1"/>
  <c r="D287" i="1"/>
  <c r="B284" i="1"/>
  <c r="D265" i="1"/>
  <c r="H258" i="1"/>
  <c r="H259" i="1" s="1"/>
  <c r="G258" i="1"/>
  <c r="G259" i="1" s="1"/>
  <c r="F258" i="1"/>
  <c r="E258" i="1"/>
  <c r="D258" i="1"/>
  <c r="H252" i="1"/>
  <c r="G252" i="1"/>
  <c r="F252" i="1"/>
  <c r="E252" i="1"/>
  <c r="D252" i="1"/>
  <c r="K248" i="1"/>
  <c r="G248" i="1"/>
  <c r="F248" i="1"/>
  <c r="E248" i="1"/>
  <c r="D248" i="1"/>
  <c r="B245" i="1"/>
  <c r="H220" i="1"/>
  <c r="G220" i="1"/>
  <c r="F220" i="1"/>
  <c r="E220" i="1"/>
  <c r="D220" i="1"/>
  <c r="H213" i="1"/>
  <c r="G213" i="1"/>
  <c r="F213" i="1"/>
  <c r="E213" i="1"/>
  <c r="D213" i="1"/>
  <c r="H212" i="1"/>
  <c r="G212" i="1"/>
  <c r="F212" i="1"/>
  <c r="E212" i="1"/>
  <c r="D212" i="1"/>
  <c r="G209" i="1"/>
  <c r="F209" i="1"/>
  <c r="E209" i="1"/>
  <c r="D209" i="1"/>
  <c r="B206" i="1"/>
  <c r="H181" i="1"/>
  <c r="G181" i="1"/>
  <c r="F181" i="1"/>
  <c r="E181" i="1"/>
  <c r="D181" i="1"/>
  <c r="H174" i="1"/>
  <c r="G174" i="1"/>
  <c r="F174" i="1"/>
  <c r="E174" i="1"/>
  <c r="D174" i="1"/>
  <c r="G170" i="1"/>
  <c r="G173" i="1" s="1"/>
  <c r="F170" i="1"/>
  <c r="E170" i="1"/>
  <c r="D170" i="1"/>
  <c r="B167" i="1"/>
  <c r="G155" i="1"/>
  <c r="F153" i="1"/>
  <c r="E151" i="1"/>
  <c r="D149" i="1"/>
  <c r="H143" i="1"/>
  <c r="G143" i="1"/>
  <c r="F143" i="1"/>
  <c r="E143" i="1"/>
  <c r="D143" i="1"/>
  <c r="H136" i="1"/>
  <c r="G136" i="1"/>
  <c r="F136" i="1"/>
  <c r="E136" i="1"/>
  <c r="D136" i="1"/>
  <c r="H135" i="1"/>
  <c r="G135" i="1"/>
  <c r="F135" i="1"/>
  <c r="E135" i="1"/>
  <c r="D135" i="1"/>
  <c r="K132" i="1"/>
  <c r="G132" i="1"/>
  <c r="F132" i="1"/>
  <c r="E132" i="1"/>
  <c r="D132" i="1"/>
  <c r="B129" i="1"/>
  <c r="G116" i="1"/>
  <c r="F114" i="1"/>
  <c r="E112" i="1"/>
  <c r="D110" i="1"/>
  <c r="H104" i="1"/>
  <c r="F104" i="1"/>
  <c r="E104" i="1"/>
  <c r="D104" i="1"/>
  <c r="G104" i="1"/>
  <c r="H97" i="1"/>
  <c r="G97" i="1"/>
  <c r="F97" i="1"/>
  <c r="E97" i="1"/>
  <c r="D97" i="1"/>
  <c r="H96" i="1"/>
  <c r="G96" i="1"/>
  <c r="F96" i="1"/>
  <c r="E96" i="1"/>
  <c r="D96" i="1"/>
  <c r="K93" i="1"/>
  <c r="K95" i="1" s="1"/>
  <c r="G93" i="1"/>
  <c r="F93" i="1"/>
  <c r="E93" i="1"/>
  <c r="D93" i="1"/>
  <c r="B90" i="1"/>
  <c r="G78" i="1"/>
  <c r="F76" i="1"/>
  <c r="E74" i="1"/>
  <c r="D72" i="1"/>
  <c r="H66" i="1"/>
  <c r="G66" i="1"/>
  <c r="F66" i="1"/>
  <c r="E66" i="1"/>
  <c r="D66" i="1"/>
  <c r="H59" i="1"/>
  <c r="G59" i="1"/>
  <c r="F59" i="1"/>
  <c r="E59" i="1"/>
  <c r="D59" i="1"/>
  <c r="H58" i="1"/>
  <c r="G58" i="1"/>
  <c r="F58" i="1"/>
  <c r="E58" i="1"/>
  <c r="D58" i="1"/>
  <c r="K55" i="1"/>
  <c r="K57" i="1" s="1"/>
  <c r="G55" i="1"/>
  <c r="F55" i="1"/>
  <c r="E55" i="1"/>
  <c r="D55" i="1"/>
  <c r="D128" i="1"/>
  <c r="B52" i="1"/>
  <c r="E37" i="6"/>
  <c r="D37" i="6"/>
  <c r="F37" i="6"/>
  <c r="C22" i="6"/>
  <c r="A20" i="6"/>
  <c r="A19" i="6"/>
  <c r="A18" i="6"/>
  <c r="A17" i="6"/>
  <c r="C16" i="6"/>
  <c r="C6" i="6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G175" i="1" l="1"/>
  <c r="G292" i="1"/>
  <c r="F762" i="1"/>
  <c r="F801" i="1"/>
  <c r="F868" i="1"/>
  <c r="F924" i="1"/>
  <c r="F991" i="1"/>
  <c r="F1080" i="1"/>
  <c r="F1570" i="1"/>
  <c r="F829" i="1"/>
  <c r="F918" i="1"/>
  <c r="F1041" i="1"/>
  <c r="F1108" i="1"/>
  <c r="F751" i="1"/>
  <c r="F790" i="1"/>
  <c r="F846" i="1"/>
  <c r="F879" i="1"/>
  <c r="F913" i="1"/>
  <c r="F946" i="1"/>
  <c r="F1002" i="1"/>
  <c r="F1035" i="1"/>
  <c r="F1069" i="1"/>
  <c r="F1102" i="1"/>
  <c r="F1113" i="1"/>
  <c r="F1147" i="1"/>
  <c r="F1158" i="1"/>
  <c r="F768" i="1"/>
  <c r="F835" i="1"/>
  <c r="F957" i="1"/>
  <c r="F1024" i="1"/>
  <c r="F1581" i="1"/>
  <c r="F757" i="1"/>
  <c r="F796" i="1"/>
  <c r="F885" i="1"/>
  <c r="F952" i="1"/>
  <c r="F985" i="1"/>
  <c r="F1074" i="1"/>
  <c r="F1119" i="1"/>
  <c r="F807" i="1"/>
  <c r="F840" i="1"/>
  <c r="F874" i="1"/>
  <c r="F907" i="1"/>
  <c r="F963" i="1"/>
  <c r="F996" i="1"/>
  <c r="F1030" i="1"/>
  <c r="F1063" i="1"/>
  <c r="F1141" i="1"/>
  <c r="F1152" i="1"/>
  <c r="F1576" i="1"/>
  <c r="F1587" i="1"/>
  <c r="D251" i="1"/>
  <c r="G565" i="1"/>
  <c r="E389" i="1"/>
  <c r="E428" i="1"/>
  <c r="G98" i="1"/>
  <c r="G115" i="1" s="1"/>
  <c r="H115" i="1" s="1"/>
  <c r="H117" i="1" s="1"/>
  <c r="F389" i="1"/>
  <c r="F428" i="1"/>
  <c r="A19" i="8" a="1"/>
  <c r="B1571" i="1"/>
  <c r="H287" i="1"/>
  <c r="H290" i="1" s="1"/>
  <c r="H292" i="1" s="1"/>
  <c r="H248" i="1"/>
  <c r="H251" i="1" s="1"/>
  <c r="H253" i="1" s="1"/>
  <c r="G643" i="1"/>
  <c r="G660" i="1" s="1"/>
  <c r="H660" i="1" s="1"/>
  <c r="H662" i="1" s="1"/>
  <c r="G760" i="1"/>
  <c r="E838" i="1"/>
  <c r="D877" i="1"/>
  <c r="D6" i="6"/>
  <c r="D16" i="6"/>
  <c r="D22" i="6"/>
  <c r="G331" i="1"/>
  <c r="G348" i="1" s="1"/>
  <c r="H348" i="1" s="1"/>
  <c r="H350" i="1" s="1"/>
  <c r="G409" i="1"/>
  <c r="G432" i="1" s="1"/>
  <c r="F28" i="8" s="1"/>
  <c r="H487" i="1"/>
  <c r="G582" i="1"/>
  <c r="H582" i="1" s="1"/>
  <c r="H584" i="1" s="1"/>
  <c r="F643" i="1"/>
  <c r="F760" i="1"/>
  <c r="E799" i="1"/>
  <c r="D838" i="1"/>
  <c r="E955" i="1"/>
  <c r="E1111" i="1"/>
  <c r="F526" i="1"/>
  <c r="F565" i="1"/>
  <c r="D1150" i="1"/>
  <c r="G448" i="1"/>
  <c r="G465" i="1" s="1"/>
  <c r="H465" i="1" s="1"/>
  <c r="H467" i="1" s="1"/>
  <c r="G487" i="1"/>
  <c r="G504" i="1" s="1"/>
  <c r="H504" i="1" s="1"/>
  <c r="H506" i="1" s="1"/>
  <c r="E565" i="1"/>
  <c r="D565" i="1"/>
  <c r="H565" i="1"/>
  <c r="E643" i="1"/>
  <c r="E760" i="1"/>
  <c r="E1033" i="1"/>
  <c r="E1579" i="1"/>
  <c r="D173" i="1"/>
  <c r="F259" i="1"/>
  <c r="F98" i="1"/>
  <c r="E298" i="1"/>
  <c r="D331" i="1"/>
  <c r="F370" i="1"/>
  <c r="D259" i="1"/>
  <c r="F298" i="1"/>
  <c r="D1111" i="1"/>
  <c r="E214" i="1"/>
  <c r="E916" i="1"/>
  <c r="E1150" i="1"/>
  <c r="E60" i="1"/>
  <c r="H132" i="1"/>
  <c r="D214" i="1"/>
  <c r="E259" i="1"/>
  <c r="H331" i="1"/>
  <c r="E409" i="1"/>
  <c r="D916" i="1"/>
  <c r="F448" i="1"/>
  <c r="E448" i="1"/>
  <c r="F409" i="1"/>
  <c r="E370" i="1"/>
  <c r="D253" i="1"/>
  <c r="G214" i="1"/>
  <c r="G231" i="1" s="1"/>
  <c r="H231" i="1" s="1"/>
  <c r="H233" i="1" s="1"/>
  <c r="G137" i="1"/>
  <c r="G154" i="1" s="1"/>
  <c r="H154" i="1" s="1"/>
  <c r="H156" i="1" s="1"/>
  <c r="E137" i="1"/>
  <c r="D98" i="1"/>
  <c r="H98" i="1"/>
  <c r="H214" i="1"/>
  <c r="D487" i="1"/>
  <c r="F487" i="1"/>
  <c r="F60" i="1"/>
  <c r="D60" i="1"/>
  <c r="H60" i="1"/>
  <c r="G60" i="1"/>
  <c r="D137" i="1"/>
  <c r="H137" i="1"/>
  <c r="E487" i="1"/>
  <c r="C37" i="6"/>
  <c r="F137" i="1"/>
  <c r="E331" i="1"/>
  <c r="G370" i="1"/>
  <c r="G393" i="1" s="1"/>
  <c r="F27" i="8" s="1"/>
  <c r="G526" i="1"/>
  <c r="G543" i="1" s="1"/>
  <c r="E877" i="1"/>
  <c r="E98" i="1"/>
  <c r="F331" i="1"/>
  <c r="D370" i="1"/>
  <c r="D409" i="1"/>
  <c r="D448" i="1"/>
  <c r="H448" i="1"/>
  <c r="D526" i="1"/>
  <c r="H526" i="1"/>
  <c r="D643" i="1"/>
  <c r="H643" i="1"/>
  <c r="D994" i="1"/>
  <c r="G192" i="1"/>
  <c r="H192" i="1" s="1"/>
  <c r="H194" i="1" s="1"/>
  <c r="D760" i="1"/>
  <c r="H760" i="1"/>
  <c r="D955" i="1"/>
  <c r="E994" i="1"/>
  <c r="D1033" i="1"/>
  <c r="D1072" i="1"/>
  <c r="H370" i="1"/>
  <c r="H393" i="1" s="1"/>
  <c r="G27" i="8" s="1"/>
  <c r="H409" i="1"/>
  <c r="H432" i="1" s="1"/>
  <c r="G28" i="8" s="1"/>
  <c r="E73" i="1"/>
  <c r="D139" i="1"/>
  <c r="D134" i="1"/>
  <c r="E128" i="1"/>
  <c r="D145" i="1"/>
  <c r="D166" i="1"/>
  <c r="E173" i="1"/>
  <c r="D68" i="1"/>
  <c r="D89" i="1"/>
  <c r="D634" i="1"/>
  <c r="D673" i="1"/>
  <c r="D712" i="1"/>
  <c r="D556" i="1"/>
  <c r="D595" i="1"/>
  <c r="D439" i="1"/>
  <c r="D361" i="1"/>
  <c r="D322" i="1"/>
  <c r="D283" i="1"/>
  <c r="D517" i="1"/>
  <c r="D400" i="1"/>
  <c r="D244" i="1"/>
  <c r="D478" i="1"/>
  <c r="F173" i="1"/>
  <c r="D205" i="1"/>
  <c r="E51" i="1"/>
  <c r="D57" i="1"/>
  <c r="D62" i="1"/>
  <c r="F214" i="1"/>
  <c r="G309" i="1"/>
  <c r="H309" i="1" s="1"/>
  <c r="H311" i="1" s="1"/>
  <c r="E251" i="1"/>
  <c r="E680" i="1"/>
  <c r="H680" i="1"/>
  <c r="D680" i="1"/>
  <c r="G680" i="1"/>
  <c r="F680" i="1"/>
  <c r="D290" i="1"/>
  <c r="F461" i="1"/>
  <c r="G602" i="1"/>
  <c r="G604" i="1" s="1"/>
  <c r="G621" i="1" s="1"/>
  <c r="H621" i="1" s="1"/>
  <c r="H623" i="1" s="1"/>
  <c r="F602" i="1"/>
  <c r="E602" i="1"/>
  <c r="H602" i="1"/>
  <c r="H604" i="1" s="1"/>
  <c r="D602" i="1"/>
  <c r="F251" i="1"/>
  <c r="H681" i="1"/>
  <c r="D681" i="1"/>
  <c r="G681" i="1"/>
  <c r="F681" i="1"/>
  <c r="E681" i="1"/>
  <c r="E290" i="1"/>
  <c r="F719" i="1"/>
  <c r="E719" i="1"/>
  <c r="H719" i="1"/>
  <c r="D719" i="1"/>
  <c r="G719" i="1"/>
  <c r="F500" i="1"/>
  <c r="G251" i="1"/>
  <c r="G253" i="1" s="1"/>
  <c r="G270" i="1" s="1"/>
  <c r="H270" i="1" s="1"/>
  <c r="H272" i="1" s="1"/>
  <c r="F290" i="1"/>
  <c r="E720" i="1"/>
  <c r="H720" i="1"/>
  <c r="D720" i="1"/>
  <c r="G720" i="1"/>
  <c r="F720" i="1"/>
  <c r="E526" i="1"/>
  <c r="F578" i="1"/>
  <c r="F656" i="1"/>
  <c r="D799" i="1"/>
  <c r="E1072" i="1"/>
  <c r="D1579" i="1"/>
  <c r="D1044" i="1" l="1"/>
  <c r="D1052" i="1" s="1"/>
  <c r="D1056" i="1" s="1"/>
  <c r="D1590" i="1"/>
  <c r="D1344" i="1"/>
  <c r="E1344" i="1"/>
  <c r="E1345" i="1" s="1"/>
  <c r="D1083" i="1"/>
  <c r="E1083" i="1" s="1"/>
  <c r="G777" i="1"/>
  <c r="G779" i="1" s="1"/>
  <c r="G783" i="1" s="1"/>
  <c r="F37" i="8" s="1"/>
  <c r="D810" i="1"/>
  <c r="D927" i="1"/>
  <c r="D935" i="1" s="1"/>
  <c r="D1161" i="1"/>
  <c r="D888" i="1"/>
  <c r="D896" i="1" s="1"/>
  <c r="D900" i="1" s="1"/>
  <c r="D771" i="1"/>
  <c r="E771" i="1" s="1"/>
  <c r="F783" i="1"/>
  <c r="D966" i="1"/>
  <c r="D974" i="1" s="1"/>
  <c r="D978" i="1" s="1"/>
  <c r="D1005" i="1"/>
  <c r="D1122" i="1"/>
  <c r="D1130" i="1" s="1"/>
  <c r="D1134" i="1" s="1"/>
  <c r="D849" i="1"/>
  <c r="E849" i="1" s="1"/>
  <c r="G77" i="1"/>
  <c r="H77" i="1" s="1"/>
  <c r="H79" i="1" s="1"/>
  <c r="G1119" i="1"/>
  <c r="H1119" i="1" s="1"/>
  <c r="G885" i="1"/>
  <c r="H885" i="1" s="1"/>
  <c r="G801" i="1"/>
  <c r="H801" i="1" s="1"/>
  <c r="G1063" i="1"/>
  <c r="H1063" i="1" s="1"/>
  <c r="G907" i="1"/>
  <c r="H907" i="1" s="1"/>
  <c r="G985" i="1"/>
  <c r="H985" i="1" s="1"/>
  <c r="G757" i="1"/>
  <c r="H757" i="1" s="1"/>
  <c r="G835" i="1"/>
  <c r="H835" i="1" s="1"/>
  <c r="G1002" i="1"/>
  <c r="H1002" i="1" s="1"/>
  <c r="G846" i="1"/>
  <c r="H846" i="1" s="1"/>
  <c r="G751" i="1"/>
  <c r="H751" i="1" s="1"/>
  <c r="G1041" i="1"/>
  <c r="H1041" i="1" s="1"/>
  <c r="G829" i="1"/>
  <c r="H829" i="1" s="1"/>
  <c r="G1030" i="1"/>
  <c r="H1030" i="1" s="1"/>
  <c r="G874" i="1"/>
  <c r="H874" i="1" s="1"/>
  <c r="G1074" i="1"/>
  <c r="H1074" i="1" s="1"/>
  <c r="G952" i="1"/>
  <c r="H952" i="1" s="1"/>
  <c r="G796" i="1"/>
  <c r="H796" i="1" s="1"/>
  <c r="G1581" i="1"/>
  <c r="H1581" i="1" s="1"/>
  <c r="G1035" i="1"/>
  <c r="H1035" i="1" s="1"/>
  <c r="G991" i="1"/>
  <c r="H991" i="1" s="1"/>
  <c r="G1587" i="1"/>
  <c r="H1587" i="1" s="1"/>
  <c r="G1113" i="1"/>
  <c r="H1113" i="1" s="1"/>
  <c r="G1069" i="1"/>
  <c r="H1069" i="1" s="1"/>
  <c r="G1080" i="1"/>
  <c r="H1080" i="1" s="1"/>
  <c r="G1152" i="1"/>
  <c r="H1152" i="1" s="1"/>
  <c r="G996" i="1"/>
  <c r="H996" i="1" s="1"/>
  <c r="G840" i="1"/>
  <c r="H840" i="1" s="1"/>
  <c r="G1024" i="1"/>
  <c r="H1024" i="1" s="1"/>
  <c r="G1158" i="1"/>
  <c r="H1158" i="1" s="1"/>
  <c r="G913" i="1"/>
  <c r="H913" i="1" s="1"/>
  <c r="G924" i="1"/>
  <c r="H924" i="1" s="1"/>
  <c r="G1576" i="1"/>
  <c r="H1576" i="1" s="1"/>
  <c r="G1141" i="1"/>
  <c r="H1141" i="1" s="1"/>
  <c r="G963" i="1"/>
  <c r="H963" i="1" s="1"/>
  <c r="G807" i="1"/>
  <c r="H807" i="1" s="1"/>
  <c r="G957" i="1"/>
  <c r="H957" i="1" s="1"/>
  <c r="G768" i="1"/>
  <c r="H768" i="1" s="1"/>
  <c r="G1147" i="1"/>
  <c r="H1147" i="1" s="1"/>
  <c r="G1102" i="1"/>
  <c r="H1102" i="1" s="1"/>
  <c r="G946" i="1"/>
  <c r="H946" i="1" s="1"/>
  <c r="G879" i="1"/>
  <c r="H879" i="1" s="1"/>
  <c r="G790" i="1"/>
  <c r="H790" i="1" s="1"/>
  <c r="G1108" i="1"/>
  <c r="H1108" i="1" s="1"/>
  <c r="G918" i="1"/>
  <c r="H918" i="1" s="1"/>
  <c r="G1570" i="1"/>
  <c r="H1570" i="1" s="1"/>
  <c r="G868" i="1"/>
  <c r="H868" i="1" s="1"/>
  <c r="G762" i="1"/>
  <c r="H762" i="1" s="1"/>
  <c r="E1122" i="1"/>
  <c r="E1044" i="1"/>
  <c r="E1005" i="1"/>
  <c r="D1013" i="1"/>
  <c r="E966" i="1"/>
  <c r="E927" i="1"/>
  <c r="D1598" i="1"/>
  <c r="E1590" i="1"/>
  <c r="F432" i="1"/>
  <c r="E28" i="8" s="1"/>
  <c r="H588" i="1"/>
  <c r="G32" i="8" s="1"/>
  <c r="F662" i="1"/>
  <c r="F467" i="1"/>
  <c r="A19" i="8"/>
  <c r="B19" i="8" s="1"/>
  <c r="A58" i="8"/>
  <c r="A42" i="8"/>
  <c r="A26" i="8"/>
  <c r="B26" i="8" s="1"/>
  <c r="A49" i="8"/>
  <c r="A33" i="8"/>
  <c r="B33" i="8" s="1"/>
  <c r="A56" i="8"/>
  <c r="A40" i="8"/>
  <c r="A24" i="8"/>
  <c r="B24" i="8" s="1"/>
  <c r="A47" i="8"/>
  <c r="A31" i="8"/>
  <c r="B31" i="8" s="1"/>
  <c r="A20" i="8"/>
  <c r="B20" i="8" s="1"/>
  <c r="A27" i="8"/>
  <c r="B27" i="8" s="1"/>
  <c r="A34" i="8"/>
  <c r="B34" i="8" s="1"/>
  <c r="A57" i="8"/>
  <c r="A41" i="8"/>
  <c r="A48" i="8"/>
  <c r="A32" i="8"/>
  <c r="B32" i="8" s="1"/>
  <c r="A39" i="8"/>
  <c r="A46" i="8"/>
  <c r="A30" i="8"/>
  <c r="B30" i="8" s="1"/>
  <c r="A53" i="8"/>
  <c r="A21" i="8"/>
  <c r="B21" i="8" s="1"/>
  <c r="A44" i="8"/>
  <c r="A35" i="8"/>
  <c r="B35" i="8" s="1"/>
  <c r="A54" i="8"/>
  <c r="A38" i="8"/>
  <c r="A22" i="8"/>
  <c r="B22" i="8" s="1"/>
  <c r="A45" i="8"/>
  <c r="A29" i="8"/>
  <c r="B29" i="8" s="1"/>
  <c r="A52" i="8"/>
  <c r="A43" i="8"/>
  <c r="A37" i="8"/>
  <c r="A51" i="8"/>
  <c r="A50" i="8"/>
  <c r="A25" i="8"/>
  <c r="B25" i="8" s="1"/>
  <c r="A55" i="8"/>
  <c r="A23" i="8"/>
  <c r="B23" i="8" s="1"/>
  <c r="A28" i="8"/>
  <c r="B28" i="8" s="1"/>
  <c r="F584" i="1"/>
  <c r="F506" i="1"/>
  <c r="E68" i="1"/>
  <c r="E134" i="1"/>
  <c r="E145" i="1"/>
  <c r="E139" i="1"/>
  <c r="H510" i="1"/>
  <c r="G30" i="8" s="1"/>
  <c r="F73" i="1"/>
  <c r="D576" i="1"/>
  <c r="E576" i="1" s="1"/>
  <c r="H354" i="1"/>
  <c r="G26" i="8" s="1"/>
  <c r="E227" i="1"/>
  <c r="E150" i="1"/>
  <c r="D537" i="1"/>
  <c r="E537" i="1" s="1"/>
  <c r="D225" i="1"/>
  <c r="E432" i="1"/>
  <c r="D459" i="1"/>
  <c r="E459" i="1" s="1"/>
  <c r="F346" i="1"/>
  <c r="H666" i="1"/>
  <c r="G34" i="8" s="1"/>
  <c r="E16" i="6"/>
  <c r="F16" i="6" s="1"/>
  <c r="E22" i="6"/>
  <c r="F22" i="6" s="1"/>
  <c r="E6" i="6"/>
  <c r="F6" i="6" s="1"/>
  <c r="E604" i="1"/>
  <c r="D654" i="1"/>
  <c r="D71" i="1"/>
  <c r="D604" i="1"/>
  <c r="E344" i="1"/>
  <c r="G584" i="1"/>
  <c r="G588" i="1" s="1"/>
  <c r="F32" i="8" s="1"/>
  <c r="F604" i="1"/>
  <c r="D342" i="1"/>
  <c r="F75" i="1"/>
  <c r="D721" i="1"/>
  <c r="G662" i="1"/>
  <c r="G666" i="1" s="1"/>
  <c r="F34" i="8" s="1"/>
  <c r="H315" i="1"/>
  <c r="G25" i="8" s="1"/>
  <c r="F113" i="1"/>
  <c r="H160" i="1"/>
  <c r="G21" i="8" s="1"/>
  <c r="D432" i="1"/>
  <c r="D148" i="1"/>
  <c r="D292" i="1"/>
  <c r="D264" i="1"/>
  <c r="E175" i="1"/>
  <c r="F128" i="1"/>
  <c r="D393" i="1"/>
  <c r="E292" i="1"/>
  <c r="F229" i="1"/>
  <c r="D539" i="1"/>
  <c r="F292" i="1"/>
  <c r="E721" i="1"/>
  <c r="F253" i="1"/>
  <c r="D109" i="1"/>
  <c r="E253" i="1"/>
  <c r="F393" i="1"/>
  <c r="F175" i="1"/>
  <c r="H471" i="1"/>
  <c r="G29" i="8" s="1"/>
  <c r="E111" i="1"/>
  <c r="D498" i="1"/>
  <c r="E393" i="1"/>
  <c r="F152" i="1"/>
  <c r="D175" i="1"/>
  <c r="H627" i="1"/>
  <c r="G33" i="8" s="1"/>
  <c r="E46" i="8"/>
  <c r="D1017" i="1"/>
  <c r="F539" i="1"/>
  <c r="G721" i="1"/>
  <c r="G738" i="1" s="1"/>
  <c r="H738" i="1" s="1"/>
  <c r="H740" i="1" s="1"/>
  <c r="H276" i="1"/>
  <c r="G24" i="8" s="1"/>
  <c r="E47" i="8"/>
  <c r="G623" i="1"/>
  <c r="G627" i="1" s="1"/>
  <c r="F33" i="8" s="1"/>
  <c r="E682" i="1"/>
  <c r="G467" i="1"/>
  <c r="G471" i="1" s="1"/>
  <c r="F29" i="8" s="1"/>
  <c r="D528" i="1"/>
  <c r="E517" i="1"/>
  <c r="D534" i="1"/>
  <c r="D523" i="1"/>
  <c r="D690" i="1"/>
  <c r="E673" i="1"/>
  <c r="D684" i="1"/>
  <c r="D679" i="1"/>
  <c r="F734" i="1"/>
  <c r="F721" i="1"/>
  <c r="G506" i="1"/>
  <c r="G510" i="1" s="1"/>
  <c r="F30" i="8" s="1"/>
  <c r="E166" i="1"/>
  <c r="D183" i="1"/>
  <c r="D172" i="1"/>
  <c r="D177" i="1"/>
  <c r="E58" i="8"/>
  <c r="F682" i="1"/>
  <c r="D445" i="1"/>
  <c r="E439" i="1"/>
  <c r="G682" i="1"/>
  <c r="D682" i="1"/>
  <c r="D255" i="1"/>
  <c r="D250" i="1"/>
  <c r="E244" i="1"/>
  <c r="D261" i="1"/>
  <c r="E322" i="1"/>
  <c r="D339" i="1"/>
  <c r="D333" i="1"/>
  <c r="D328" i="1"/>
  <c r="D573" i="1"/>
  <c r="E556" i="1"/>
  <c r="D567" i="1"/>
  <c r="D562" i="1"/>
  <c r="G545" i="1"/>
  <c r="G549" i="1" s="1"/>
  <c r="F31" i="8" s="1"/>
  <c r="H543" i="1"/>
  <c r="H545" i="1" s="1"/>
  <c r="H549" i="1" s="1"/>
  <c r="G31" i="8" s="1"/>
  <c r="H721" i="1"/>
  <c r="H682" i="1"/>
  <c r="E62" i="1"/>
  <c r="E57" i="1"/>
  <c r="F51" i="1"/>
  <c r="D222" i="1"/>
  <c r="E205" i="1"/>
  <c r="D211" i="1"/>
  <c r="D216" i="1"/>
  <c r="D411" i="1"/>
  <c r="D406" i="1"/>
  <c r="E400" i="1"/>
  <c r="D417" i="1"/>
  <c r="D372" i="1"/>
  <c r="D367" i="1"/>
  <c r="E361" i="1"/>
  <c r="D378" i="1"/>
  <c r="D729" i="1"/>
  <c r="E712" i="1"/>
  <c r="D723" i="1"/>
  <c r="D718" i="1"/>
  <c r="D100" i="1"/>
  <c r="D95" i="1"/>
  <c r="E89" i="1"/>
  <c r="D106" i="1"/>
  <c r="D495" i="1"/>
  <c r="D489" i="1"/>
  <c r="D484" i="1"/>
  <c r="E478" i="1"/>
  <c r="D294" i="1"/>
  <c r="D289" i="1"/>
  <c r="E283" i="1"/>
  <c r="D300" i="1"/>
  <c r="D606" i="1"/>
  <c r="D601" i="1"/>
  <c r="D612" i="1"/>
  <c r="E595" i="1"/>
  <c r="D645" i="1"/>
  <c r="D640" i="1"/>
  <c r="D651" i="1"/>
  <c r="E634" i="1"/>
  <c r="H777" i="1" l="1"/>
  <c r="H779" i="1" s="1"/>
  <c r="H783" i="1" s="1"/>
  <c r="G37" i="8" s="1"/>
  <c r="D857" i="1"/>
  <c r="E888" i="1"/>
  <c r="D1091" i="1"/>
  <c r="E1161" i="1"/>
  <c r="E810" i="1"/>
  <c r="E818" i="1" s="1"/>
  <c r="D1169" i="1"/>
  <c r="D818" i="1"/>
  <c r="D779" i="1"/>
  <c r="D783" i="1" s="1"/>
  <c r="D1345" i="1"/>
  <c r="C46" i="8"/>
  <c r="C42" i="8"/>
  <c r="C40" i="8"/>
  <c r="D861" i="1"/>
  <c r="C44" i="8"/>
  <c r="C43" i="8"/>
  <c r="D1095" i="1"/>
  <c r="D1602" i="1"/>
  <c r="E45" i="8"/>
  <c r="E44" i="8"/>
  <c r="E43" i="8"/>
  <c r="E42" i="8"/>
  <c r="E41" i="8"/>
  <c r="E40" i="8"/>
  <c r="E39" i="8"/>
  <c r="E38" i="8"/>
  <c r="E37" i="8"/>
  <c r="E1130" i="1"/>
  <c r="E1091" i="1"/>
  <c r="E1095" i="1" s="1"/>
  <c r="E1052" i="1"/>
  <c r="E1013" i="1"/>
  <c r="E974" i="1"/>
  <c r="E935" i="1"/>
  <c r="D939" i="1"/>
  <c r="E896" i="1"/>
  <c r="E857" i="1"/>
  <c r="E1598" i="1"/>
  <c r="E779" i="1"/>
  <c r="E1169" i="1"/>
  <c r="F588" i="1"/>
  <c r="E32" i="8" s="1"/>
  <c r="E1227" i="1"/>
  <c r="D1227" i="1"/>
  <c r="D615" i="1"/>
  <c r="D623" i="1" s="1"/>
  <c r="F666" i="1"/>
  <c r="E34" i="8" s="1"/>
  <c r="F510" i="1"/>
  <c r="E30" i="8" s="1"/>
  <c r="F471" i="1"/>
  <c r="F361" i="1"/>
  <c r="E211" i="1"/>
  <c r="F322" i="1"/>
  <c r="E528" i="1"/>
  <c r="E651" i="1"/>
  <c r="E612" i="1"/>
  <c r="F283" i="1"/>
  <c r="E484" i="1"/>
  <c r="E100" i="1"/>
  <c r="F712" i="1"/>
  <c r="E367" i="1"/>
  <c r="E406" i="1"/>
  <c r="E562" i="1"/>
  <c r="E328" i="1"/>
  <c r="E261" i="1"/>
  <c r="E177" i="1"/>
  <c r="E679" i="1"/>
  <c r="E523" i="1"/>
  <c r="F139" i="1"/>
  <c r="F134" i="1"/>
  <c r="E300" i="1"/>
  <c r="E95" i="1"/>
  <c r="E690" i="1"/>
  <c r="F190" i="1"/>
  <c r="F439" i="1"/>
  <c r="F545" i="1"/>
  <c r="F634" i="1"/>
  <c r="F595" i="1"/>
  <c r="F478" i="1"/>
  <c r="E723" i="1"/>
  <c r="F400" i="1"/>
  <c r="E573" i="1"/>
  <c r="E255" i="1"/>
  <c r="E640" i="1"/>
  <c r="E601" i="1"/>
  <c r="E289" i="1"/>
  <c r="E489" i="1"/>
  <c r="E106" i="1"/>
  <c r="E729" i="1"/>
  <c r="E372" i="1"/>
  <c r="E411" i="1"/>
  <c r="E222" i="1"/>
  <c r="E567" i="1"/>
  <c r="E333" i="1"/>
  <c r="F244" i="1"/>
  <c r="E172" i="1"/>
  <c r="E684" i="1"/>
  <c r="E534" i="1"/>
  <c r="E645" i="1"/>
  <c r="E606" i="1"/>
  <c r="E294" i="1"/>
  <c r="E495" i="1"/>
  <c r="E718" i="1"/>
  <c r="E378" i="1"/>
  <c r="E417" i="1"/>
  <c r="E216" i="1"/>
  <c r="F556" i="1"/>
  <c r="E339" i="1"/>
  <c r="E250" i="1"/>
  <c r="E183" i="1"/>
  <c r="F740" i="1"/>
  <c r="F673" i="1"/>
  <c r="F517" i="1"/>
  <c r="F145" i="1"/>
  <c r="F68" i="1"/>
  <c r="E467" i="1"/>
  <c r="D467" i="1"/>
  <c r="D506" i="1"/>
  <c r="G75" i="1"/>
  <c r="G79" i="1" s="1"/>
  <c r="G83" i="1" s="1"/>
  <c r="F19" i="8" s="1"/>
  <c r="D545" i="1"/>
  <c r="G113" i="1"/>
  <c r="G117" i="1" s="1"/>
  <c r="G121" i="1" s="1"/>
  <c r="F20" i="8" s="1"/>
  <c r="F111" i="1"/>
  <c r="F117" i="1" s="1"/>
  <c r="E584" i="1"/>
  <c r="F150" i="1"/>
  <c r="G152" i="1"/>
  <c r="G156" i="1" s="1"/>
  <c r="G160" i="1" s="1"/>
  <c r="F21" i="8" s="1"/>
  <c r="D584" i="1"/>
  <c r="F227" i="1"/>
  <c r="G229" i="1"/>
  <c r="G233" i="1" s="1"/>
  <c r="G237" i="1" s="1"/>
  <c r="F23" i="8" s="1"/>
  <c r="F344" i="1"/>
  <c r="G346" i="1"/>
  <c r="G350" i="1" s="1"/>
  <c r="G354" i="1" s="1"/>
  <c r="F26" i="8" s="1"/>
  <c r="C28" i="8"/>
  <c r="D28" i="8"/>
  <c r="C27" i="8"/>
  <c r="D27" i="8"/>
  <c r="E27" i="8"/>
  <c r="E264" i="1"/>
  <c r="D272" i="1"/>
  <c r="E148" i="1"/>
  <c r="D156" i="1"/>
  <c r="D350" i="1"/>
  <c r="D662" i="1"/>
  <c r="E109" i="1"/>
  <c r="D117" i="1"/>
  <c r="E225" i="1"/>
  <c r="D233" i="1"/>
  <c r="E654" i="1"/>
  <c r="E71" i="1"/>
  <c r="D79" i="1"/>
  <c r="F268" i="1"/>
  <c r="D732" i="1"/>
  <c r="E305" i="1"/>
  <c r="E342" i="1"/>
  <c r="G740" i="1"/>
  <c r="G744" i="1" s="1"/>
  <c r="F36" i="8" s="1"/>
  <c r="F695" i="1"/>
  <c r="F79" i="1"/>
  <c r="F617" i="1"/>
  <c r="F89" i="1"/>
  <c r="D186" i="1"/>
  <c r="F205" i="1"/>
  <c r="F166" i="1"/>
  <c r="E498" i="1"/>
  <c r="E266" i="1"/>
  <c r="F307" i="1"/>
  <c r="E188" i="1"/>
  <c r="D303" i="1"/>
  <c r="G128" i="1"/>
  <c r="H128" i="1" s="1"/>
  <c r="E545" i="1"/>
  <c r="H744" i="1"/>
  <c r="G36" i="8" s="1"/>
  <c r="F744" i="1"/>
  <c r="F62" i="1"/>
  <c r="F57" i="1"/>
  <c r="G51" i="1"/>
  <c r="D693" i="1"/>
  <c r="G699" i="1"/>
  <c r="E445" i="1"/>
  <c r="D450" i="1"/>
  <c r="E615" i="1"/>
  <c r="D1356" i="1" l="1"/>
  <c r="D822" i="1"/>
  <c r="D1173" i="1"/>
  <c r="C41" i="8"/>
  <c r="C45" i="8"/>
  <c r="D45" i="8"/>
  <c r="C58" i="8"/>
  <c r="C39" i="8"/>
  <c r="C37" i="8"/>
  <c r="E1134" i="1"/>
  <c r="E1056" i="1"/>
  <c r="E1017" i="1"/>
  <c r="E978" i="1"/>
  <c r="E939" i="1"/>
  <c r="E900" i="1"/>
  <c r="E861" i="1"/>
  <c r="E822" i="1"/>
  <c r="E783" i="1"/>
  <c r="E1602" i="1"/>
  <c r="E1173" i="1"/>
  <c r="E29" i="8"/>
  <c r="E1226" i="1"/>
  <c r="E1228" i="1" s="1"/>
  <c r="D1226" i="1"/>
  <c r="F233" i="1"/>
  <c r="F237" i="1" s="1"/>
  <c r="E1382" i="1"/>
  <c r="E1384" i="1" s="1"/>
  <c r="D1382" i="1"/>
  <c r="G190" i="1"/>
  <c r="G194" i="1" s="1"/>
  <c r="G198" i="1" s="1"/>
  <c r="F22" i="8" s="1"/>
  <c r="D627" i="1"/>
  <c r="G439" i="1"/>
  <c r="H439" i="1" s="1"/>
  <c r="F445" i="1"/>
  <c r="D510" i="1"/>
  <c r="G145" i="1"/>
  <c r="H145" i="1" s="1"/>
  <c r="G673" i="1"/>
  <c r="H673" i="1" s="1"/>
  <c r="F183" i="1"/>
  <c r="F339" i="1"/>
  <c r="F216" i="1"/>
  <c r="F378" i="1"/>
  <c r="F495" i="1"/>
  <c r="F606" i="1"/>
  <c r="F534" i="1"/>
  <c r="F172" i="1"/>
  <c r="F333" i="1"/>
  <c r="F222" i="1"/>
  <c r="F372" i="1"/>
  <c r="F106" i="1"/>
  <c r="F289" i="1"/>
  <c r="F640" i="1"/>
  <c r="F573" i="1"/>
  <c r="F723" i="1"/>
  <c r="G595" i="1"/>
  <c r="H595" i="1" s="1"/>
  <c r="F95" i="1"/>
  <c r="G134" i="1"/>
  <c r="H134" i="1" s="1"/>
  <c r="F523" i="1"/>
  <c r="F177" i="1"/>
  <c r="F328" i="1"/>
  <c r="F406" i="1"/>
  <c r="G712" i="1"/>
  <c r="H712" i="1" s="1"/>
  <c r="F484" i="1"/>
  <c r="F612" i="1"/>
  <c r="F528" i="1"/>
  <c r="F211" i="1"/>
  <c r="E117" i="1"/>
  <c r="E121" i="1" s="1"/>
  <c r="F549" i="1"/>
  <c r="D83" i="1"/>
  <c r="F623" i="1"/>
  <c r="F701" i="1"/>
  <c r="G68" i="1"/>
  <c r="H68" i="1" s="1"/>
  <c r="G517" i="1"/>
  <c r="H517" i="1" s="1"/>
  <c r="F250" i="1"/>
  <c r="G556" i="1"/>
  <c r="H556" i="1" s="1"/>
  <c r="F417" i="1"/>
  <c r="F718" i="1"/>
  <c r="F294" i="1"/>
  <c r="F645" i="1"/>
  <c r="F684" i="1"/>
  <c r="G244" i="1"/>
  <c r="H244" i="1" s="1"/>
  <c r="F567" i="1"/>
  <c r="F411" i="1"/>
  <c r="F729" i="1"/>
  <c r="F489" i="1"/>
  <c r="F601" i="1"/>
  <c r="F255" i="1"/>
  <c r="G400" i="1"/>
  <c r="H400" i="1" s="1"/>
  <c r="G478" i="1"/>
  <c r="H478" i="1" s="1"/>
  <c r="G634" i="1"/>
  <c r="H634" i="1" s="1"/>
  <c r="F690" i="1"/>
  <c r="F300" i="1"/>
  <c r="G139" i="1"/>
  <c r="H139" i="1" s="1"/>
  <c r="F679" i="1"/>
  <c r="F261" i="1"/>
  <c r="F562" i="1"/>
  <c r="F367" i="1"/>
  <c r="F100" i="1"/>
  <c r="G283" i="1"/>
  <c r="H283" i="1" s="1"/>
  <c r="F651" i="1"/>
  <c r="G322" i="1"/>
  <c r="H322" i="1" s="1"/>
  <c r="G361" i="1"/>
  <c r="H361" i="1" s="1"/>
  <c r="F156" i="1"/>
  <c r="F160" i="1" s="1"/>
  <c r="F350" i="1"/>
  <c r="F354" i="1" s="1"/>
  <c r="D471" i="1"/>
  <c r="E471" i="1"/>
  <c r="E506" i="1"/>
  <c r="D701" i="1"/>
  <c r="E732" i="1"/>
  <c r="E36" i="8"/>
  <c r="C30" i="8"/>
  <c r="F83" i="1"/>
  <c r="E79" i="1"/>
  <c r="D121" i="1"/>
  <c r="E549" i="1"/>
  <c r="F121" i="1"/>
  <c r="D549" i="1"/>
  <c r="D160" i="1"/>
  <c r="E156" i="1"/>
  <c r="D588" i="1"/>
  <c r="E588" i="1"/>
  <c r="F188" i="1"/>
  <c r="D194" i="1"/>
  <c r="E623" i="1"/>
  <c r="E662" i="1"/>
  <c r="D237" i="1"/>
  <c r="D666" i="1"/>
  <c r="E233" i="1"/>
  <c r="F266" i="1"/>
  <c r="D276" i="1"/>
  <c r="G268" i="1"/>
  <c r="G272" i="1" s="1"/>
  <c r="G276" i="1" s="1"/>
  <c r="F24" i="8" s="1"/>
  <c r="G307" i="1"/>
  <c r="G311" i="1" s="1"/>
  <c r="G315" i="1" s="1"/>
  <c r="F25" i="8" s="1"/>
  <c r="F305" i="1"/>
  <c r="D354" i="1"/>
  <c r="E350" i="1"/>
  <c r="E303" i="1"/>
  <c r="D311" i="1"/>
  <c r="D740" i="1"/>
  <c r="E272" i="1"/>
  <c r="E186" i="1"/>
  <c r="G166" i="1"/>
  <c r="H166" i="1" s="1"/>
  <c r="G205" i="1"/>
  <c r="H205" i="1" s="1"/>
  <c r="G89" i="1"/>
  <c r="H89" i="1" s="1"/>
  <c r="G62" i="1"/>
  <c r="G57" i="1"/>
  <c r="H51" i="1"/>
  <c r="E693" i="1"/>
  <c r="D456" i="1"/>
  <c r="E450" i="1"/>
  <c r="H209" i="1"/>
  <c r="H237" i="1" s="1"/>
  <c r="G23" i="8" s="1"/>
  <c r="H93" i="1"/>
  <c r="H121" i="1" s="1"/>
  <c r="G20" i="8" s="1"/>
  <c r="H170" i="1"/>
  <c r="H55" i="1"/>
  <c r="G701" i="1"/>
  <c r="G705" i="1" s="1"/>
  <c r="F35" i="8" s="1"/>
  <c r="H699" i="1"/>
  <c r="D1384" i="1" l="1"/>
  <c r="C47" i="8"/>
  <c r="F59" i="8"/>
  <c r="D1364" i="1"/>
  <c r="E1356" i="1"/>
  <c r="E1364" i="1" s="1"/>
  <c r="E1368" i="1" s="1"/>
  <c r="D52" i="8" s="1"/>
  <c r="D1228" i="1"/>
  <c r="C38" i="8"/>
  <c r="D47" i="8"/>
  <c r="D43" i="8"/>
  <c r="D40" i="8"/>
  <c r="D37" i="8"/>
  <c r="D41" i="8"/>
  <c r="D46" i="8"/>
  <c r="D39" i="8"/>
  <c r="D58" i="8"/>
  <c r="D44" i="8"/>
  <c r="D38" i="8"/>
  <c r="D42" i="8"/>
  <c r="C33" i="8"/>
  <c r="C19" i="8"/>
  <c r="F311" i="1"/>
  <c r="F315" i="1" s="1"/>
  <c r="F272" i="1"/>
  <c r="F276" i="1" s="1"/>
  <c r="D198" i="1"/>
  <c r="C22" i="8" s="1"/>
  <c r="G367" i="1"/>
  <c r="H367" i="1" s="1"/>
  <c r="G261" i="1"/>
  <c r="H261" i="1" s="1"/>
  <c r="G690" i="1"/>
  <c r="H690" i="1" s="1"/>
  <c r="G255" i="1"/>
  <c r="H255" i="1" s="1"/>
  <c r="G489" i="1"/>
  <c r="H489" i="1" s="1"/>
  <c r="G411" i="1"/>
  <c r="H411" i="1" s="1"/>
  <c r="G645" i="1"/>
  <c r="H645" i="1" s="1"/>
  <c r="G718" i="1"/>
  <c r="H718" i="1" s="1"/>
  <c r="F705" i="1"/>
  <c r="G211" i="1"/>
  <c r="H211" i="1" s="1"/>
  <c r="G612" i="1"/>
  <c r="H612" i="1" s="1"/>
  <c r="G328" i="1"/>
  <c r="H328" i="1" s="1"/>
  <c r="G523" i="1"/>
  <c r="H523" i="1" s="1"/>
  <c r="G95" i="1"/>
  <c r="H95" i="1" s="1"/>
  <c r="G723" i="1"/>
  <c r="H723" i="1" s="1"/>
  <c r="G640" i="1"/>
  <c r="H640" i="1" s="1"/>
  <c r="G106" i="1"/>
  <c r="H106" i="1" s="1"/>
  <c r="G222" i="1"/>
  <c r="H222" i="1" s="1"/>
  <c r="G172" i="1"/>
  <c r="H172" i="1" s="1"/>
  <c r="G606" i="1"/>
  <c r="H606" i="1" s="1"/>
  <c r="G378" i="1"/>
  <c r="H378" i="1" s="1"/>
  <c r="G339" i="1"/>
  <c r="H339" i="1" s="1"/>
  <c r="D705" i="1"/>
  <c r="C35" i="8" s="1"/>
  <c r="E31" i="8"/>
  <c r="G445" i="1"/>
  <c r="H445" i="1" s="1"/>
  <c r="E456" i="1"/>
  <c r="F450" i="1"/>
  <c r="G651" i="1"/>
  <c r="H651" i="1" s="1"/>
  <c r="G100" i="1"/>
  <c r="H100" i="1" s="1"/>
  <c r="G562" i="1"/>
  <c r="H562" i="1" s="1"/>
  <c r="G679" i="1"/>
  <c r="H679" i="1" s="1"/>
  <c r="G300" i="1"/>
  <c r="H300" i="1" s="1"/>
  <c r="G601" i="1"/>
  <c r="H601" i="1" s="1"/>
  <c r="G729" i="1"/>
  <c r="H729" i="1" s="1"/>
  <c r="G567" i="1"/>
  <c r="H567" i="1" s="1"/>
  <c r="G684" i="1"/>
  <c r="H684" i="1" s="1"/>
  <c r="G294" i="1"/>
  <c r="H294" i="1" s="1"/>
  <c r="G417" i="1"/>
  <c r="H417" i="1" s="1"/>
  <c r="G250" i="1"/>
  <c r="H250" i="1" s="1"/>
  <c r="F627" i="1"/>
  <c r="G528" i="1"/>
  <c r="H528" i="1" s="1"/>
  <c r="G484" i="1"/>
  <c r="H484" i="1" s="1"/>
  <c r="G406" i="1"/>
  <c r="H406" i="1" s="1"/>
  <c r="G177" i="1"/>
  <c r="H177" i="1" s="1"/>
  <c r="G573" i="1"/>
  <c r="H573" i="1" s="1"/>
  <c r="G289" i="1"/>
  <c r="H289" i="1" s="1"/>
  <c r="G372" i="1"/>
  <c r="H372" i="1" s="1"/>
  <c r="G333" i="1"/>
  <c r="H333" i="1" s="1"/>
  <c r="G534" i="1"/>
  <c r="H534" i="1" s="1"/>
  <c r="G495" i="1"/>
  <c r="H495" i="1" s="1"/>
  <c r="G216" i="1"/>
  <c r="H216" i="1" s="1"/>
  <c r="G183" i="1"/>
  <c r="H183" i="1" s="1"/>
  <c r="D29" i="8"/>
  <c r="C29" i="8"/>
  <c r="E510" i="1"/>
  <c r="E701" i="1"/>
  <c r="D744" i="1"/>
  <c r="C36" i="8" s="1"/>
  <c r="E740" i="1"/>
  <c r="E83" i="1"/>
  <c r="E19" i="8"/>
  <c r="E20" i="8"/>
  <c r="D31" i="8"/>
  <c r="C31" i="8"/>
  <c r="D20" i="8"/>
  <c r="C20" i="8"/>
  <c r="E21" i="8"/>
  <c r="E160" i="1"/>
  <c r="C32" i="8"/>
  <c r="D32" i="8"/>
  <c r="C21" i="8"/>
  <c r="E194" i="1"/>
  <c r="E627" i="1"/>
  <c r="F194" i="1"/>
  <c r="C34" i="8"/>
  <c r="E666" i="1"/>
  <c r="E237" i="1"/>
  <c r="C23" i="8"/>
  <c r="E23" i="8"/>
  <c r="C24" i="8"/>
  <c r="E276" i="1"/>
  <c r="E311" i="1"/>
  <c r="D315" i="1"/>
  <c r="E354" i="1"/>
  <c r="E26" i="8"/>
  <c r="C26" i="8"/>
  <c r="H62" i="1"/>
  <c r="H57" i="1"/>
  <c r="H83" i="1"/>
  <c r="G19" i="8" s="1"/>
  <c r="H173" i="1"/>
  <c r="H175" i="1" s="1"/>
  <c r="H701" i="1"/>
  <c r="H705" i="1" s="1"/>
  <c r="G35" i="8" s="1"/>
  <c r="D1368" i="1" l="1"/>
  <c r="D1239" i="1"/>
  <c r="D1395" i="1"/>
  <c r="G450" i="1"/>
  <c r="H450" i="1" s="1"/>
  <c r="E33" i="8"/>
  <c r="F456" i="1"/>
  <c r="E35" i="8"/>
  <c r="D30" i="8"/>
  <c r="E705" i="1"/>
  <c r="E744" i="1"/>
  <c r="D19" i="8"/>
  <c r="D21" i="8"/>
  <c r="F198" i="1"/>
  <c r="E198" i="1"/>
  <c r="D33" i="8"/>
  <c r="D23" i="8"/>
  <c r="D34" i="8"/>
  <c r="E24" i="8"/>
  <c r="D24" i="8"/>
  <c r="C25" i="8"/>
  <c r="E25" i="8"/>
  <c r="E315" i="1"/>
  <c r="D26" i="8"/>
  <c r="H198" i="1"/>
  <c r="G22" i="8" s="1"/>
  <c r="G59" i="8" s="1"/>
  <c r="E1239" i="1" l="1"/>
  <c r="E1247" i="1" s="1"/>
  <c r="E1251" i="1" s="1"/>
  <c r="D1247" i="1"/>
  <c r="C52" i="8"/>
  <c r="E1395" i="1"/>
  <c r="E1403" i="1" s="1"/>
  <c r="D1403" i="1"/>
  <c r="E1407" i="1"/>
  <c r="G456" i="1"/>
  <c r="H456" i="1" s="1"/>
  <c r="D35" i="8"/>
  <c r="D36" i="8"/>
  <c r="D22" i="8"/>
  <c r="E22" i="8"/>
  <c r="E59" i="8" s="1"/>
  <c r="D25" i="8"/>
  <c r="D1407" i="1" l="1"/>
  <c r="D1251" i="1"/>
  <c r="D53" i="8"/>
  <c r="D49" i="8"/>
  <c r="B53" i="8"/>
  <c r="F32" i="6"/>
  <c r="B56" i="8"/>
  <c r="B55" i="8"/>
  <c r="C28" i="6"/>
  <c r="B37" i="8"/>
  <c r="B52" i="8"/>
  <c r="B49" i="8"/>
  <c r="B43" i="8"/>
  <c r="B47" i="8"/>
  <c r="B51" i="8"/>
  <c r="B54" i="8"/>
  <c r="B40" i="8"/>
  <c r="B44" i="8"/>
  <c r="D30" i="6"/>
  <c r="E18" i="6"/>
  <c r="D19" i="6"/>
  <c r="B35" i="6"/>
  <c r="C40" i="6"/>
  <c r="B40" i="6"/>
  <c r="F17" i="6"/>
  <c r="C19" i="6"/>
  <c r="C27" i="6"/>
  <c r="C17" i="6"/>
  <c r="E12" i="6"/>
  <c r="B17" i="6"/>
  <c r="C26" i="6"/>
  <c r="B25" i="6"/>
  <c r="D12" i="6"/>
  <c r="C12" i="6"/>
  <c r="D27" i="6"/>
  <c r="B13" i="6"/>
  <c r="D40" i="6"/>
  <c r="B38" i="8"/>
  <c r="E29" i="6"/>
  <c r="C49" i="8" l="1"/>
  <c r="C53" i="8"/>
  <c r="D59" i="8"/>
  <c r="F35" i="6"/>
  <c r="E13" i="6"/>
  <c r="E14" i="6" s="1"/>
  <c r="D13" i="6"/>
  <c r="D35" i="6"/>
  <c r="B39" i="8"/>
  <c r="B46" i="8"/>
  <c r="A36" i="8"/>
  <c r="B36" i="8" s="1"/>
  <c r="F31" i="6"/>
  <c r="F33" i="6" s="1"/>
  <c r="C25" i="6"/>
  <c r="C13" i="6"/>
  <c r="B18" i="6"/>
  <c r="F19" i="6"/>
  <c r="E32" i="6"/>
  <c r="F13" i="6"/>
  <c r="B42" i="8"/>
  <c r="C18" i="6"/>
  <c r="B26" i="6"/>
  <c r="B45" i="8"/>
  <c r="E35" i="6"/>
  <c r="B58" i="8"/>
  <c r="B12" i="6"/>
  <c r="D29" i="6"/>
  <c r="E17" i="6"/>
  <c r="F12" i="6"/>
  <c r="C35" i="6"/>
  <c r="D17" i="6"/>
  <c r="D28" i="6"/>
  <c r="B19" i="6"/>
  <c r="B41" i="8"/>
  <c r="F18" i="6"/>
  <c r="B57" i="8"/>
  <c r="E31" i="6"/>
  <c r="B48" i="8"/>
  <c r="D18" i="6"/>
  <c r="B50" i="8"/>
  <c r="E19" i="6"/>
  <c r="E30" i="6"/>
  <c r="C59" i="8" l="1"/>
  <c r="F20" i="6"/>
  <c r="D14" i="6"/>
  <c r="E33" i="6"/>
  <c r="E20" i="6"/>
  <c r="F9" i="8"/>
  <c r="F13" i="8"/>
  <c r="F8" i="8"/>
  <c r="G9" i="8"/>
  <c r="G12" i="8"/>
  <c r="C8" i="8"/>
  <c r="D5" i="8"/>
  <c r="D13" i="8"/>
  <c r="C10" i="8"/>
  <c r="D8" i="8"/>
  <c r="D10" i="8"/>
  <c r="E6" i="8"/>
  <c r="E5" i="8"/>
  <c r="C11" i="8"/>
  <c r="D7" i="8"/>
  <c r="G6" i="8"/>
  <c r="E12" i="8"/>
  <c r="G10" i="8"/>
  <c r="F11" i="8"/>
  <c r="F7" i="8"/>
  <c r="E9" i="8"/>
  <c r="G7" i="8"/>
  <c r="G5" i="8"/>
  <c r="F10" i="8"/>
  <c r="G8" i="8"/>
  <c r="F12" i="8"/>
  <c r="D9" i="8"/>
  <c r="C7" i="8"/>
  <c r="F5" i="8"/>
  <c r="E8" i="8"/>
  <c r="E7" i="8"/>
  <c r="E10" i="8"/>
  <c r="D11" i="8"/>
  <c r="C9" i="8"/>
  <c r="D6" i="8"/>
  <c r="C5" i="8"/>
  <c r="C12" i="8"/>
  <c r="C6" i="8"/>
  <c r="C13" i="8"/>
  <c r="E13" i="8"/>
  <c r="G11" i="8"/>
  <c r="D12" i="8"/>
  <c r="G13" i="8"/>
  <c r="F6" i="8"/>
  <c r="E11" i="8"/>
  <c r="B20" i="6"/>
  <c r="D20" i="6"/>
  <c r="C14" i="6"/>
  <c r="D33" i="6"/>
  <c r="C20" i="6"/>
  <c r="B14" i="6"/>
  <c r="C33" i="6"/>
  <c r="B33" i="6"/>
  <c r="F14" i="6"/>
  <c r="C14" i="8" l="1"/>
  <c r="D14" i="8"/>
  <c r="F14" i="8"/>
  <c r="E14" i="8"/>
  <c r="G14" i="8"/>
  <c r="F38" i="6"/>
  <c r="E38" i="6"/>
  <c r="D38" i="6"/>
  <c r="B38" i="6"/>
  <c r="C38" i="6"/>
</calcChain>
</file>

<file path=xl/sharedStrings.xml><?xml version="1.0" encoding="utf-8"?>
<sst xmlns="http://schemas.openxmlformats.org/spreadsheetml/2006/main" count="1132" uniqueCount="212">
  <si>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</si>
  <si>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</si>
  <si>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</si>
  <si>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</si>
  <si>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</si>
  <si>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</si>
  <si>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</si>
  <si>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</si>
  <si>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</si>
  <si>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</si>
  <si>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</si>
  <si>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</si>
  <si>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</si>
  <si>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</si>
  <si>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</si>
  <si>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</si>
  <si>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</si>
  <si>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</si>
  <si>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</si>
  <si>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</si>
  <si>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</si>
  <si>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</si>
  <si>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</si>
  <si>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</si>
  <si>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</si>
  <si>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</si>
  <si>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</si>
  <si>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</si>
  <si>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</si>
  <si>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</si>
  <si>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</si>
  <si>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</si>
  <si>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</si>
  <si>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</si>
  <si>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</si>
  <si>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</si>
  <si>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</si>
  <si>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</si>
  <si>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</si>
  <si>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</si>
  <si>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</si>
  <si>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</si>
  <si>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</si>
  <si>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</si>
  <si>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</si>
  <si>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</si>
  <si>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</si>
  <si>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</si>
  <si>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</si>
  <si>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</si>
  <si>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</si>
  <si>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</si>
  <si>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</si>
  <si>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</si>
  <si>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</si>
  <si>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</si>
  <si>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</si>
  <si>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</si>
  <si>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</si>
  <si>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</si>
  <si>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</si>
  <si>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</si>
  <si>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</si>
  <si>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</si>
  <si>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</si>
  <si>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</si>
  <si>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</si>
  <si>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</si>
  <si>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</si>
  <si>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</si>
  <si>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</si>
  <si>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</si>
  <si>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</si>
  <si>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</si>
  <si>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</si>
  <si>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</si>
  <si>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</si>
  <si>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</si>
  <si>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</si>
  <si>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</si>
  <si>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</si>
  <si>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</si>
  <si>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</si>
  <si>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</si>
  <si>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</si>
  <si>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</si>
  <si>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</si>
  <si>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</si>
  <si>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</si>
  <si>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</si>
  <si>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</si>
  <si>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</si>
  <si>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</si>
  <si>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</si>
  <si>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</si>
  <si>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</si>
  <si>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</si>
  <si>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</si>
  <si>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</si>
  <si>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</si>
  <si>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</si>
  <si>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</si>
  <si>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</si>
  <si>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</si>
  <si>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</si>
  <si>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</si>
  <si>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</si>
  <si>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</si>
  <si>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</si>
  <si>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</si>
  <si>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</si>
  <si>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</si>
  <si>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</si>
  <si>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</si>
  <si>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</si>
  <si>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</si>
  <si>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</si>
  <si>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</si>
  <si>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</si>
  <si>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</si>
  <si>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</si>
  <si>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</si>
  <si>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</si>
  <si>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</si>
  <si>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</si>
  <si>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</si>
  <si>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</si>
  <si>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</si>
  <si>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</si>
  <si>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</si>
  <si>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</si>
  <si>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</si>
  <si>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</si>
  <si>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</si>
  <si>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</si>
  <si>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</si>
  <si>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</si>
  <si>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</si>
  <si>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</si>
  <si>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</si>
  <si>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</si>
  <si>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Wanapum Fish Bypass</t>
  </si>
  <si>
    <t>Baker River Project</t>
  </si>
  <si>
    <t>Snoqualmie Falls Project</t>
  </si>
  <si>
    <t>Not Available</t>
  </si>
  <si>
    <t>Attachment 3</t>
  </si>
  <si>
    <t>Instructions in the section are for the cells B2:F31.  Each row represents a different facility.  FIRST UPDATE cell B1053 For Start Year</t>
  </si>
  <si>
    <t>W4865</t>
  </si>
  <si>
    <t>W4866</t>
  </si>
  <si>
    <t>Not Applicable</t>
  </si>
  <si>
    <t>Puget Sound Energy</t>
  </si>
  <si>
    <t>ATTACHMENT 3</t>
  </si>
  <si>
    <t>Klondike 1--REC only**</t>
  </si>
  <si>
    <t>Stateline WA Wind--REC Only **</t>
  </si>
  <si>
    <t>Horse Butte Wind--REC only **</t>
  </si>
  <si>
    <t>Grand View 5 East--REC Only**</t>
  </si>
  <si>
    <t>ID Solar 1 -- REC Only **</t>
  </si>
  <si>
    <t>Grand View 2 West--REC Only **</t>
  </si>
  <si>
    <t>Condon Wind Power -- REC Only **</t>
  </si>
  <si>
    <t>Condon Wind Power Phase II -- REC Only **</t>
  </si>
  <si>
    <t>W238</t>
  </si>
  <si>
    <t>W248</t>
  </si>
  <si>
    <t>W3260</t>
  </si>
  <si>
    <t>W5069</t>
  </si>
  <si>
    <t>W5070</t>
  </si>
  <si>
    <t>W5076</t>
  </si>
  <si>
    <t>W774</t>
  </si>
  <si>
    <t>W833</t>
  </si>
  <si>
    <t>Use of Wanapum Fish  Bypass for RPS Compliance will be dependent upon Grant County filing WREGIS registration.   To-date Grant County has not filed Wanapum in WREGIS.</t>
  </si>
  <si>
    <t>Actual Retirements for RPS Compliance</t>
  </si>
  <si>
    <t>2019 generation estimated based on 3 year average of generation at this facility. Baker estimated RPS Eligible generation based on Incremental Hydro Calculation Method 2.   Baker Project WREGIS Registration was completed June, 2016</t>
  </si>
  <si>
    <t>2019 generation estimated based on 3 year average of generation at this facility. Snoqualmie Falls Project estimated RPS Eligible generation based on Incremental Hydro Calculation Method 2.  Snoqualmie Falls Project WREGIS Registration was completed June, 2016</t>
  </si>
  <si>
    <t>PUGET SOUND ENERGY - 2020 RPS REPORT</t>
  </si>
  <si>
    <t>** REC purchase only, no generation provided with purchase</t>
  </si>
  <si>
    <t>Facility 37</t>
  </si>
  <si>
    <t>Facility 38</t>
  </si>
  <si>
    <t>Facility 39</t>
  </si>
  <si>
    <t>Facility 40</t>
  </si>
  <si>
    <t>W1875</t>
  </si>
  <si>
    <t>W1862</t>
  </si>
  <si>
    <t>W3186</t>
  </si>
  <si>
    <t>W3185</t>
  </si>
  <si>
    <t>W2869</t>
  </si>
  <si>
    <t>W697</t>
  </si>
  <si>
    <t>W1882</t>
  </si>
  <si>
    <t>W1844</t>
  </si>
  <si>
    <t>W2616</t>
  </si>
  <si>
    <t>W1885</t>
  </si>
  <si>
    <t>W2323</t>
  </si>
  <si>
    <t>W1881</t>
  </si>
  <si>
    <t>W1883</t>
  </si>
  <si>
    <t>W1503</t>
  </si>
  <si>
    <t>W360</t>
  </si>
  <si>
    <t>Camp Reed Wind Park - Camp Reed Wind Park -- REC Only **</t>
  </si>
  <si>
    <t>Golden Valley Wind Park - Golden Valley Wind Park -- REC Only **</t>
  </si>
  <si>
    <t>Klondike III - Klondike Wind Power III LLC -- REC Only **</t>
  </si>
  <si>
    <t>Meadow Creek Wind Farm - Five Pine Project -- REC Only **</t>
  </si>
  <si>
    <t>Meadow Creek Wind Farm - North Point Wind Farm -- REC Only **</t>
  </si>
  <si>
    <t>Mountain Air Wind Projects - Mountain Air Wind Projects -- REC Only **</t>
  </si>
  <si>
    <t>Nine Canyon Wind Project - Nine Canyon Phase 3 -- REC Only **</t>
  </si>
  <si>
    <t>Oregon Trail Wind Park, LLC - Oregon Trail Wind Park -- REC Only **</t>
  </si>
  <si>
    <t>PaTu Wind Farm - PaTu Wind -- REC Only **</t>
  </si>
  <si>
    <t>Roseburg LFG - Roseburg LFG Energy -- REC Only **</t>
  </si>
  <si>
    <t>Salmon Falls Wind Park, LLC - Salmon Falls Wind Park -- REC Only **</t>
  </si>
  <si>
    <t>Sawtooth Wind Project - Sawtooth Wind Project -- REC Only **</t>
  </si>
  <si>
    <t>Thousand Springs Wind Park, LLC - Thousand Springs Wind Park -- REC Only **</t>
  </si>
  <si>
    <t>Tuana Gulch Wind Park, LLC - Tuana Gulch Wind Park -- REC Only **</t>
  </si>
  <si>
    <t>Tuana Springs Energy, LLC - Tuana Springs -- REC Only **</t>
  </si>
  <si>
    <t>White Creek Wind 1 - White Creek -- REC Only **</t>
  </si>
  <si>
    <t>1Q2020 Calcs</t>
  </si>
  <si>
    <t>Facility 35</t>
  </si>
  <si>
    <t>Facility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</si>
</sst>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2"/>
      <name val="Times New Roman"/>
      <family val="1"/>
    </font>
    <font>
      <sz val="12"/>
      <name val="Calibri"/>
      <family val="2"/>
    </font>
    <font>
      <b/>
      <sz val="1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" fillId="0" borderId="0"/>
    <xf numFmtId="166" fontId="3" fillId="0" borderId="0">
      <alignment horizontal="left" wrapText="1"/>
    </xf>
    <xf numFmtId="9" fontId="3" fillId="0" borderId="0" applyFont="0" applyFill="0" applyBorder="0" applyAlignment="0" applyProtection="0"/>
    <xf numFmtId="0" fontId="2" fillId="0" borderId="0" applyNumberFormat="0" applyFon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26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0" fontId="5" fillId="0" borderId="0" xfId="0" applyFont="1"/>
    <xf numFmtId="164" fontId="5" fillId="0" borderId="0" xfId="1" applyNumberFormat="1" applyFont="1"/>
    <xf numFmtId="0" fontId="4" fillId="0" borderId="4" xfId="0" applyFont="1" applyBorder="1"/>
    <xf numFmtId="0" fontId="6" fillId="0" borderId="0" xfId="0" applyFont="1"/>
    <xf numFmtId="164" fontId="4" fillId="2" borderId="5" xfId="1" applyNumberFormat="1" applyFont="1" applyFill="1" applyBorder="1"/>
    <xf numFmtId="164" fontId="4" fillId="0" borderId="2" xfId="1" applyNumberFormat="1" applyFont="1" applyBorder="1"/>
    <xf numFmtId="164" fontId="4" fillId="0" borderId="3" xfId="1" applyNumberFormat="1" applyFont="1" applyBorder="1"/>
    <xf numFmtId="0" fontId="8" fillId="0" borderId="0" xfId="0" applyFont="1"/>
    <xf numFmtId="164" fontId="4" fillId="0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quotePrefix="1" applyFont="1" applyFill="1" applyBorder="1"/>
    <xf numFmtId="164" fontId="5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9" fontId="4" fillId="0" borderId="0" xfId="5" applyFont="1" applyFill="1" applyBorder="1" applyAlignment="1">
      <alignment horizontal="center"/>
    </xf>
    <xf numFmtId="0" fontId="4" fillId="0" borderId="0" xfId="0" applyFont="1" applyFill="1" applyBorder="1"/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64" fontId="5" fillId="0" borderId="0" xfId="1" applyNumberFormat="1" applyFont="1" applyFill="1" applyBorder="1"/>
    <xf numFmtId="0" fontId="4" fillId="0" borderId="0" xfId="0" applyFont="1" applyBorder="1"/>
    <xf numFmtId="164" fontId="4" fillId="0" borderId="0" xfId="1" applyNumberFormat="1" applyFont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164" fontId="4" fillId="4" borderId="0" xfId="1" applyNumberFormat="1" applyFont="1" applyFill="1" applyBorder="1"/>
    <xf numFmtId="164" fontId="5" fillId="0" borderId="13" xfId="1" applyNumberFormat="1" applyFont="1" applyBorder="1"/>
    <xf numFmtId="0" fontId="6" fillId="0" borderId="0" xfId="0" applyFont="1" applyBorder="1"/>
    <xf numFmtId="0" fontId="8" fillId="0" borderId="7" xfId="0" applyFont="1" applyFill="1" applyBorder="1" applyAlignment="1">
      <alignment horizontal="centerContinuous"/>
    </xf>
    <xf numFmtId="0" fontId="8" fillId="0" borderId="14" xfId="0" applyFont="1" applyFill="1" applyBorder="1" applyAlignment="1">
      <alignment horizontal="centerContinuous"/>
    </xf>
    <xf numFmtId="0" fontId="6" fillId="0" borderId="0" xfId="0" applyFont="1" applyFill="1" applyBorder="1"/>
    <xf numFmtId="164" fontId="5" fillId="5" borderId="0" xfId="1" applyNumberFormat="1" applyFont="1" applyFill="1" applyBorder="1"/>
    <xf numFmtId="164" fontId="4" fillId="2" borderId="18" xfId="1" applyNumberFormat="1" applyFont="1" applyFill="1" applyBorder="1"/>
    <xf numFmtId="9" fontId="4" fillId="2" borderId="12" xfId="5" applyFont="1" applyFill="1" applyBorder="1"/>
    <xf numFmtId="9" fontId="4" fillId="2" borderId="18" xfId="5" applyFont="1" applyFill="1" applyBorder="1"/>
    <xf numFmtId="164" fontId="4" fillId="0" borderId="1" xfId="1" applyNumberFormat="1" applyFont="1" applyFill="1" applyBorder="1"/>
    <xf numFmtId="164" fontId="4" fillId="0" borderId="11" xfId="1" applyNumberFormat="1" applyFont="1" applyFill="1" applyBorder="1"/>
    <xf numFmtId="164" fontId="4" fillId="0" borderId="12" xfId="1" applyNumberFormat="1" applyFont="1" applyBorder="1"/>
    <xf numFmtId="164" fontId="4" fillId="0" borderId="18" xfId="1" applyNumberFormat="1" applyFont="1" applyBorder="1"/>
    <xf numFmtId="164" fontId="4" fillId="0" borderId="19" xfId="1" applyNumberFormat="1" applyFont="1" applyFill="1" applyBorder="1"/>
    <xf numFmtId="164" fontId="4" fillId="0" borderId="12" xfId="1" applyNumberFormat="1" applyFont="1" applyFill="1" applyBorder="1"/>
    <xf numFmtId="0" fontId="9" fillId="0" borderId="0" xfId="0" applyFont="1" applyAlignment="1">
      <alignment horizontal="left" vertical="center" wrapText="1"/>
    </xf>
    <xf numFmtId="164" fontId="4" fillId="0" borderId="12" xfId="1" applyNumberFormat="1" applyFont="1" applyFill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5" xfId="1" applyNumberFormat="1" applyFont="1" applyFill="1" applyBorder="1"/>
    <xf numFmtId="0" fontId="4" fillId="0" borderId="20" xfId="0" applyFont="1" applyBorder="1"/>
    <xf numFmtId="0" fontId="5" fillId="0" borderId="0" xfId="0" applyFont="1" applyAlignment="1">
      <alignment horizontal="left" indent="2"/>
    </xf>
    <xf numFmtId="0" fontId="5" fillId="0" borderId="0" xfId="0" applyFont="1" applyFill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0" fillId="0" borderId="20" xfId="0" applyBorder="1" applyAlignment="1"/>
    <xf numFmtId="0" fontId="4" fillId="0" borderId="20" xfId="0" applyFont="1" applyBorder="1" applyAlignment="1">
      <alignment horizontal="left" indent="2"/>
    </xf>
    <xf numFmtId="0" fontId="10" fillId="0" borderId="0" xfId="0" applyFont="1"/>
    <xf numFmtId="166" fontId="9" fillId="6" borderId="7" xfId="4" applyFont="1" applyFill="1" applyBorder="1" applyAlignment="1">
      <alignment horizontal="center" vertical="center" wrapText="1"/>
    </xf>
    <xf numFmtId="166" fontId="4" fillId="0" borderId="7" xfId="4" applyFont="1" applyBorder="1" applyAlignment="1">
      <alignment vertical="center" wrapText="1"/>
    </xf>
    <xf numFmtId="1" fontId="4" fillId="0" borderId="7" xfId="4" applyNumberFormat="1" applyFont="1" applyBorder="1" applyAlignment="1">
      <alignment horizontal="center" vertical="center" wrapText="1"/>
    </xf>
    <xf numFmtId="166" fontId="4" fillId="0" borderId="7" xfId="4" applyFont="1" applyBorder="1" applyAlignment="1">
      <alignment horizontal="center" vertical="center" wrapText="1"/>
    </xf>
    <xf numFmtId="166" fontId="4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 indent="2" shrinkToFit="1"/>
    </xf>
    <xf numFmtId="166" fontId="4" fillId="0" borderId="7" xfId="4" applyFont="1" applyFill="1" applyBorder="1" applyAlignment="1">
      <alignment vertical="center" wrapText="1"/>
    </xf>
    <xf numFmtId="9" fontId="4" fillId="0" borderId="12" xfId="5" applyFont="1" applyBorder="1" applyAlignment="1">
      <alignment horizontal="center"/>
    </xf>
    <xf numFmtId="9" fontId="4" fillId="0" borderId="18" xfId="5" applyFont="1" applyBorder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4" fillId="0" borderId="13" xfId="1" applyNumberFormat="1" applyFont="1" applyFill="1" applyBorder="1" applyAlignment="1">
      <alignment horizontal="center"/>
    </xf>
    <xf numFmtId="164" fontId="4" fillId="2" borderId="16" xfId="1" applyNumberFormat="1" applyFont="1" applyFill="1" applyBorder="1"/>
    <xf numFmtId="164" fontId="4" fillId="2" borderId="17" xfId="1" applyNumberFormat="1" applyFont="1" applyFill="1" applyBorder="1"/>
    <xf numFmtId="0" fontId="4" fillId="0" borderId="0" xfId="0" applyFont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4" fillId="2" borderId="9" xfId="0" applyFont="1" applyFill="1" applyBorder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6" xfId="0" applyFont="1" applyBorder="1"/>
    <xf numFmtId="164" fontId="14" fillId="0" borderId="1" xfId="1" applyNumberFormat="1" applyFont="1" applyBorder="1"/>
    <xf numFmtId="164" fontId="14" fillId="0" borderId="2" xfId="1" applyNumberFormat="1" applyFont="1" applyBorder="1"/>
    <xf numFmtId="164" fontId="14" fillId="0" borderId="3" xfId="1" applyNumberFormat="1" applyFont="1" applyBorder="1"/>
    <xf numFmtId="0" fontId="14" fillId="0" borderId="8" xfId="0" applyFont="1" applyBorder="1"/>
    <xf numFmtId="164" fontId="14" fillId="0" borderId="10" xfId="1" applyNumberFormat="1" applyFont="1" applyBorder="1"/>
    <xf numFmtId="164" fontId="14" fillId="0" borderId="5" xfId="1" applyNumberFormat="1" applyFont="1" applyBorder="1"/>
    <xf numFmtId="164" fontId="14" fillId="0" borderId="19" xfId="1" applyNumberFormat="1" applyFont="1" applyBorder="1"/>
    <xf numFmtId="0" fontId="14" fillId="0" borderId="9" xfId="0" applyFont="1" applyBorder="1"/>
    <xf numFmtId="164" fontId="14" fillId="0" borderId="11" xfId="1" applyNumberFormat="1" applyFont="1" applyBorder="1"/>
    <xf numFmtId="164" fontId="14" fillId="0" borderId="12" xfId="1" applyNumberFormat="1" applyFont="1" applyBorder="1"/>
    <xf numFmtId="164" fontId="14" fillId="0" borderId="18" xfId="1" applyNumberFormat="1" applyFont="1" applyBorder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/>
    <xf numFmtId="164" fontId="17" fillId="0" borderId="0" xfId="1" applyNumberFormat="1" applyFont="1"/>
    <xf numFmtId="166" fontId="4" fillId="0" borderId="13" xfId="4" applyFont="1" applyBorder="1" applyAlignment="1">
      <alignment horizontal="center" vertical="center" wrapText="1"/>
    </xf>
    <xf numFmtId="1" fontId="4" fillId="0" borderId="13" xfId="4" applyNumberFormat="1" applyFont="1" applyBorder="1" applyAlignment="1">
      <alignment horizontal="center" vertical="center" wrapText="1"/>
    </xf>
    <xf numFmtId="166" fontId="4" fillId="0" borderId="13" xfId="4" applyFont="1" applyBorder="1" applyAlignment="1">
      <alignment vertical="center" wrapText="1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7" fontId="4" fillId="2" borderId="3" xfId="0" applyNumberFormat="1" applyFont="1" applyFill="1" applyBorder="1" applyAlignment="1">
      <alignment horizontal="center"/>
    </xf>
    <xf numFmtId="167" fontId="4" fillId="2" borderId="19" xfId="0" applyNumberFormat="1" applyFont="1" applyFill="1" applyBorder="1" applyAlignment="1">
      <alignment horizontal="center"/>
    </xf>
    <xf numFmtId="167" fontId="4" fillId="2" borderId="1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/>
    </xf>
    <xf numFmtId="0" fontId="5" fillId="0" borderId="0" xfId="0" applyFont="1" applyAlignment="1">
      <alignment horizontal="right"/>
    </xf>
    <xf numFmtId="164" fontId="4" fillId="0" borderId="21" xfId="1" applyNumberFormat="1" applyFont="1" applyBorder="1"/>
    <xf numFmtId="164" fontId="4" fillId="0" borderId="23" xfId="1" applyNumberFormat="1" applyFont="1" applyBorder="1"/>
    <xf numFmtId="164" fontId="4" fillId="2" borderId="24" xfId="1" applyNumberFormat="1" applyFont="1" applyFill="1" applyBorder="1"/>
    <xf numFmtId="164" fontId="9" fillId="6" borderId="24" xfId="1" applyNumberFormat="1" applyFont="1" applyFill="1" applyBorder="1"/>
    <xf numFmtId="164" fontId="4" fillId="7" borderId="5" xfId="1" applyNumberFormat="1" applyFont="1" applyFill="1" applyBorder="1"/>
    <xf numFmtId="164" fontId="4" fillId="7" borderId="10" xfId="1" applyNumberFormat="1" applyFont="1" applyFill="1" applyBorder="1"/>
    <xf numFmtId="164" fontId="4" fillId="7" borderId="11" xfId="1" applyNumberFormat="1" applyFont="1" applyFill="1" applyBorder="1"/>
    <xf numFmtId="164" fontId="4" fillId="7" borderId="12" xfId="1" applyNumberFormat="1" applyFont="1" applyFill="1" applyBorder="1"/>
    <xf numFmtId="164" fontId="4" fillId="7" borderId="19" xfId="1" applyNumberFormat="1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8" fillId="0" borderId="0" xfId="0" applyFont="1" applyFill="1"/>
    <xf numFmtId="0" fontId="6" fillId="0" borderId="0" xfId="0" applyFont="1" applyFill="1"/>
    <xf numFmtId="164" fontId="5" fillId="0" borderId="0" xfId="1" applyNumberFormat="1" applyFont="1" applyAlignment="1">
      <alignment horizontal="right"/>
    </xf>
    <xf numFmtId="0" fontId="18" fillId="0" borderId="0" xfId="0" applyFont="1"/>
    <xf numFmtId="0" fontId="4" fillId="3" borderId="5" xfId="0" applyFont="1" applyFill="1" applyBorder="1" applyAlignment="1">
      <alignment horizontal="center" wrapText="1"/>
    </xf>
    <xf numFmtId="0" fontId="12" fillId="0" borderId="0" xfId="0" applyFont="1"/>
    <xf numFmtId="164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5" fillId="4" borderId="0" xfId="1" applyNumberFormat="1" applyFont="1" applyFill="1" applyBorder="1"/>
    <xf numFmtId="9" fontId="4" fillId="2" borderId="5" xfId="5" applyNumberFormat="1" applyFont="1" applyFill="1" applyBorder="1"/>
    <xf numFmtId="9" fontId="4" fillId="2" borderId="19" xfId="5" applyNumberFormat="1" applyFont="1" applyFill="1" applyBorder="1"/>
    <xf numFmtId="164" fontId="4" fillId="0" borderId="10" xfId="1" applyNumberFormat="1" applyFont="1" applyFill="1" applyBorder="1"/>
    <xf numFmtId="168" fontId="4" fillId="2" borderId="5" xfId="5" applyNumberFormat="1" applyFont="1" applyFill="1" applyBorder="1"/>
    <xf numFmtId="168" fontId="4" fillId="2" borderId="19" xfId="5" applyNumberFormat="1" applyFont="1" applyFill="1" applyBorder="1"/>
    <xf numFmtId="164" fontId="4" fillId="2" borderId="5" xfId="1" applyNumberFormat="1" applyFont="1" applyFill="1" applyBorder="1" applyAlignment="1"/>
    <xf numFmtId="164" fontId="4" fillId="2" borderId="19" xfId="1" applyNumberFormat="1" applyFont="1" applyFill="1" applyBorder="1" applyAlignment="1"/>
    <xf numFmtId="164" fontId="4" fillId="2" borderId="12" xfId="1" applyNumberFormat="1" applyFont="1" applyFill="1" applyBorder="1" applyAlignment="1"/>
    <xf numFmtId="164" fontId="4" fillId="2" borderId="18" xfId="1" applyNumberFormat="1" applyFont="1" applyFill="1" applyBorder="1" applyAlignment="1"/>
    <xf numFmtId="164" fontId="5" fillId="0" borderId="0" xfId="0" applyNumberFormat="1" applyFont="1"/>
    <xf numFmtId="164" fontId="4" fillId="2" borderId="28" xfId="1" applyNumberFormat="1" applyFont="1" applyFill="1" applyBorder="1" applyAlignment="1">
      <alignment horizontal="center"/>
    </xf>
    <xf numFmtId="164" fontId="4" fillId="2" borderId="29" xfId="1" applyNumberFormat="1" applyFont="1" applyFill="1" applyBorder="1" applyAlignment="1">
      <alignment horizontal="center"/>
    </xf>
    <xf numFmtId="9" fontId="4" fillId="0" borderId="11" xfId="5" applyFont="1" applyBorder="1" applyAlignment="1">
      <alignment horizontal="center"/>
    </xf>
    <xf numFmtId="164" fontId="4" fillId="0" borderId="27" xfId="1" applyNumberFormat="1" applyFont="1" applyFill="1" applyBorder="1"/>
    <xf numFmtId="164" fontId="4" fillId="0" borderId="28" xfId="1" applyNumberFormat="1" applyFont="1" applyFill="1" applyBorder="1"/>
    <xf numFmtId="164" fontId="4" fillId="0" borderId="29" xfId="1" applyNumberFormat="1" applyFont="1" applyFill="1" applyBorder="1"/>
    <xf numFmtId="164" fontId="4" fillId="0" borderId="11" xfId="1" applyNumberFormat="1" applyFont="1" applyBorder="1"/>
    <xf numFmtId="164" fontId="4" fillId="0" borderId="18" xfId="1" applyNumberFormat="1" applyFont="1" applyFill="1" applyBorder="1"/>
    <xf numFmtId="164" fontId="4" fillId="0" borderId="28" xfId="1" applyNumberFormat="1" applyFont="1" applyFill="1" applyBorder="1" applyAlignment="1">
      <alignment horizontal="center"/>
    </xf>
    <xf numFmtId="164" fontId="4" fillId="0" borderId="29" xfId="1" applyNumberFormat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4" fillId="2" borderId="27" xfId="1" applyNumberFormat="1" applyFont="1" applyFill="1" applyBorder="1"/>
    <xf numFmtId="164" fontId="4" fillId="7" borderId="28" xfId="1" applyNumberFormat="1" applyFont="1" applyFill="1" applyBorder="1"/>
    <xf numFmtId="164" fontId="4" fillId="7" borderId="29" xfId="1" applyNumberFormat="1" applyFont="1" applyFill="1" applyBorder="1"/>
    <xf numFmtId="164" fontId="4" fillId="0" borderId="32" xfId="1" applyNumberFormat="1" applyFont="1" applyBorder="1"/>
    <xf numFmtId="164" fontId="4" fillId="0" borderId="33" xfId="1" applyNumberFormat="1" applyFont="1" applyBorder="1"/>
    <xf numFmtId="164" fontId="4" fillId="0" borderId="30" xfId="1" applyNumberFormat="1" applyFont="1" applyBorder="1"/>
    <xf numFmtId="164" fontId="9" fillId="6" borderId="33" xfId="1" applyNumberFormat="1" applyFont="1" applyFill="1" applyBorder="1" applyAlignment="1">
      <alignment horizontal="center" vertical="center"/>
    </xf>
    <xf numFmtId="164" fontId="4" fillId="0" borderId="27" xfId="1" applyNumberFormat="1" applyFont="1" applyFill="1" applyBorder="1" applyAlignment="1">
      <alignment horizontal="center"/>
    </xf>
    <xf numFmtId="164" fontId="4" fillId="0" borderId="10" xfId="1" applyNumberFormat="1" applyFont="1" applyFill="1" applyBorder="1" applyAlignment="1">
      <alignment horizontal="center" vertical="center"/>
    </xf>
    <xf numFmtId="164" fontId="4" fillId="0" borderId="11" xfId="1" applyNumberFormat="1" applyFont="1" applyFill="1" applyBorder="1" applyAlignment="1">
      <alignment horizontal="center" vertical="center"/>
    </xf>
    <xf numFmtId="0" fontId="19" fillId="0" borderId="0" xfId="0" applyFont="1"/>
    <xf numFmtId="0" fontId="4" fillId="0" borderId="0" xfId="0" applyFont="1" applyBorder="1" applyAlignment="1"/>
    <xf numFmtId="164" fontId="20" fillId="4" borderId="0" xfId="1" applyNumberFormat="1" applyFont="1" applyFill="1" applyBorder="1"/>
    <xf numFmtId="164" fontId="21" fillId="0" borderId="0" xfId="1" applyNumberFormat="1" applyFont="1"/>
    <xf numFmtId="164" fontId="21" fillId="4" borderId="0" xfId="1" applyNumberFormat="1" applyFont="1" applyFill="1" applyBorder="1"/>
    <xf numFmtId="164" fontId="21" fillId="0" borderId="0" xfId="1" applyNumberFormat="1" applyFont="1" applyBorder="1"/>
    <xf numFmtId="0" fontId="4" fillId="0" borderId="4" xfId="0" applyFont="1" applyFill="1" applyBorder="1"/>
    <xf numFmtId="9" fontId="4" fillId="0" borderId="10" xfId="5" applyNumberFormat="1" applyFont="1" applyFill="1" applyBorder="1"/>
    <xf numFmtId="9" fontId="4" fillId="0" borderId="11" xfId="5" applyFont="1" applyFill="1" applyBorder="1"/>
    <xf numFmtId="164" fontId="5" fillId="0" borderId="13" xfId="1" applyNumberFormat="1" applyFont="1" applyFill="1" applyBorder="1"/>
    <xf numFmtId="164" fontId="4" fillId="0" borderId="1" xfId="1" applyNumberFormat="1" applyFont="1" applyFill="1" applyBorder="1" applyAlignment="1"/>
    <xf numFmtId="164" fontId="4" fillId="0" borderId="10" xfId="1" applyNumberFormat="1" applyFont="1" applyFill="1" applyBorder="1" applyAlignment="1"/>
    <xf numFmtId="164" fontId="4" fillId="0" borderId="11" xfId="1" applyNumberFormat="1" applyFont="1" applyFill="1" applyBorder="1" applyAlignment="1"/>
    <xf numFmtId="164" fontId="4" fillId="0" borderId="15" xfId="1" applyNumberFormat="1" applyFont="1" applyFill="1" applyBorder="1"/>
    <xf numFmtId="164" fontId="9" fillId="0" borderId="24" xfId="1" applyNumberFormat="1" applyFont="1" applyFill="1" applyBorder="1"/>
    <xf numFmtId="0" fontId="14" fillId="0" borderId="6" xfId="3" applyFont="1" applyBorder="1"/>
    <xf numFmtId="43" fontId="4" fillId="0" borderId="0" xfId="0" applyNumberFormat="1" applyFont="1"/>
    <xf numFmtId="43" fontId="4" fillId="2" borderId="12" xfId="1" applyNumberFormat="1" applyFont="1" applyFill="1" applyBorder="1" applyAlignment="1"/>
    <xf numFmtId="17" fontId="4" fillId="0" borderId="0" xfId="0" applyNumberFormat="1" applyFont="1"/>
    <xf numFmtId="164" fontId="9" fillId="6" borderId="30" xfId="1" applyNumberFormat="1" applyFont="1" applyFill="1" applyBorder="1"/>
    <xf numFmtId="0" fontId="4" fillId="0" borderId="0" xfId="0" applyFont="1" applyAlignment="1">
      <alignment horizontal="left" vertical="center" wrapText="1"/>
    </xf>
    <xf numFmtId="164" fontId="4" fillId="2" borderId="29" xfId="1" applyNumberFormat="1" applyFont="1" applyFill="1" applyBorder="1"/>
    <xf numFmtId="0" fontId="4" fillId="0" borderId="0" xfId="0" applyFont="1" applyAlignment="1">
      <alignment horizontal="left" vertical="center" wrapText="1"/>
    </xf>
    <xf numFmtId="164" fontId="4" fillId="2" borderId="28" xfId="1" applyNumberFormat="1" applyFont="1" applyFill="1" applyBorder="1"/>
    <xf numFmtId="164" fontId="4" fillId="2" borderId="27" xfId="1" applyNumberFormat="1" applyFont="1" applyFill="1" applyBorder="1" applyAlignment="1">
      <alignment horizontal="center"/>
    </xf>
    <xf numFmtId="164" fontId="4" fillId="2" borderId="36" xfId="1" applyNumberFormat="1" applyFont="1" applyFill="1" applyBorder="1" applyAlignment="1">
      <alignment horizontal="center"/>
    </xf>
    <xf numFmtId="164" fontId="4" fillId="7" borderId="37" xfId="1" applyNumberFormat="1" applyFont="1" applyFill="1" applyBorder="1"/>
    <xf numFmtId="164" fontId="4" fillId="7" borderId="38" xfId="1" applyNumberFormat="1" applyFont="1" applyFill="1" applyBorder="1"/>
    <xf numFmtId="0" fontId="8" fillId="0" borderId="7" xfId="0" applyFont="1" applyFill="1" applyBorder="1" applyAlignment="1">
      <alignment horizontal="center"/>
    </xf>
    <xf numFmtId="164" fontId="4" fillId="2" borderId="32" xfId="1" applyNumberFormat="1" applyFont="1" applyFill="1" applyBorder="1"/>
    <xf numFmtId="164" fontId="4" fillId="2" borderId="36" xfId="1" applyNumberFormat="1" applyFont="1" applyFill="1" applyBorder="1"/>
    <xf numFmtId="164" fontId="4" fillId="0" borderId="37" xfId="1" applyNumberFormat="1" applyFont="1" applyFill="1" applyBorder="1"/>
    <xf numFmtId="164" fontId="4" fillId="2" borderId="39" xfId="1" applyNumberFormat="1" applyFont="1" applyFill="1" applyBorder="1"/>
    <xf numFmtId="164" fontId="4" fillId="7" borderId="40" xfId="1" applyNumberFormat="1" applyFont="1" applyFill="1" applyBorder="1"/>
    <xf numFmtId="164" fontId="4" fillId="7" borderId="41" xfId="1" applyNumberFormat="1" applyFont="1" applyFill="1" applyBorder="1"/>
    <xf numFmtId="164" fontId="4" fillId="2" borderId="10" xfId="1" applyNumberFormat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2" borderId="10" xfId="1" applyNumberFormat="1" applyFont="1" applyFill="1" applyBorder="1" applyAlignment="1"/>
    <xf numFmtId="164" fontId="4" fillId="2" borderId="11" xfId="1" applyNumberFormat="1" applyFont="1" applyFill="1" applyBorder="1" applyAlignment="1"/>
    <xf numFmtId="43" fontId="4" fillId="2" borderId="11" xfId="1" applyNumberFormat="1" applyFont="1" applyFill="1" applyBorder="1" applyAlignment="1"/>
    <xf numFmtId="164" fontId="5" fillId="0" borderId="0" xfId="1" applyNumberFormat="1" applyFont="1" applyBorder="1"/>
    <xf numFmtId="164" fontId="9" fillId="6" borderId="32" xfId="1" applyNumberFormat="1" applyFont="1" applyFill="1" applyBorder="1"/>
    <xf numFmtId="43" fontId="4" fillId="2" borderId="18" xfId="1" applyNumberFormat="1" applyFont="1" applyFill="1" applyBorder="1" applyAlignment="1"/>
    <xf numFmtId="164" fontId="4" fillId="0" borderId="29" xfId="1" applyNumberFormat="1" applyFont="1" applyBorder="1"/>
    <xf numFmtId="10" fontId="4" fillId="0" borderId="0" xfId="5" applyNumberFormat="1" applyFont="1"/>
    <xf numFmtId="164" fontId="4" fillId="0" borderId="13" xfId="1" applyNumberFormat="1" applyFont="1" applyBorder="1"/>
    <xf numFmtId="164" fontId="4" fillId="0" borderId="0" xfId="1" applyNumberFormat="1" applyFont="1" applyBorder="1" applyAlignment="1">
      <alignment horizontal="center"/>
    </xf>
    <xf numFmtId="164" fontId="4" fillId="0" borderId="0" xfId="1" applyNumberFormat="1" applyFont="1" applyFill="1"/>
    <xf numFmtId="0" fontId="4" fillId="2" borderId="43" xfId="0" applyFont="1" applyFill="1" applyBorder="1" applyAlignment="1">
      <alignment horizontal="center"/>
    </xf>
    <xf numFmtId="0" fontId="4" fillId="3" borderId="43" xfId="0" applyFont="1" applyFill="1" applyBorder="1" applyAlignment="1">
      <alignment horizontal="center"/>
    </xf>
    <xf numFmtId="0" fontId="4" fillId="3" borderId="44" xfId="0" applyFont="1" applyFill="1" applyBorder="1" applyAlignment="1">
      <alignment horizontal="center"/>
    </xf>
    <xf numFmtId="167" fontId="4" fillId="2" borderId="45" xfId="0" applyNumberFormat="1" applyFont="1" applyFill="1" applyBorder="1" applyAlignment="1">
      <alignment horizontal="center"/>
    </xf>
    <xf numFmtId="164" fontId="14" fillId="0" borderId="42" xfId="1" applyNumberFormat="1" applyFont="1" applyBorder="1"/>
    <xf numFmtId="164" fontId="14" fillId="0" borderId="43" xfId="1" applyNumberFormat="1" applyFont="1" applyBorder="1"/>
    <xf numFmtId="164" fontId="14" fillId="0" borderId="45" xfId="1" applyNumberFormat="1" applyFont="1" applyBorder="1"/>
    <xf numFmtId="0" fontId="4" fillId="3" borderId="22" xfId="0" quotePrefix="1" applyFont="1" applyFill="1" applyBorder="1" applyAlignment="1">
      <alignment horizontal="center"/>
    </xf>
    <xf numFmtId="0" fontId="4" fillId="3" borderId="44" xfId="0" quotePrefix="1" applyFont="1" applyFill="1" applyBorder="1" applyAlignment="1">
      <alignment horizontal="center"/>
    </xf>
    <xf numFmtId="164" fontId="4" fillId="0" borderId="0" xfId="0" applyNumberFormat="1" applyFont="1"/>
    <xf numFmtId="164" fontId="14" fillId="0" borderId="1" xfId="1" applyNumberFormat="1" applyFont="1" applyFill="1" applyBorder="1"/>
    <xf numFmtId="164" fontId="14" fillId="0" borderId="2" xfId="1" applyNumberFormat="1" applyFont="1" applyFill="1" applyBorder="1"/>
    <xf numFmtId="164" fontId="14" fillId="0" borderId="3" xfId="1" applyNumberFormat="1" applyFont="1" applyFill="1" applyBorder="1"/>
    <xf numFmtId="164" fontId="14" fillId="0" borderId="10" xfId="1" applyNumberFormat="1" applyFont="1" applyFill="1" applyBorder="1"/>
    <xf numFmtId="164" fontId="14" fillId="0" borderId="5" xfId="1" applyNumberFormat="1" applyFont="1" applyFill="1" applyBorder="1"/>
    <xf numFmtId="164" fontId="14" fillId="0" borderId="19" xfId="1" applyNumberFormat="1" applyFont="1" applyFill="1" applyBorder="1"/>
    <xf numFmtId="164" fontId="13" fillId="0" borderId="0" xfId="0" applyNumberFormat="1" applyFont="1"/>
    <xf numFmtId="9" fontId="4" fillId="2" borderId="7" xfId="5" applyFont="1" applyFill="1" applyBorder="1" applyAlignment="1">
      <alignment horizontal="center"/>
    </xf>
    <xf numFmtId="10" fontId="4" fillId="0" borderId="0" xfId="0" applyNumberFormat="1" applyFont="1"/>
    <xf numFmtId="3" fontId="22" fillId="0" borderId="0" xfId="0" applyNumberFormat="1" applyFont="1" applyFill="1"/>
    <xf numFmtId="0" fontId="4" fillId="0" borderId="0" xfId="0" applyFont="1" applyFill="1" applyAlignment="1">
      <alignment horizontal="right" indent="1"/>
    </xf>
    <xf numFmtId="3" fontId="4" fillId="0" borderId="0" xfId="0" applyNumberFormat="1" applyFont="1" applyFill="1"/>
    <xf numFmtId="0" fontId="20" fillId="0" borderId="0" xfId="0" applyFont="1" applyFill="1"/>
    <xf numFmtId="0" fontId="19" fillId="0" borderId="0" xfId="0" applyFont="1" applyAlignment="1">
      <alignment horizontal="center"/>
    </xf>
    <xf numFmtId="166" fontId="9" fillId="0" borderId="25" xfId="4" applyFont="1" applyBorder="1" applyAlignment="1">
      <alignment vertical="center" wrapText="1"/>
    </xf>
    <xf numFmtId="166" fontId="9" fillId="0" borderId="26" xfId="4" applyFont="1" applyBorder="1" applyAlignment="1">
      <alignment vertical="center" wrapText="1"/>
    </xf>
    <xf numFmtId="166" fontId="9" fillId="0" borderId="14" xfId="4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165" fontId="6" fillId="2" borderId="34" xfId="0" applyNumberFormat="1" applyFont="1" applyFill="1" applyBorder="1" applyAlignment="1">
      <alignment horizontal="center" vertical="center"/>
    </xf>
    <xf numFmtId="165" fontId="6" fillId="2" borderId="35" xfId="0" applyNumberFormat="1" applyFont="1" applyFill="1" applyBorder="1" applyAlignment="1">
      <alignment horizontal="center" vertical="center"/>
    </xf>
    <xf numFmtId="165" fontId="6" fillId="2" borderId="31" xfId="0" applyNumberFormat="1" applyFont="1" applyFill="1" applyBorder="1" applyAlignment="1">
      <alignment horizontal="center" vertical="center"/>
    </xf>
    <xf numFmtId="0" fontId="6" fillId="8" borderId="34" xfId="0" applyFont="1" applyFill="1" applyBorder="1" applyAlignment="1">
      <alignment horizontal="center"/>
    </xf>
    <xf numFmtId="0" fontId="6" fillId="8" borderId="35" xfId="0" applyFont="1" applyFill="1" applyBorder="1" applyAlignment="1">
      <alignment horizontal="center"/>
    </xf>
    <xf numFmtId="0" fontId="6" fillId="8" borderId="31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</cellXfs>
  <cellStyles count="9">
    <cellStyle name="Comma" xfId="1" builtinId="3"/>
    <cellStyle name="Comma 2" xfId="2"/>
    <cellStyle name="Comma 2 2" xfId="7"/>
    <cellStyle name="Normal" xfId="0" builtinId="0"/>
    <cellStyle name="Normal 2" xfId="3"/>
    <cellStyle name="Normal 3" xfId="6"/>
    <cellStyle name="Normal 3 2" xfId="8"/>
    <cellStyle name="Normal_Inputs PSM 14-9_TEMPLATE" xfId="4"/>
    <cellStyle name="Percent" xfId="5" builtinId="5"/>
  </cellStyles>
  <dxfs count="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6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I7" sqref="I7"/>
    </sheetView>
  </sheetViews>
  <sheetFormatPr defaultColWidth="8.77734375" defaultRowHeight="12.55" x14ac:dyDescent="0.2"/>
  <sheetData>
    <row r="2" spans="1:12" ht="12.05" customHeight="1" x14ac:dyDescent="0.25">
      <c r="H2" s="173" t="s">
        <v>172</v>
      </c>
      <c r="I2" s="173"/>
      <c r="J2" s="173"/>
      <c r="K2" s="173"/>
      <c r="L2" s="173"/>
    </row>
    <row r="7" spans="1:12" ht="13.15" x14ac:dyDescent="0.25">
      <c r="C7" s="246"/>
      <c r="D7" s="246"/>
      <c r="E7" s="246"/>
      <c r="F7" s="246"/>
      <c r="G7" s="246"/>
    </row>
    <row r="8" spans="1:12" ht="30.05" x14ac:dyDescent="0.5">
      <c r="A8" s="137"/>
      <c r="B8" s="137"/>
      <c r="C8" s="137"/>
      <c r="D8" s="137" t="s">
        <v>145</v>
      </c>
      <c r="E8" s="137"/>
      <c r="F8" s="137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opLeftCell="A22" zoomScaleNormal="100" workbookViewId="0">
      <selection activeCell="C42" sqref="C42"/>
    </sheetView>
  </sheetViews>
  <sheetFormatPr defaultColWidth="9.109375" defaultRowHeight="13.15" x14ac:dyDescent="0.25"/>
  <cols>
    <col min="1" max="1" width="17.109375" style="68" customWidth="1"/>
    <col min="2" max="2" width="10.77734375" style="68" customWidth="1"/>
    <col min="3" max="3" width="25.109375" style="68" customWidth="1"/>
    <col min="4" max="4" width="13.44140625" style="68" customWidth="1"/>
    <col min="5" max="5" width="12.33203125" style="68" customWidth="1"/>
    <col min="6" max="6" width="40" style="68" customWidth="1"/>
    <col min="7" max="16384" width="9.109375" style="68"/>
  </cols>
  <sheetData>
    <row r="2" spans="1:6" ht="21.3" x14ac:dyDescent="0.4">
      <c r="A2" s="12" t="s">
        <v>82</v>
      </c>
    </row>
    <row r="3" spans="1:6" ht="15.05" x14ac:dyDescent="0.3">
      <c r="A3" s="1" t="s">
        <v>87</v>
      </c>
    </row>
    <row r="4" spans="1:6" ht="15.05" x14ac:dyDescent="0.3">
      <c r="A4" s="1" t="s">
        <v>84</v>
      </c>
    </row>
    <row r="5" spans="1:6" ht="15.05" x14ac:dyDescent="0.3">
      <c r="A5" s="1" t="s">
        <v>85</v>
      </c>
    </row>
    <row r="6" spans="1:6" ht="15.05" x14ac:dyDescent="0.3">
      <c r="A6" s="1" t="s">
        <v>83</v>
      </c>
    </row>
    <row r="7" spans="1:6" ht="15.05" x14ac:dyDescent="0.3">
      <c r="A7" s="1" t="s">
        <v>86</v>
      </c>
    </row>
    <row r="9" spans="1:6" ht="21.3" x14ac:dyDescent="0.4">
      <c r="A9" s="12" t="s">
        <v>123</v>
      </c>
    </row>
    <row r="11" spans="1:6" ht="30.7" customHeight="1" x14ac:dyDescent="0.25">
      <c r="A11" s="69" t="s">
        <v>45</v>
      </c>
      <c r="B11" s="69" t="s">
        <v>32</v>
      </c>
      <c r="C11" s="69" t="s">
        <v>33</v>
      </c>
      <c r="D11" s="69" t="s">
        <v>34</v>
      </c>
      <c r="E11" s="69" t="s">
        <v>35</v>
      </c>
      <c r="F11" s="69" t="s">
        <v>36</v>
      </c>
    </row>
    <row r="12" spans="1:6" ht="15.05" x14ac:dyDescent="0.25">
      <c r="A12" s="72"/>
      <c r="B12" s="71">
        <v>1</v>
      </c>
      <c r="C12" s="70" t="s">
        <v>39</v>
      </c>
      <c r="D12" s="72" t="s">
        <v>37</v>
      </c>
      <c r="E12" s="72" t="s">
        <v>97</v>
      </c>
      <c r="F12" s="70" t="s">
        <v>43</v>
      </c>
    </row>
    <row r="13" spans="1:6" ht="15.05" x14ac:dyDescent="0.25">
      <c r="A13" s="72"/>
      <c r="B13" s="71">
        <v>2</v>
      </c>
      <c r="C13" s="70" t="s">
        <v>40</v>
      </c>
      <c r="D13" s="72" t="s">
        <v>38</v>
      </c>
      <c r="E13" s="73" t="s">
        <v>98</v>
      </c>
      <c r="F13" s="70" t="s">
        <v>46</v>
      </c>
    </row>
    <row r="14" spans="1:6" ht="30.05" x14ac:dyDescent="0.25">
      <c r="A14" s="72"/>
      <c r="B14" s="71">
        <v>3</v>
      </c>
      <c r="C14" s="70" t="s">
        <v>41</v>
      </c>
      <c r="D14" s="72" t="s">
        <v>42</v>
      </c>
      <c r="E14" s="73" t="s">
        <v>99</v>
      </c>
      <c r="F14" s="70" t="s">
        <v>44</v>
      </c>
    </row>
    <row r="18" spans="1:6" ht="21.3" x14ac:dyDescent="0.4">
      <c r="A18" s="12" t="s">
        <v>81</v>
      </c>
    </row>
    <row r="20" spans="1:6" ht="31.3" x14ac:dyDescent="0.25">
      <c r="A20" s="69" t="s">
        <v>45</v>
      </c>
      <c r="B20" s="69" t="s">
        <v>32</v>
      </c>
      <c r="C20" s="69" t="s">
        <v>33</v>
      </c>
      <c r="D20" s="69" t="s">
        <v>34</v>
      </c>
      <c r="E20" s="69" t="s">
        <v>35</v>
      </c>
      <c r="F20" s="69" t="s">
        <v>36</v>
      </c>
    </row>
    <row r="21" spans="1:6" ht="27.25" customHeight="1" x14ac:dyDescent="0.25">
      <c r="A21" s="247" t="s">
        <v>146</v>
      </c>
      <c r="B21" s="248"/>
      <c r="C21" s="248"/>
      <c r="D21" s="248"/>
      <c r="E21" s="248"/>
      <c r="F21" s="249"/>
    </row>
    <row r="22" spans="1:6" ht="30.05" x14ac:dyDescent="0.25">
      <c r="A22" s="72"/>
      <c r="B22" s="71">
        <v>1</v>
      </c>
      <c r="C22" s="70" t="s">
        <v>48</v>
      </c>
      <c r="D22" s="72" t="s">
        <v>37</v>
      </c>
      <c r="E22" s="72" t="s">
        <v>49</v>
      </c>
      <c r="F22" s="70" t="s">
        <v>50</v>
      </c>
    </row>
    <row r="23" spans="1:6" ht="15.05" x14ac:dyDescent="0.25">
      <c r="A23" s="72"/>
      <c r="B23" s="71">
        <f>B22+1</f>
        <v>2</v>
      </c>
      <c r="C23" s="70" t="s">
        <v>51</v>
      </c>
      <c r="D23" s="72" t="s">
        <v>37</v>
      </c>
      <c r="E23" s="73" t="s">
        <v>52</v>
      </c>
      <c r="F23" s="70" t="s">
        <v>53</v>
      </c>
    </row>
    <row r="24" spans="1:6" ht="30.05" x14ac:dyDescent="0.25">
      <c r="A24" s="72"/>
      <c r="B24" s="71">
        <f>B23+1</f>
        <v>3</v>
      </c>
      <c r="C24" s="70" t="s">
        <v>115</v>
      </c>
      <c r="D24" s="72" t="s">
        <v>55</v>
      </c>
      <c r="E24" s="73" t="s">
        <v>56</v>
      </c>
      <c r="F24" s="70" t="s">
        <v>117</v>
      </c>
    </row>
    <row r="25" spans="1:6" ht="45.1" x14ac:dyDescent="0.25">
      <c r="A25" s="72"/>
      <c r="B25" s="71">
        <f>B24+1</f>
        <v>4</v>
      </c>
      <c r="C25" s="70" t="s">
        <v>54</v>
      </c>
      <c r="D25" s="72" t="s">
        <v>55</v>
      </c>
      <c r="E25" s="73" t="s">
        <v>57</v>
      </c>
      <c r="F25" s="70" t="s">
        <v>58</v>
      </c>
    </row>
    <row r="26" spans="1:6" ht="45.1" x14ac:dyDescent="0.25">
      <c r="A26" s="72"/>
      <c r="B26" s="71">
        <f>B25+1</f>
        <v>5</v>
      </c>
      <c r="C26" s="70" t="s">
        <v>76</v>
      </c>
      <c r="D26" s="72" t="s">
        <v>55</v>
      </c>
      <c r="E26" s="72" t="s">
        <v>116</v>
      </c>
      <c r="F26" s="70" t="s">
        <v>59</v>
      </c>
    </row>
    <row r="27" spans="1:6" ht="15.05" x14ac:dyDescent="0.25">
      <c r="A27" s="107"/>
      <c r="B27" s="108"/>
      <c r="C27" s="109"/>
      <c r="D27" s="107"/>
      <c r="E27" s="107"/>
      <c r="F27" s="109"/>
    </row>
    <row r="28" spans="1:6" ht="31.3" x14ac:dyDescent="0.25">
      <c r="A28" s="69" t="s">
        <v>45</v>
      </c>
      <c r="B28" s="69" t="s">
        <v>32</v>
      </c>
      <c r="C28" s="69" t="s">
        <v>33</v>
      </c>
      <c r="D28" s="69" t="s">
        <v>34</v>
      </c>
      <c r="E28" s="69" t="s">
        <v>35</v>
      </c>
      <c r="F28" s="69" t="s">
        <v>36</v>
      </c>
    </row>
    <row r="29" spans="1:6" ht="48.7" customHeight="1" x14ac:dyDescent="0.25">
      <c r="A29" s="247" t="s">
        <v>124</v>
      </c>
      <c r="B29" s="248"/>
      <c r="C29" s="248"/>
      <c r="D29" s="248"/>
      <c r="E29" s="248"/>
      <c r="F29" s="249"/>
    </row>
    <row r="30" spans="1:6" ht="30.05" x14ac:dyDescent="0.25">
      <c r="A30" s="72"/>
      <c r="B30" s="71">
        <f>B26+1</f>
        <v>6</v>
      </c>
      <c r="C30" s="70" t="s">
        <v>60</v>
      </c>
      <c r="D30" s="72" t="s">
        <v>61</v>
      </c>
      <c r="E30" s="72" t="s">
        <v>63</v>
      </c>
      <c r="F30" s="70" t="s">
        <v>80</v>
      </c>
    </row>
    <row r="31" spans="1:6" ht="30.05" x14ac:dyDescent="0.25">
      <c r="A31" s="72"/>
      <c r="B31" s="71">
        <f t="shared" ref="B31:B40" si="0">B30+1</f>
        <v>7</v>
      </c>
      <c r="C31" s="70" t="s">
        <v>62</v>
      </c>
      <c r="D31" s="72" t="s">
        <v>65</v>
      </c>
      <c r="E31" s="72" t="s">
        <v>91</v>
      </c>
      <c r="F31" s="70" t="s">
        <v>79</v>
      </c>
    </row>
    <row r="32" spans="1:6" ht="60.1" x14ac:dyDescent="0.25">
      <c r="A32" s="72"/>
      <c r="B32" s="71">
        <f t="shared" si="0"/>
        <v>8</v>
      </c>
      <c r="C32" s="70" t="s">
        <v>66</v>
      </c>
      <c r="D32" s="72" t="s">
        <v>65</v>
      </c>
      <c r="E32" s="72" t="s">
        <v>92</v>
      </c>
      <c r="F32" s="70" t="s">
        <v>78</v>
      </c>
    </row>
    <row r="33" spans="1:6" ht="45.1" x14ac:dyDescent="0.25">
      <c r="A33" s="72"/>
      <c r="B33" s="71">
        <f t="shared" si="0"/>
        <v>9</v>
      </c>
      <c r="C33" s="70" t="s">
        <v>64</v>
      </c>
      <c r="D33" s="72" t="s">
        <v>61</v>
      </c>
      <c r="E33" s="72" t="s">
        <v>101</v>
      </c>
      <c r="F33" s="70" t="s">
        <v>88</v>
      </c>
    </row>
    <row r="34" spans="1:6" ht="30.05" x14ac:dyDescent="0.25">
      <c r="A34" s="72"/>
      <c r="B34" s="71">
        <f t="shared" si="0"/>
        <v>10</v>
      </c>
      <c r="C34" s="70" t="s">
        <v>23</v>
      </c>
      <c r="D34" s="72" t="s">
        <v>61</v>
      </c>
      <c r="E34" s="72" t="s">
        <v>67</v>
      </c>
      <c r="F34" s="70" t="s">
        <v>77</v>
      </c>
    </row>
    <row r="35" spans="1:6" ht="30.05" x14ac:dyDescent="0.25">
      <c r="A35" s="72"/>
      <c r="B35" s="71">
        <f t="shared" si="0"/>
        <v>11</v>
      </c>
      <c r="C35" s="70" t="s">
        <v>89</v>
      </c>
      <c r="D35" s="72" t="s">
        <v>61</v>
      </c>
      <c r="E35" s="72" t="s">
        <v>93</v>
      </c>
      <c r="F35" s="77" t="s">
        <v>96</v>
      </c>
    </row>
    <row r="36" spans="1:6" ht="30.05" x14ac:dyDescent="0.25">
      <c r="A36" s="72"/>
      <c r="B36" s="71">
        <f t="shared" si="0"/>
        <v>12</v>
      </c>
      <c r="C36" s="70" t="s">
        <v>68</v>
      </c>
      <c r="D36" s="72" t="s">
        <v>61</v>
      </c>
      <c r="E36" s="72" t="s">
        <v>102</v>
      </c>
      <c r="F36" s="70" t="s">
        <v>72</v>
      </c>
    </row>
    <row r="37" spans="1:6" ht="30.05" x14ac:dyDescent="0.25">
      <c r="A37" s="72"/>
      <c r="B37" s="71">
        <f t="shared" si="0"/>
        <v>13</v>
      </c>
      <c r="C37" s="70" t="s">
        <v>69</v>
      </c>
      <c r="D37" s="72" t="s">
        <v>61</v>
      </c>
      <c r="E37" s="72" t="s">
        <v>103</v>
      </c>
      <c r="F37" s="70" t="s">
        <v>73</v>
      </c>
    </row>
    <row r="38" spans="1:6" ht="30.05" x14ac:dyDescent="0.25">
      <c r="A38" s="72"/>
      <c r="B38" s="71">
        <f t="shared" si="0"/>
        <v>14</v>
      </c>
      <c r="C38" s="70" t="s">
        <v>70</v>
      </c>
      <c r="D38" s="72" t="s">
        <v>61</v>
      </c>
      <c r="E38" s="72" t="s">
        <v>94</v>
      </c>
      <c r="F38" s="70" t="s">
        <v>74</v>
      </c>
    </row>
    <row r="39" spans="1:6" ht="30.05" x14ac:dyDescent="0.25">
      <c r="A39" s="72"/>
      <c r="B39" s="71">
        <f t="shared" si="0"/>
        <v>15</v>
      </c>
      <c r="C39" s="70" t="s">
        <v>71</v>
      </c>
      <c r="D39" s="72" t="s">
        <v>61</v>
      </c>
      <c r="E39" s="72" t="s">
        <v>104</v>
      </c>
      <c r="F39" s="70" t="s">
        <v>75</v>
      </c>
    </row>
    <row r="40" spans="1:6" ht="45.1" x14ac:dyDescent="0.25">
      <c r="A40" s="72"/>
      <c r="B40" s="71">
        <f t="shared" si="0"/>
        <v>16</v>
      </c>
      <c r="C40" s="70" t="s">
        <v>12</v>
      </c>
      <c r="D40" s="72" t="s">
        <v>61</v>
      </c>
      <c r="E40" s="72" t="s">
        <v>105</v>
      </c>
      <c r="F40" s="77" t="s">
        <v>95</v>
      </c>
    </row>
  </sheetData>
  <mergeCells count="2">
    <mergeCell ref="A29:F29"/>
    <mergeCell ref="A21:F21"/>
  </mergeCells>
  <phoneticPr fontId="7" type="noConversion"/>
  <conditionalFormatting sqref="A12:A14 A21:A27 A29:A40">
    <cfRule type="cellIs" dxfId="3" priority="1" stopIfTrue="1" operator="equal">
      <formula>"X"</formula>
    </cfRule>
    <cfRule type="cellIs" dxfId="2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2:M47"/>
  <sheetViews>
    <sheetView showGridLines="0" topLeftCell="A10" zoomScale="75" zoomScaleNormal="75" zoomScaleSheetLayoutView="115" workbookViewId="0">
      <selection activeCell="M33" sqref="M33"/>
    </sheetView>
  </sheetViews>
  <sheetFormatPr defaultColWidth="12.109375" defaultRowHeight="15.05" x14ac:dyDescent="0.3"/>
  <cols>
    <col min="1" max="1" width="64.109375" style="1" customWidth="1"/>
    <col min="2" max="6" width="18.44140625" style="1" customWidth="1"/>
    <col min="7" max="7" width="3.6640625" style="1" customWidth="1"/>
    <col min="8" max="8" width="13.77734375" style="1" bestFit="1" customWidth="1"/>
    <col min="9" max="11" width="14" style="1" customWidth="1"/>
    <col min="12" max="12" width="12.109375" style="1"/>
    <col min="13" max="13" width="35.44140625" style="1" bestFit="1" customWidth="1"/>
    <col min="14" max="16384" width="12.109375" style="1"/>
  </cols>
  <sheetData>
    <row r="2" spans="1:13" ht="23.8" x14ac:dyDescent="0.4">
      <c r="A2" s="12" t="s">
        <v>3</v>
      </c>
      <c r="C2" s="254" t="s">
        <v>150</v>
      </c>
      <c r="D2" s="255"/>
      <c r="E2" s="256"/>
      <c r="H2" s="258"/>
      <c r="I2" s="258"/>
      <c r="J2" s="258"/>
      <c r="K2" s="258"/>
      <c r="L2" s="258"/>
      <c r="M2" s="258"/>
    </row>
    <row r="3" spans="1:13" x14ac:dyDescent="0.3">
      <c r="H3" s="131"/>
      <c r="I3" s="131"/>
      <c r="J3" s="131"/>
      <c r="K3" s="131"/>
      <c r="L3" s="131"/>
      <c r="M3" s="131"/>
    </row>
    <row r="4" spans="1:13" ht="18.2" x14ac:dyDescent="0.35">
      <c r="A4" s="8" t="s">
        <v>5</v>
      </c>
      <c r="C4" s="251">
        <f>DATE(StartYear+4,6,1)</f>
        <v>43983</v>
      </c>
      <c r="D4" s="252"/>
      <c r="E4" s="253"/>
      <c r="H4" s="131"/>
      <c r="I4" s="257"/>
      <c r="J4" s="257"/>
      <c r="K4" s="257"/>
      <c r="L4" s="131"/>
      <c r="M4" s="131"/>
    </row>
    <row r="5" spans="1:13" x14ac:dyDescent="0.3">
      <c r="H5" s="131"/>
      <c r="I5" s="131"/>
      <c r="J5" s="131"/>
      <c r="K5" s="131"/>
      <c r="L5" s="131"/>
      <c r="M5" s="131"/>
    </row>
    <row r="6" spans="1:13" ht="18.2" x14ac:dyDescent="0.35">
      <c r="A6" s="8" t="s">
        <v>18</v>
      </c>
      <c r="B6" s="2">
        <f>StartYear</f>
        <v>2016</v>
      </c>
      <c r="C6" s="2">
        <f>B6+1</f>
        <v>2017</v>
      </c>
      <c r="D6" s="2">
        <f>C6+1</f>
        <v>2018</v>
      </c>
      <c r="E6" s="127">
        <f>D6+1</f>
        <v>2019</v>
      </c>
      <c r="F6" s="127">
        <f>E6+1</f>
        <v>2020</v>
      </c>
      <c r="H6" s="20"/>
      <c r="I6" s="24"/>
      <c r="J6" s="24"/>
      <c r="K6" s="24"/>
      <c r="L6" s="131"/>
      <c r="M6" s="131"/>
    </row>
    <row r="7" spans="1:13" x14ac:dyDescent="0.3">
      <c r="A7" s="67" t="s">
        <v>11</v>
      </c>
      <c r="B7" s="151">
        <v>20448423</v>
      </c>
      <c r="C7" s="151">
        <v>21316397</v>
      </c>
      <c r="D7" s="151">
        <v>20697195</v>
      </c>
      <c r="E7" s="151">
        <v>20833230</v>
      </c>
      <c r="F7" s="152" t="s">
        <v>149</v>
      </c>
      <c r="G7" s="13"/>
      <c r="H7" s="13"/>
      <c r="I7" s="13"/>
      <c r="J7" s="13"/>
      <c r="K7" s="13"/>
      <c r="L7" s="131"/>
      <c r="M7" s="131"/>
    </row>
    <row r="8" spans="1:13" ht="15.65" x14ac:dyDescent="0.3">
      <c r="A8" s="67" t="s">
        <v>9</v>
      </c>
      <c r="B8" s="153">
        <v>0.03</v>
      </c>
      <c r="C8" s="78">
        <v>0.09</v>
      </c>
      <c r="D8" s="78">
        <v>0.09</v>
      </c>
      <c r="E8" s="78">
        <v>0.09</v>
      </c>
      <c r="F8" s="79">
        <v>0.15</v>
      </c>
      <c r="G8" s="21"/>
      <c r="H8" s="242"/>
      <c r="I8" s="21"/>
      <c r="J8" s="21"/>
      <c r="K8" s="21"/>
      <c r="L8" s="131"/>
      <c r="M8" s="131"/>
    </row>
    <row r="9" spans="1:13" x14ac:dyDescent="0.3">
      <c r="A9" s="60" t="s">
        <v>7</v>
      </c>
      <c r="B9" s="80">
        <v>1848542.085</v>
      </c>
      <c r="C9" s="80">
        <v>1843118.415</v>
      </c>
      <c r="D9" s="81">
        <f xml:space="preserve"> IF( SUM(B7:C7) = 0, 0, AVERAGE(B7:C7) * D8 )</f>
        <v>1879416.9</v>
      </c>
      <c r="E9" s="81">
        <f xml:space="preserve"> IF( SUM(C7:D7) = 0, 0, AVERAGE(C7:D7) * E8 )</f>
        <v>1890611.64</v>
      </c>
      <c r="F9" s="81">
        <f xml:space="preserve"> IF( SUM(D7:E7) = 0, 0, AVERAGE(D7:E7) * F8 )</f>
        <v>3114781.875</v>
      </c>
      <c r="G9" s="21"/>
      <c r="H9" s="21"/>
      <c r="I9" s="13"/>
      <c r="J9" s="13"/>
      <c r="K9" s="13"/>
      <c r="L9" s="131"/>
      <c r="M9" s="131"/>
    </row>
    <row r="10" spans="1:13" x14ac:dyDescent="0.3">
      <c r="G10" s="22"/>
      <c r="H10" s="22"/>
      <c r="I10" s="22"/>
      <c r="J10" s="22"/>
      <c r="K10" s="22"/>
      <c r="L10" s="131"/>
      <c r="M10" s="131"/>
    </row>
    <row r="11" spans="1:13" ht="18.2" x14ac:dyDescent="0.35">
      <c r="A11" s="8" t="s">
        <v>19</v>
      </c>
      <c r="B11" s="2">
        <f>StartYear</f>
        <v>2016</v>
      </c>
      <c r="C11" s="2">
        <f>B11+1</f>
        <v>2017</v>
      </c>
      <c r="D11" s="2">
        <f>C11+1</f>
        <v>2018</v>
      </c>
      <c r="E11" s="127">
        <f>D11+1</f>
        <v>2019</v>
      </c>
      <c r="F11" s="127">
        <f>E11+1</f>
        <v>2020</v>
      </c>
      <c r="G11" s="22"/>
      <c r="H11" s="22"/>
      <c r="I11" s="22"/>
      <c r="J11" s="22"/>
      <c r="K11" s="22"/>
      <c r="L11" s="131"/>
      <c r="M11" s="131"/>
    </row>
    <row r="12" spans="1:13" x14ac:dyDescent="0.3">
      <c r="A12" s="67" t="s">
        <v>31</v>
      </c>
      <c r="B12" s="154">
        <f>SUMIFS('Facility Detail'!D:D,'Facility Detail'!$B:$B,"Eligible MWh Available for RCW 19.285 Compliance")</f>
        <v>2205548.3790000002</v>
      </c>
      <c r="C12" s="155">
        <f>SUMIFS('Facility Detail'!E:E,'Facility Detail'!$B:$B,"Eligible MWh Available for RCW 19.285 Compliance")</f>
        <v>1934234</v>
      </c>
      <c r="D12" s="155">
        <f>SUMIFS('Facility Detail'!F:F,'Facility Detail'!$B:$B,"Eligible MWh Available for RCW 19.285 Compliance")</f>
        <v>2175902</v>
      </c>
      <c r="E12" s="155">
        <f>SUMIFS('Facility Detail'!G:G,'Facility Detail'!$B:$B,"Eligible MWh Available for RCW 19.285 Compliance")</f>
        <v>2105243</v>
      </c>
      <c r="F12" s="156">
        <f>SUMIFS('Facility Detail'!H:H,'Facility Detail'!$B:$B,"Eligible MWh Available for RCW 19.285 Compliance")</f>
        <v>1868775</v>
      </c>
      <c r="G12" s="23"/>
      <c r="H12" s="23"/>
      <c r="I12" s="23"/>
      <c r="J12" s="23"/>
      <c r="K12" s="23"/>
      <c r="L12" s="131"/>
      <c r="M12" s="131"/>
    </row>
    <row r="13" spans="1:13" x14ac:dyDescent="0.3">
      <c r="A13" s="67" t="s">
        <v>122</v>
      </c>
      <c r="B13" s="157">
        <f>SUMIFS('Facility Detail'!D:D,'Facility Detail'!$B:$B,"Total Quantity from Non REC Eligible Generation")</f>
        <v>195474.6</v>
      </c>
      <c r="C13" s="51">
        <f>SUMIFS('Facility Detail'!E:E,'Facility Detail'!$B:$B,"Total Quantity from Non REC Eligible Generation")</f>
        <v>162488.00000000003</v>
      </c>
      <c r="D13" s="54">
        <f>SUMIFS('Facility Detail'!F:F,'Facility Detail'!$B:$B,"Total Quantity from Non REC Eligible Generation")</f>
        <v>196504.6</v>
      </c>
      <c r="E13" s="54">
        <f>SUMIFS('Facility Detail'!G:G,'Facility Detail'!$B:$B,"Total Quantity from Non REC Eligible Generation")</f>
        <v>162027.20000000001</v>
      </c>
      <c r="F13" s="158">
        <f>SUMIFS('Facility Detail'!H:H,'Facility Detail'!$B:$B,"Total Quantity from Non REC Eligible Generation")</f>
        <v>164986</v>
      </c>
      <c r="G13" s="23"/>
      <c r="H13" s="23"/>
      <c r="I13" s="23"/>
      <c r="J13" s="23"/>
      <c r="K13" s="23"/>
      <c r="L13" s="131"/>
      <c r="M13" s="131"/>
    </row>
    <row r="14" spans="1:13" x14ac:dyDescent="0.3">
      <c r="A14" s="60" t="s">
        <v>24</v>
      </c>
      <c r="B14" s="45">
        <f>SUM(B12:B13)</f>
        <v>2401022.9790000003</v>
      </c>
      <c r="C14" s="45">
        <f>SUM(C12:C13)</f>
        <v>2096722</v>
      </c>
      <c r="D14" s="45">
        <f>SUM(D12:D13)</f>
        <v>2372406.6</v>
      </c>
      <c r="E14" s="45">
        <f>SUM(E12:E13)</f>
        <v>2267270.2000000002</v>
      </c>
      <c r="F14" s="45">
        <f>SUM(F12:F13)</f>
        <v>2033761</v>
      </c>
      <c r="G14" s="23"/>
      <c r="H14" s="23"/>
      <c r="I14" s="23"/>
      <c r="J14" s="23"/>
      <c r="K14" s="23"/>
      <c r="L14" s="131"/>
      <c r="M14" s="131"/>
    </row>
    <row r="15" spans="1:13" x14ac:dyDescent="0.3">
      <c r="A15" s="5"/>
      <c r="B15" s="45"/>
      <c r="C15" s="45"/>
      <c r="D15" s="45"/>
      <c r="E15" s="45"/>
      <c r="F15" s="45"/>
      <c r="G15" s="23"/>
      <c r="H15" s="23"/>
      <c r="I15" s="23"/>
      <c r="J15" s="23"/>
      <c r="K15" s="23"/>
      <c r="L15" s="131"/>
      <c r="M15" s="131"/>
    </row>
    <row r="16" spans="1:13" ht="18.2" x14ac:dyDescent="0.35">
      <c r="A16" s="41" t="s">
        <v>16</v>
      </c>
      <c r="B16" s="2">
        <f>StartYear</f>
        <v>2016</v>
      </c>
      <c r="C16" s="2">
        <f>B16+1</f>
        <v>2017</v>
      </c>
      <c r="D16" s="2">
        <f>C16+1</f>
        <v>2018</v>
      </c>
      <c r="E16" s="2">
        <f>D16+1</f>
        <v>2019</v>
      </c>
      <c r="F16" s="2">
        <f>E16+1</f>
        <v>2020</v>
      </c>
      <c r="G16" s="23"/>
      <c r="H16" s="23"/>
      <c r="I16" s="23"/>
      <c r="J16" s="23"/>
      <c r="K16" s="23"/>
      <c r="L16" s="131"/>
      <c r="M16" s="131"/>
    </row>
    <row r="17" spans="1:13" x14ac:dyDescent="0.3">
      <c r="A17" s="84" t="str">
        <f>'Facility Detail'!B63</f>
        <v>Quantity of RECs Sold</v>
      </c>
      <c r="B17" s="170">
        <f>-SUMIFS('Facility Detail'!D:D,'Facility Detail'!$B:$B,$A17)</f>
        <v>-521270</v>
      </c>
      <c r="C17" s="159">
        <f>-SUMIFS('Facility Detail'!E:E,'Facility Detail'!$B:$B,$A17)</f>
        <v>-175982</v>
      </c>
      <c r="D17" s="159">
        <f>-SUMIFS('Facility Detail'!F:F,'Facility Detail'!$B:$B,$A17)</f>
        <v>-447259</v>
      </c>
      <c r="E17" s="159">
        <f>-SUMIFS('Facility Detail'!G:G,'Facility Detail'!$B:$B,$A17)</f>
        <v>-197470</v>
      </c>
      <c r="F17" s="160">
        <f>-SUMIFS('Facility Detail'!H:H,'Facility Detail'!$B:$B,$A17)</f>
        <v>0</v>
      </c>
      <c r="H17" s="13"/>
      <c r="I17" s="13"/>
      <c r="J17" s="13"/>
      <c r="K17" s="13"/>
      <c r="L17" s="131"/>
      <c r="M17" s="131"/>
    </row>
    <row r="18" spans="1:13" x14ac:dyDescent="0.3">
      <c r="A18" s="76" t="str">
        <f>'Facility Detail'!B64</f>
        <v>Bonus Incentives Transferred</v>
      </c>
      <c r="B18" s="171">
        <f>-SUMIFS('Facility Detail'!D:D,'Facility Detail'!$B:$B,$A18)</f>
        <v>0</v>
      </c>
      <c r="C18" s="161">
        <f>-SUMIFS('Facility Detail'!E:E,'Facility Detail'!$B:$B,$A18)</f>
        <v>0</v>
      </c>
      <c r="D18" s="161">
        <f>-SUMIFS('Facility Detail'!F:F,'Facility Detail'!$B:$B,$A18)</f>
        <v>0</v>
      </c>
      <c r="E18" s="161">
        <f>-SUMIFS('Facility Detail'!G:G,'Facility Detail'!$B:$B,$A18)</f>
        <v>0</v>
      </c>
      <c r="F18" s="162">
        <f>-SUMIFS('Facility Detail'!H:H,'Facility Detail'!$B:$B,$A18)</f>
        <v>0</v>
      </c>
      <c r="G18" s="13"/>
      <c r="H18" s="13"/>
      <c r="I18" s="13"/>
      <c r="J18" s="13"/>
      <c r="K18" s="13"/>
      <c r="L18" s="131"/>
      <c r="M18" s="131"/>
    </row>
    <row r="19" spans="1:13" x14ac:dyDescent="0.3">
      <c r="A19" s="76" t="str">
        <f>'Facility Detail'!B65</f>
        <v>Bonus Incentives Not Realized</v>
      </c>
      <c r="B19" s="172">
        <f>-SUMIFS('Facility Detail'!D:D,'Facility Detail'!$B:$B,$A19)</f>
        <v>0</v>
      </c>
      <c r="C19" s="56">
        <f>-SUMIFS('Facility Detail'!E:E,'Facility Detail'!$B:$B,$A19)</f>
        <v>0</v>
      </c>
      <c r="D19" s="56">
        <f>-SUMIFS('Facility Detail'!F:F,'Facility Detail'!$B:$B,$A19)</f>
        <v>0</v>
      </c>
      <c r="E19" s="56">
        <f>-SUMIFS('Facility Detail'!G:G,'Facility Detail'!$B:$B,$A19)</f>
        <v>0</v>
      </c>
      <c r="F19" s="57">
        <f>-SUMIFS('Facility Detail'!H:H,'Facility Detail'!$B:$B,$A19)</f>
        <v>0</v>
      </c>
      <c r="G19" s="13"/>
      <c r="H19" s="13"/>
      <c r="I19" s="13"/>
      <c r="J19" s="13"/>
      <c r="K19" s="13"/>
      <c r="L19" s="131"/>
      <c r="M19" s="131"/>
    </row>
    <row r="20" spans="1:13" x14ac:dyDescent="0.3">
      <c r="A20" s="60" t="str">
        <f>'Facility Detail'!B66</f>
        <v>Total Sold / Transferred / Unrealized</v>
      </c>
      <c r="B20" s="18">
        <f>SUM(B17:B19)</f>
        <v>-521270</v>
      </c>
      <c r="C20" s="18">
        <f>SUM(C17:C19)</f>
        <v>-175982</v>
      </c>
      <c r="D20" s="18">
        <f>SUM(D17:D19)</f>
        <v>-447259</v>
      </c>
      <c r="E20" s="18">
        <f>SUM(E17:E19)</f>
        <v>-197470</v>
      </c>
      <c r="F20" s="18">
        <f>SUM(F17:F19)</f>
        <v>0</v>
      </c>
      <c r="G20" s="18"/>
      <c r="H20" s="18"/>
      <c r="I20" s="209"/>
      <c r="J20" s="209"/>
      <c r="K20" s="209"/>
      <c r="L20" s="131"/>
      <c r="M20" s="131"/>
    </row>
    <row r="21" spans="1:13" x14ac:dyDescent="0.3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1"/>
      <c r="M21" s="131"/>
    </row>
    <row r="22" spans="1:13" ht="18.2" x14ac:dyDescent="0.35">
      <c r="A22" s="8" t="s">
        <v>100</v>
      </c>
      <c r="B22" s="2">
        <f>StartYear</f>
        <v>2016</v>
      </c>
      <c r="C22" s="2">
        <f>B22+1</f>
        <v>2017</v>
      </c>
      <c r="D22" s="2">
        <f>C22+1</f>
        <v>2018</v>
      </c>
      <c r="E22" s="2">
        <f>D22+1</f>
        <v>2019</v>
      </c>
      <c r="F22" s="2">
        <f>E22+1</f>
        <v>2020</v>
      </c>
      <c r="G22" s="13"/>
      <c r="H22" s="13"/>
      <c r="I22" s="131"/>
      <c r="J22" s="131"/>
      <c r="K22" s="131"/>
      <c r="L22" s="131"/>
      <c r="M22" s="131"/>
    </row>
    <row r="23" spans="1:13" x14ac:dyDescent="0.3">
      <c r="A23" s="84" t="str">
        <f>(StartYear-1) &amp; " Surplus Applied to " &amp; StartYear</f>
        <v>2015 Surplus Applied to 2016</v>
      </c>
      <c r="B23" s="197">
        <v>1757710.2000000002</v>
      </c>
      <c r="C23" s="164"/>
      <c r="D23" s="164"/>
      <c r="E23" s="164"/>
      <c r="F23" s="165"/>
      <c r="G23" s="13"/>
      <c r="H23" s="13"/>
      <c r="I23" s="13"/>
      <c r="J23" s="13"/>
      <c r="K23" s="13"/>
      <c r="L23" s="131"/>
      <c r="M23" s="131"/>
    </row>
    <row r="24" spans="1:13" x14ac:dyDescent="0.3">
      <c r="A24" s="84" t="str">
        <f>StartYear &amp; " Surplus Applied to " &amp; (StartYear-1)</f>
        <v>2016 Surplus Applied to 2015</v>
      </c>
      <c r="B24" s="198"/>
      <c r="C24" s="199"/>
      <c r="D24" s="199"/>
      <c r="E24" s="199"/>
      <c r="F24" s="200"/>
      <c r="G24" s="13"/>
      <c r="H24" s="13"/>
      <c r="I24" s="13"/>
      <c r="J24" s="13"/>
      <c r="K24" s="13"/>
      <c r="L24" s="131"/>
      <c r="M24" s="131"/>
    </row>
    <row r="25" spans="1:13" x14ac:dyDescent="0.3">
      <c r="A25" s="84" t="str">
        <f xml:space="preserve"> StartYear &amp; " Surplus Applied to " &amp; ( StartYear + 1 )</f>
        <v>2016 Surplus Applied to 2017</v>
      </c>
      <c r="B25" s="143">
        <f>-SUMIFS('Facility Detail'!D:D,'Facility Detail'!$B:$B,$A25)</f>
        <v>-1760728.6</v>
      </c>
      <c r="C25" s="58">
        <f>SUMIFS('Facility Detail'!E:E,'Facility Detail'!$B:$B,$A25)</f>
        <v>1760728.6</v>
      </c>
      <c r="D25" s="122"/>
      <c r="E25" s="122"/>
      <c r="F25" s="126"/>
      <c r="G25" s="13"/>
      <c r="H25" s="13"/>
      <c r="I25" s="13"/>
      <c r="J25" s="13"/>
      <c r="K25" s="13"/>
      <c r="L25" s="131"/>
      <c r="M25" s="131"/>
    </row>
    <row r="26" spans="1:13" x14ac:dyDescent="0.3">
      <c r="A26" s="84" t="str">
        <f xml:space="preserve"> ( StartYear + 1 ) &amp; " Surplus Applied to " &amp; ( StartYear )</f>
        <v>2017 Surplus Applied to 2016</v>
      </c>
      <c r="B26" s="143">
        <f>SUMIFS('Facility Detail'!D:D,'Facility Detail'!$B:$B,$A26)</f>
        <v>0</v>
      </c>
      <c r="C26" s="58">
        <f>-SUMIFS('Facility Detail'!E:E,'Facility Detail'!$B:$B,$A26)</f>
        <v>0</v>
      </c>
      <c r="D26" s="122"/>
      <c r="E26" s="122"/>
      <c r="F26" s="126"/>
      <c r="G26" s="13"/>
      <c r="H26" s="13"/>
      <c r="I26" s="13"/>
      <c r="J26" s="13"/>
      <c r="K26" s="13"/>
      <c r="L26" s="131"/>
      <c r="M26" s="131"/>
    </row>
    <row r="27" spans="1:13" x14ac:dyDescent="0.3">
      <c r="A27" s="84" t="str">
        <f xml:space="preserve"> ( StartYear + 1 ) &amp; " Surplus Applied to " &amp; ( StartYear + 2 )</f>
        <v>2017 Surplus Applied to 2018</v>
      </c>
      <c r="B27" s="123"/>
      <c r="C27" s="58">
        <f>-SUMIFS('Facility Detail'!E:E,'Facility Detail'!$B:$B,$A27)</f>
        <v>-1771252</v>
      </c>
      <c r="D27" s="58">
        <f>SUMIFS('Facility Detail'!F:F,'Facility Detail'!$B:$B,$A27)</f>
        <v>1771252</v>
      </c>
      <c r="E27" s="122"/>
      <c r="F27" s="126"/>
      <c r="G27" s="13"/>
      <c r="H27" s="13"/>
      <c r="I27" s="13"/>
      <c r="J27" s="13"/>
      <c r="K27" s="13"/>
      <c r="L27" s="131"/>
      <c r="M27" s="131"/>
    </row>
    <row r="28" spans="1:13" x14ac:dyDescent="0.3">
      <c r="A28" s="84" t="str">
        <f xml:space="preserve"> ( StartYear + 2 ) &amp; " Surplus Applied to " &amp; ( StartYear + 1 )</f>
        <v>2018 Surplus Applied to 2017</v>
      </c>
      <c r="B28" s="123"/>
      <c r="C28" s="58">
        <f>SUMIFS('Facility Detail'!E:E,'Facility Detail'!$B:$B,$A28)</f>
        <v>0</v>
      </c>
      <c r="D28" s="58">
        <f>-SUMIFS('Facility Detail'!F:F,'Facility Detail'!$B:$B,$A28)</f>
        <v>0</v>
      </c>
      <c r="E28" s="122"/>
      <c r="F28" s="126"/>
      <c r="G28" s="13"/>
      <c r="H28" s="13"/>
      <c r="I28" s="13"/>
      <c r="J28" s="13"/>
      <c r="K28" s="13"/>
      <c r="L28" s="131"/>
      <c r="M28" s="131"/>
    </row>
    <row r="29" spans="1:13" x14ac:dyDescent="0.3">
      <c r="A29" s="84" t="str">
        <f xml:space="preserve"> ( StartYear + 2 ) &amp; " Surplus Applied to " &amp; ( StartYear + 3 )</f>
        <v>2018 Surplus Applied to 2019</v>
      </c>
      <c r="B29" s="123"/>
      <c r="C29" s="122"/>
      <c r="D29" s="58">
        <f>-SUMIFS('Facility Detail'!F:F,'Facility Detail'!$B:$B,$A29)</f>
        <v>-1799653.6</v>
      </c>
      <c r="E29" s="58">
        <f>SUMIFS('Facility Detail'!F:F,'Facility Detail'!$B:$B,$A29)</f>
        <v>1799653.6</v>
      </c>
      <c r="F29" s="126"/>
      <c r="G29" s="13"/>
      <c r="H29" s="13"/>
      <c r="I29" s="13"/>
      <c r="J29" s="13"/>
      <c r="K29" s="13"/>
      <c r="L29" s="131"/>
      <c r="M29" s="131"/>
    </row>
    <row r="30" spans="1:13" x14ac:dyDescent="0.3">
      <c r="A30" s="84" t="str">
        <f xml:space="preserve"> ( StartYear + 3 ) &amp; " Surplus Applied to " &amp; ( StartYear + 2 )</f>
        <v>2019 Surplus Applied to 2018</v>
      </c>
      <c r="B30" s="123"/>
      <c r="C30" s="122"/>
      <c r="D30" s="58">
        <f>SUMIFS('Facility Detail'!F:F,'Facility Detail'!$B:$B,$A30)</f>
        <v>0</v>
      </c>
      <c r="E30" s="58">
        <f>-SUMIFS('Facility Detail'!G:G,'Facility Detail'!$B:$B,$A30)</f>
        <v>0</v>
      </c>
      <c r="F30" s="126"/>
      <c r="G30" s="13"/>
      <c r="H30" s="13"/>
      <c r="I30" s="13"/>
      <c r="J30" s="13"/>
      <c r="K30" s="13"/>
      <c r="L30" s="131"/>
      <c r="M30" s="131"/>
    </row>
    <row r="31" spans="1:13" x14ac:dyDescent="0.3">
      <c r="A31" s="84" t="str">
        <f xml:space="preserve"> ( StartYear + 3 ) &amp; " Surplus Applied to " &amp; ( StartYear + 4 )</f>
        <v>2019 Surplus Applied to 2020</v>
      </c>
      <c r="B31" s="123"/>
      <c r="C31" s="122"/>
      <c r="D31" s="122"/>
      <c r="E31" s="58">
        <f>-SUMIFS('Facility Detail'!G:G,'Facility Detail'!$B:$B,$A31)</f>
        <v>-1978763.2</v>
      </c>
      <c r="F31" s="53">
        <f>SUMIFS('Facility Detail'!H:H,'Facility Detail'!$B:$B,$A31)</f>
        <v>1978763.2</v>
      </c>
      <c r="G31" s="13"/>
      <c r="H31" s="13"/>
      <c r="I31" s="131"/>
      <c r="J31" s="131"/>
      <c r="K31" s="131"/>
      <c r="L31" s="131"/>
      <c r="M31" s="131"/>
    </row>
    <row r="32" spans="1:13" x14ac:dyDescent="0.3">
      <c r="A32" s="84" t="str">
        <f xml:space="preserve"> ( StartYear + 4 ) &amp; " Surplus Applied to " &amp; ( StartYear + 3 )</f>
        <v>2020 Surplus Applied to 2019</v>
      </c>
      <c r="B32" s="124"/>
      <c r="C32" s="125"/>
      <c r="D32" s="125"/>
      <c r="E32" s="54">
        <f>SUMIFS('Facility Detail'!G:G,'Facility Detail'!$B:$B,$A32)</f>
        <v>0</v>
      </c>
      <c r="F32" s="158">
        <f>SUMIFS('Facility Detail'!H:H,'Facility Detail'!$B:$B,$A32)</f>
        <v>0</v>
      </c>
      <c r="G32" s="13"/>
      <c r="H32" s="13"/>
      <c r="I32" s="131"/>
      <c r="J32" s="131"/>
      <c r="K32" s="131"/>
      <c r="L32" s="131"/>
      <c r="M32" s="131"/>
    </row>
    <row r="33" spans="1:13" x14ac:dyDescent="0.3">
      <c r="A33" s="60" t="s">
        <v>17</v>
      </c>
      <c r="B33" s="45">
        <f t="shared" ref="B33:F33" si="0">SUM(B23:B32)</f>
        <v>-3018.3999999999069</v>
      </c>
      <c r="C33" s="45">
        <f t="shared" si="0"/>
        <v>-10523.399999999907</v>
      </c>
      <c r="D33" s="45">
        <f t="shared" si="0"/>
        <v>-28401.600000000093</v>
      </c>
      <c r="E33" s="45">
        <f t="shared" si="0"/>
        <v>-179109.59999999986</v>
      </c>
      <c r="F33" s="45">
        <f t="shared" si="0"/>
        <v>1978763.2</v>
      </c>
      <c r="G33" s="13"/>
      <c r="H33" s="13"/>
      <c r="I33" s="13"/>
      <c r="J33" s="13"/>
      <c r="K33" s="13"/>
      <c r="L33" s="131"/>
      <c r="M33" s="131"/>
    </row>
    <row r="34" spans="1:13" x14ac:dyDescent="0.3">
      <c r="B34" s="45"/>
      <c r="C34" s="45"/>
      <c r="D34" s="45"/>
      <c r="E34" s="45"/>
      <c r="F34" s="45"/>
      <c r="G34" s="13"/>
      <c r="H34" s="13"/>
      <c r="I34" s="13"/>
      <c r="J34" s="13"/>
      <c r="K34" s="13"/>
      <c r="L34" s="131"/>
      <c r="M34" s="131"/>
    </row>
    <row r="35" spans="1:13" x14ac:dyDescent="0.3">
      <c r="A35" s="85" t="s">
        <v>12</v>
      </c>
      <c r="B35" s="166">
        <f>SUMIFS('Facility Detail'!D:D,'Facility Detail'!$B:$B,$A35)</f>
        <v>0</v>
      </c>
      <c r="C35" s="167">
        <f>SUMIFS('Facility Detail'!E:E,'Facility Detail'!$B:$B,$A35)</f>
        <v>0</v>
      </c>
      <c r="D35" s="167">
        <f>SUMIFS('Facility Detail'!F:F,'Facility Detail'!$B:$B,$A35)</f>
        <v>0</v>
      </c>
      <c r="E35" s="167">
        <f>SUMIFS('Facility Detail'!G:G,'Facility Detail'!$B:$B,$A35)</f>
        <v>0</v>
      </c>
      <c r="F35" s="168">
        <f>SUMIFS('Facility Detail'!H:H,'Facility Detail'!$B:$B,$A35)</f>
        <v>0</v>
      </c>
      <c r="G35" s="13"/>
      <c r="H35" s="13"/>
      <c r="I35" s="13"/>
      <c r="J35" s="13"/>
      <c r="K35" s="13"/>
      <c r="L35" s="131"/>
      <c r="M35" s="131"/>
    </row>
    <row r="36" spans="1:13" x14ac:dyDescent="0.3">
      <c r="B36" s="45"/>
      <c r="C36" s="45"/>
      <c r="D36" s="45"/>
      <c r="E36" s="45"/>
      <c r="F36" s="45"/>
      <c r="G36" s="13"/>
      <c r="H36" s="13"/>
      <c r="I36" s="131"/>
      <c r="J36" s="131"/>
      <c r="K36" s="131"/>
      <c r="L36" s="131"/>
      <c r="M36" s="131"/>
    </row>
    <row r="37" spans="1:13" x14ac:dyDescent="0.3">
      <c r="B37" s="2">
        <f>StartYear</f>
        <v>2016</v>
      </c>
      <c r="C37" s="2">
        <f>B37+1</f>
        <v>2017</v>
      </c>
      <c r="D37" s="2">
        <f>B37+2</f>
        <v>2018</v>
      </c>
      <c r="E37" s="2">
        <f>B37+3</f>
        <v>2019</v>
      </c>
      <c r="F37" s="2">
        <f>B37+4</f>
        <v>2020</v>
      </c>
      <c r="G37" s="13"/>
      <c r="H37" s="13"/>
      <c r="I37" s="131"/>
      <c r="J37" s="131"/>
      <c r="K37" s="131"/>
      <c r="L37" s="131"/>
      <c r="M37" s="131"/>
    </row>
    <row r="38" spans="1:13" ht="32.25" customHeight="1" x14ac:dyDescent="0.3">
      <c r="A38" s="55" t="s">
        <v>27</v>
      </c>
      <c r="B38" s="169">
        <f>B14 + B20 - B9 + B33 + B35</f>
        <v>28192.494000000414</v>
      </c>
      <c r="C38" s="169">
        <f>C14 + C20 - C9 + C33 + C35</f>
        <v>67098.185000000056</v>
      </c>
      <c r="D38" s="169">
        <f>D14 + D20 - D9 + D33 + D35</f>
        <v>17329.100000000093</v>
      </c>
      <c r="E38" s="169">
        <f>E14 + E20 - E9 + E33 + E35</f>
        <v>78.960000000428408</v>
      </c>
      <c r="F38" s="169">
        <f>F14 + F20 - F9 + F33 + F35</f>
        <v>897742.32499999995</v>
      </c>
      <c r="G38" s="19"/>
      <c r="H38" s="19"/>
      <c r="I38" s="210"/>
      <c r="J38" s="210"/>
      <c r="K38" s="210"/>
      <c r="L38" s="131"/>
      <c r="M38" s="131"/>
    </row>
    <row r="39" spans="1:13" x14ac:dyDescent="0.3">
      <c r="H39" s="243"/>
      <c r="I39" s="244"/>
      <c r="J39" s="244"/>
      <c r="K39" s="244"/>
      <c r="L39" s="131"/>
      <c r="M39" s="131"/>
    </row>
    <row r="40" spans="1:13" x14ac:dyDescent="0.3">
      <c r="A40" s="117" t="s">
        <v>169</v>
      </c>
      <c r="B40" s="221">
        <f>SUMIFS('Facility Detail'!D:D,'Facility Detail'!$C:$C,'Compliance Summary'!$A40)</f>
        <v>1649762</v>
      </c>
      <c r="C40" s="221">
        <f>SUMIFS('Facility Detail'!E:E,'Facility Detail'!$C:$C,'Compliance Summary'!$A40)</f>
        <v>1647643</v>
      </c>
      <c r="D40" s="221">
        <f>SUMIFS('Facility Detail'!F:F,'Facility Detail'!$C:$C,'Compliance Summary'!$A40)</f>
        <v>1716929</v>
      </c>
      <c r="H40" s="243"/>
      <c r="I40" s="244"/>
      <c r="J40" s="244"/>
      <c r="K40" s="244"/>
      <c r="L40" s="131"/>
      <c r="M40" s="131"/>
    </row>
    <row r="41" spans="1:13" x14ac:dyDescent="0.3">
      <c r="H41" s="131"/>
      <c r="I41" s="131"/>
      <c r="J41" s="131"/>
      <c r="K41" s="131"/>
      <c r="L41" s="131"/>
      <c r="M41" s="131"/>
    </row>
    <row r="42" spans="1:13" x14ac:dyDescent="0.3">
      <c r="H42" s="131"/>
      <c r="I42" s="131"/>
      <c r="J42" s="131"/>
      <c r="K42" s="131"/>
      <c r="L42" s="131"/>
      <c r="M42" s="131"/>
    </row>
    <row r="43" spans="1:13" ht="30.7" customHeight="1" x14ac:dyDescent="0.3">
      <c r="A43" s="250" t="s">
        <v>126</v>
      </c>
      <c r="B43" s="250"/>
      <c r="C43" s="250"/>
      <c r="D43" s="250"/>
    </row>
    <row r="44" spans="1:13" x14ac:dyDescent="0.3">
      <c r="J44" s="232"/>
    </row>
    <row r="46" spans="1:13" x14ac:dyDescent="0.3">
      <c r="C46" s="150"/>
    </row>
    <row r="47" spans="1:13" x14ac:dyDescent="0.3">
      <c r="I47" s="232"/>
      <c r="J47" s="232"/>
    </row>
  </sheetData>
  <mergeCells count="5">
    <mergeCell ref="A43:D43"/>
    <mergeCell ref="C4:E4"/>
    <mergeCell ref="C2:E2"/>
    <mergeCell ref="I4:K4"/>
    <mergeCell ref="H2:M2"/>
  </mergeCells>
  <phoneticPr fontId="7" type="noConversion"/>
  <conditionalFormatting sqref="B38:I38">
    <cfRule type="cellIs" dxfId="1" priority="9" stopIfTrue="1" operator="lessThan">
      <formula>0</formula>
    </cfRule>
  </conditionalFormatting>
  <conditionalFormatting sqref="J38:K38">
    <cfRule type="cellIs" dxfId="0" priority="3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630"/>
  <sheetViews>
    <sheetView showGridLines="0" tabSelected="1" topLeftCell="C819" zoomScale="75" zoomScaleNormal="75" workbookViewId="0">
      <selection activeCell="G140" sqref="G140"/>
    </sheetView>
  </sheetViews>
  <sheetFormatPr defaultColWidth="9.109375" defaultRowHeight="15.05" outlineLevelRow="1" outlineLevelCol="1" x14ac:dyDescent="0.3"/>
  <cols>
    <col min="1" max="1" width="5.33203125" style="1" customWidth="1"/>
    <col min="2" max="2" width="56.6640625" style="1" customWidth="1"/>
    <col min="3" max="3" width="17" style="1" customWidth="1"/>
    <col min="4" max="4" width="23.109375" style="131" customWidth="1" outlineLevel="1"/>
    <col min="5" max="7" width="23.109375" style="1" customWidth="1"/>
    <col min="8" max="8" width="18.77734375" style="1" customWidth="1"/>
    <col min="9" max="9" width="3.6640625" style="1" customWidth="1"/>
    <col min="10" max="10" width="8.44140625" style="1" customWidth="1"/>
    <col min="11" max="11" width="11" style="1" customWidth="1"/>
    <col min="12" max="12" width="4" style="1" customWidth="1"/>
    <col min="13" max="13" width="10.109375" style="211" customWidth="1"/>
    <col min="14" max="14" width="10.44140625" style="211" customWidth="1"/>
    <col min="15" max="15" width="10.109375" style="211" customWidth="1"/>
    <col min="16" max="16" width="10.44140625" style="211" customWidth="1"/>
    <col min="17" max="16384" width="9.109375" style="1"/>
  </cols>
  <sheetData>
    <row r="1" spans="2:16" s="5" customFormat="1" ht="23.5" customHeight="1" x14ac:dyDescent="0.3">
      <c r="B1" s="5" t="str">
        <f>"PUGET SOUND ENERGY - "&amp;TEXT(StartYear+4,"0000")&amp;" RPS REPORT"</f>
        <v>PUGET SOUND ENERGY - 2020 RPS REPORT</v>
      </c>
      <c r="H1" s="5" t="s">
        <v>151</v>
      </c>
      <c r="M1" s="211"/>
      <c r="N1" s="211"/>
      <c r="O1" s="211"/>
      <c r="P1" s="211"/>
    </row>
    <row r="2" spans="2:16" s="5" customFormat="1" ht="23.5" customHeight="1" x14ac:dyDescent="0.3">
      <c r="M2" s="211"/>
      <c r="N2" s="211"/>
      <c r="O2" s="211"/>
      <c r="P2" s="211"/>
    </row>
    <row r="3" spans="2:16" ht="31.3" x14ac:dyDescent="0.3">
      <c r="B3" s="34" t="s">
        <v>4</v>
      </c>
      <c r="C3" s="34" t="s">
        <v>13</v>
      </c>
      <c r="D3" s="34"/>
      <c r="E3" s="34" t="s">
        <v>115</v>
      </c>
      <c r="F3" s="34" t="s">
        <v>14</v>
      </c>
      <c r="G3" s="34" t="s">
        <v>15</v>
      </c>
      <c r="H3" s="34" t="s">
        <v>125</v>
      </c>
    </row>
    <row r="4" spans="2:16" x14ac:dyDescent="0.3">
      <c r="B4" s="25" t="s">
        <v>127</v>
      </c>
      <c r="C4" s="36" t="s">
        <v>130</v>
      </c>
      <c r="D4" s="36"/>
      <c r="E4" s="28" t="s">
        <v>107</v>
      </c>
      <c r="F4" s="28" t="s">
        <v>1</v>
      </c>
      <c r="G4" s="110" t="s">
        <v>2</v>
      </c>
      <c r="H4" s="113"/>
    </row>
    <row r="5" spans="2:16" x14ac:dyDescent="0.3">
      <c r="B5" s="26" t="s">
        <v>128</v>
      </c>
      <c r="C5" s="37" t="s">
        <v>131</v>
      </c>
      <c r="D5" s="37"/>
      <c r="E5" s="29" t="s">
        <v>107</v>
      </c>
      <c r="F5" s="29" t="s">
        <v>1</v>
      </c>
      <c r="G5" s="111" t="s">
        <v>2</v>
      </c>
      <c r="H5" s="114"/>
    </row>
    <row r="6" spans="2:16" x14ac:dyDescent="0.3">
      <c r="B6" s="26" t="s">
        <v>129</v>
      </c>
      <c r="C6" s="37" t="s">
        <v>132</v>
      </c>
      <c r="D6" s="37"/>
      <c r="E6" s="29" t="s">
        <v>107</v>
      </c>
      <c r="F6" s="29" t="s">
        <v>1</v>
      </c>
      <c r="G6" s="111" t="s">
        <v>2</v>
      </c>
      <c r="H6" s="114"/>
    </row>
    <row r="7" spans="2:16" x14ac:dyDescent="0.3">
      <c r="B7" s="26" t="s">
        <v>133</v>
      </c>
      <c r="C7" s="37" t="s">
        <v>135</v>
      </c>
      <c r="D7" s="37"/>
      <c r="E7" s="29" t="s">
        <v>107</v>
      </c>
      <c r="F7" s="29" t="s">
        <v>0</v>
      </c>
      <c r="G7" s="111" t="s">
        <v>2</v>
      </c>
      <c r="H7" s="114"/>
    </row>
    <row r="8" spans="2:16" x14ac:dyDescent="0.3">
      <c r="B8" s="26" t="s">
        <v>134</v>
      </c>
      <c r="C8" s="37" t="s">
        <v>136</v>
      </c>
      <c r="D8" s="37"/>
      <c r="E8" s="29" t="s">
        <v>107</v>
      </c>
      <c r="F8" s="29" t="s">
        <v>1</v>
      </c>
      <c r="G8" s="111" t="s">
        <v>2</v>
      </c>
      <c r="H8" s="114"/>
    </row>
    <row r="9" spans="2:16" x14ac:dyDescent="0.3">
      <c r="B9" s="116" t="s">
        <v>139</v>
      </c>
      <c r="C9" s="37" t="s">
        <v>137</v>
      </c>
      <c r="D9" s="37"/>
      <c r="E9" s="29" t="s">
        <v>107</v>
      </c>
      <c r="F9" s="29" t="s">
        <v>0</v>
      </c>
      <c r="G9" s="111" t="s">
        <v>2</v>
      </c>
      <c r="H9" s="114"/>
    </row>
    <row r="10" spans="2:16" x14ac:dyDescent="0.3">
      <c r="B10" s="116" t="s">
        <v>140</v>
      </c>
      <c r="C10" s="37" t="s">
        <v>138</v>
      </c>
      <c r="D10" s="37"/>
      <c r="E10" s="29" t="s">
        <v>107</v>
      </c>
      <c r="F10" s="29" t="s">
        <v>0</v>
      </c>
      <c r="G10" s="111" t="s">
        <v>2</v>
      </c>
      <c r="H10" s="114"/>
    </row>
    <row r="11" spans="2:16" ht="30.05" x14ac:dyDescent="0.3">
      <c r="B11" s="26" t="s">
        <v>141</v>
      </c>
      <c r="C11" s="37" t="s">
        <v>144</v>
      </c>
      <c r="D11" s="37"/>
      <c r="E11" s="136" t="s">
        <v>114</v>
      </c>
      <c r="F11" s="29" t="s">
        <v>1</v>
      </c>
      <c r="G11" s="111" t="s">
        <v>2</v>
      </c>
      <c r="H11" s="114"/>
    </row>
    <row r="12" spans="2:16" ht="30.05" x14ac:dyDescent="0.3">
      <c r="B12" s="26" t="s">
        <v>142</v>
      </c>
      <c r="C12" s="37" t="s">
        <v>147</v>
      </c>
      <c r="D12" s="37"/>
      <c r="E12" s="136" t="s">
        <v>114</v>
      </c>
      <c r="F12" s="29" t="s">
        <v>1</v>
      </c>
      <c r="G12" s="111" t="s">
        <v>2</v>
      </c>
      <c r="H12" s="114"/>
    </row>
    <row r="13" spans="2:16" ht="30.05" x14ac:dyDescent="0.3">
      <c r="B13" s="26" t="s">
        <v>143</v>
      </c>
      <c r="C13" s="37" t="s">
        <v>148</v>
      </c>
      <c r="D13" s="37"/>
      <c r="E13" s="136" t="s">
        <v>114</v>
      </c>
      <c r="F13" s="29" t="s">
        <v>1</v>
      </c>
      <c r="G13" s="111" t="s">
        <v>2</v>
      </c>
      <c r="H13" s="114"/>
    </row>
    <row r="14" spans="2:16" x14ac:dyDescent="0.3">
      <c r="B14" s="26" t="s">
        <v>152</v>
      </c>
      <c r="C14" s="37" t="s">
        <v>160</v>
      </c>
      <c r="D14" s="37"/>
      <c r="E14" s="29" t="s">
        <v>107</v>
      </c>
      <c r="F14" s="29" t="s">
        <v>1</v>
      </c>
      <c r="G14" s="111" t="s">
        <v>2</v>
      </c>
      <c r="H14" s="114"/>
    </row>
    <row r="15" spans="2:16" x14ac:dyDescent="0.3">
      <c r="B15" s="26" t="s">
        <v>153</v>
      </c>
      <c r="C15" s="37" t="s">
        <v>161</v>
      </c>
      <c r="D15" s="37"/>
      <c r="E15" s="29" t="s">
        <v>107</v>
      </c>
      <c r="F15" s="29" t="s">
        <v>1</v>
      </c>
      <c r="G15" s="111" t="s">
        <v>2</v>
      </c>
      <c r="H15" s="114"/>
    </row>
    <row r="16" spans="2:16" x14ac:dyDescent="0.3">
      <c r="B16" s="26" t="s">
        <v>154</v>
      </c>
      <c r="C16" s="37" t="s">
        <v>162</v>
      </c>
      <c r="D16" s="37"/>
      <c r="E16" s="29" t="s">
        <v>107</v>
      </c>
      <c r="F16" s="29" t="s">
        <v>1</v>
      </c>
      <c r="G16" s="111" t="s">
        <v>2</v>
      </c>
      <c r="H16" s="114"/>
    </row>
    <row r="17" spans="2:8" x14ac:dyDescent="0.3">
      <c r="B17" s="26" t="s">
        <v>155</v>
      </c>
      <c r="C17" s="37" t="s">
        <v>163</v>
      </c>
      <c r="D17" s="37"/>
      <c r="E17" s="29" t="s">
        <v>108</v>
      </c>
      <c r="F17" s="29" t="s">
        <v>1</v>
      </c>
      <c r="G17" s="111" t="s">
        <v>2</v>
      </c>
      <c r="H17" s="114"/>
    </row>
    <row r="18" spans="2:8" x14ac:dyDescent="0.3">
      <c r="B18" s="26" t="s">
        <v>157</v>
      </c>
      <c r="C18" s="37" t="s">
        <v>164</v>
      </c>
      <c r="D18" s="37"/>
      <c r="E18" s="29" t="s">
        <v>108</v>
      </c>
      <c r="F18" s="29" t="s">
        <v>1</v>
      </c>
      <c r="G18" s="111" t="s">
        <v>2</v>
      </c>
      <c r="H18" s="114"/>
    </row>
    <row r="19" spans="2:8" x14ac:dyDescent="0.3">
      <c r="B19" s="26" t="s">
        <v>156</v>
      </c>
      <c r="C19" s="37" t="s">
        <v>165</v>
      </c>
      <c r="D19" s="37"/>
      <c r="E19" s="29" t="s">
        <v>108</v>
      </c>
      <c r="F19" s="29" t="s">
        <v>1</v>
      </c>
      <c r="G19" s="111" t="s">
        <v>2</v>
      </c>
      <c r="H19" s="114"/>
    </row>
    <row r="20" spans="2:8" x14ac:dyDescent="0.3">
      <c r="B20" s="26" t="s">
        <v>158</v>
      </c>
      <c r="C20" s="37" t="s">
        <v>166</v>
      </c>
      <c r="D20" s="37"/>
      <c r="E20" s="29" t="s">
        <v>107</v>
      </c>
      <c r="F20" s="29" t="s">
        <v>1</v>
      </c>
      <c r="G20" s="111" t="s">
        <v>2</v>
      </c>
      <c r="H20" s="114"/>
    </row>
    <row r="21" spans="2:8" x14ac:dyDescent="0.3">
      <c r="B21" s="26" t="s">
        <v>159</v>
      </c>
      <c r="C21" s="37" t="s">
        <v>167</v>
      </c>
      <c r="D21" s="37"/>
      <c r="E21" s="29" t="s">
        <v>107</v>
      </c>
      <c r="F21" s="29" t="s">
        <v>1</v>
      </c>
      <c r="G21" s="111" t="s">
        <v>2</v>
      </c>
      <c r="H21" s="114"/>
    </row>
    <row r="22" spans="2:8" x14ac:dyDescent="0.3">
      <c r="B22" s="26" t="s">
        <v>193</v>
      </c>
      <c r="C22" s="37" t="s">
        <v>178</v>
      </c>
      <c r="D22" s="37"/>
      <c r="E22" s="29" t="s">
        <v>107</v>
      </c>
      <c r="F22" s="29" t="s">
        <v>1</v>
      </c>
      <c r="G22" s="111" t="s">
        <v>2</v>
      </c>
      <c r="H22" s="114"/>
    </row>
    <row r="23" spans="2:8" x14ac:dyDescent="0.3">
      <c r="B23" s="26" t="s">
        <v>194</v>
      </c>
      <c r="C23" s="37" t="s">
        <v>179</v>
      </c>
      <c r="D23" s="37"/>
      <c r="E23" s="29" t="s">
        <v>107</v>
      </c>
      <c r="F23" s="29" t="s">
        <v>1</v>
      </c>
      <c r="G23" s="111" t="s">
        <v>2</v>
      </c>
      <c r="H23" s="114"/>
    </row>
    <row r="24" spans="2:8" x14ac:dyDescent="0.3">
      <c r="B24" s="26" t="s">
        <v>195</v>
      </c>
      <c r="C24" s="37" t="s">
        <v>132</v>
      </c>
      <c r="D24" s="37"/>
      <c r="E24" s="29" t="s">
        <v>107</v>
      </c>
      <c r="F24" s="29" t="s">
        <v>1</v>
      </c>
      <c r="G24" s="111" t="s">
        <v>2</v>
      </c>
      <c r="H24" s="114"/>
    </row>
    <row r="25" spans="2:8" x14ac:dyDescent="0.3">
      <c r="B25" s="26" t="s">
        <v>196</v>
      </c>
      <c r="C25" s="37" t="s">
        <v>180</v>
      </c>
      <c r="D25" s="37"/>
      <c r="E25" s="29" t="s">
        <v>107</v>
      </c>
      <c r="F25" s="29" t="s">
        <v>1</v>
      </c>
      <c r="G25" s="111" t="s">
        <v>2</v>
      </c>
      <c r="H25" s="114"/>
    </row>
    <row r="26" spans="2:8" x14ac:dyDescent="0.3">
      <c r="B26" s="26" t="s">
        <v>197</v>
      </c>
      <c r="C26" s="37" t="s">
        <v>181</v>
      </c>
      <c r="D26" s="37"/>
      <c r="E26" s="29" t="s">
        <v>107</v>
      </c>
      <c r="F26" s="29" t="s">
        <v>1</v>
      </c>
      <c r="G26" s="111" t="s">
        <v>2</v>
      </c>
      <c r="H26" s="114"/>
    </row>
    <row r="27" spans="2:8" x14ac:dyDescent="0.3">
      <c r="B27" s="26" t="s">
        <v>198</v>
      </c>
      <c r="C27" s="37" t="s">
        <v>182</v>
      </c>
      <c r="D27" s="37"/>
      <c r="E27" s="29" t="s">
        <v>107</v>
      </c>
      <c r="F27" s="29" t="s">
        <v>1</v>
      </c>
      <c r="G27" s="111" t="s">
        <v>2</v>
      </c>
      <c r="H27" s="114"/>
    </row>
    <row r="28" spans="2:8" x14ac:dyDescent="0.3">
      <c r="B28" s="26" t="s">
        <v>199</v>
      </c>
      <c r="C28" s="37" t="s">
        <v>183</v>
      </c>
      <c r="D28" s="37"/>
      <c r="E28" s="29" t="s">
        <v>107</v>
      </c>
      <c r="F28" s="29" t="s">
        <v>1</v>
      </c>
      <c r="G28" s="111" t="s">
        <v>2</v>
      </c>
      <c r="H28" s="114"/>
    </row>
    <row r="29" spans="2:8" x14ac:dyDescent="0.3">
      <c r="B29" s="26" t="s">
        <v>200</v>
      </c>
      <c r="C29" s="37" t="s">
        <v>184</v>
      </c>
      <c r="D29" s="37"/>
      <c r="E29" s="29" t="s">
        <v>107</v>
      </c>
      <c r="F29" s="29" t="s">
        <v>1</v>
      </c>
      <c r="G29" s="111" t="s">
        <v>2</v>
      </c>
      <c r="H29" s="114"/>
    </row>
    <row r="30" spans="2:8" x14ac:dyDescent="0.3">
      <c r="B30" s="26" t="s">
        <v>201</v>
      </c>
      <c r="C30" s="37" t="s">
        <v>185</v>
      </c>
      <c r="D30" s="37"/>
      <c r="E30" s="29" t="s">
        <v>107</v>
      </c>
      <c r="F30" s="29" t="s">
        <v>1</v>
      </c>
      <c r="G30" s="111" t="s">
        <v>2</v>
      </c>
      <c r="H30" s="114"/>
    </row>
    <row r="31" spans="2:8" x14ac:dyDescent="0.3">
      <c r="B31" s="26" t="s">
        <v>202</v>
      </c>
      <c r="C31" s="37" t="s">
        <v>186</v>
      </c>
      <c r="D31" s="37"/>
      <c r="E31" s="29" t="s">
        <v>110</v>
      </c>
      <c r="F31" s="29" t="s">
        <v>1</v>
      </c>
      <c r="G31" s="111" t="s">
        <v>2</v>
      </c>
      <c r="H31" s="114"/>
    </row>
    <row r="32" spans="2:8" x14ac:dyDescent="0.3">
      <c r="B32" s="26" t="s">
        <v>203</v>
      </c>
      <c r="C32" s="37" t="s">
        <v>187</v>
      </c>
      <c r="D32" s="37"/>
      <c r="E32" s="29" t="s">
        <v>107</v>
      </c>
      <c r="F32" s="29" t="s">
        <v>1</v>
      </c>
      <c r="G32" s="230" t="s">
        <v>2</v>
      </c>
      <c r="H32" s="114"/>
    </row>
    <row r="33" spans="2:16" x14ac:dyDescent="0.3">
      <c r="B33" s="26" t="s">
        <v>204</v>
      </c>
      <c r="C33" s="223" t="s">
        <v>188</v>
      </c>
      <c r="D33" s="223"/>
      <c r="E33" s="224" t="s">
        <v>107</v>
      </c>
      <c r="F33" s="224" t="s">
        <v>1</v>
      </c>
      <c r="G33" s="231" t="s">
        <v>2</v>
      </c>
      <c r="H33" s="226"/>
    </row>
    <row r="34" spans="2:16" x14ac:dyDescent="0.3">
      <c r="B34" s="26" t="s">
        <v>205</v>
      </c>
      <c r="C34" s="223" t="s">
        <v>189</v>
      </c>
      <c r="D34" s="223"/>
      <c r="E34" s="224" t="s">
        <v>107</v>
      </c>
      <c r="F34" s="224" t="s">
        <v>1</v>
      </c>
      <c r="G34" s="231" t="s">
        <v>2</v>
      </c>
      <c r="H34" s="226"/>
    </row>
    <row r="35" spans="2:16" x14ac:dyDescent="0.3">
      <c r="B35" s="26" t="s">
        <v>206</v>
      </c>
      <c r="C35" s="223" t="s">
        <v>190</v>
      </c>
      <c r="D35" s="223"/>
      <c r="E35" s="224" t="s">
        <v>107</v>
      </c>
      <c r="F35" s="224" t="s">
        <v>1</v>
      </c>
      <c r="G35" s="231" t="s">
        <v>2</v>
      </c>
      <c r="H35" s="226"/>
    </row>
    <row r="36" spans="2:16" x14ac:dyDescent="0.3">
      <c r="B36" s="26" t="s">
        <v>207</v>
      </c>
      <c r="C36" s="223" t="s">
        <v>191</v>
      </c>
      <c r="D36" s="223"/>
      <c r="E36" s="224" t="s">
        <v>107</v>
      </c>
      <c r="F36" s="224" t="s">
        <v>1</v>
      </c>
      <c r="G36" s="231" t="s">
        <v>2</v>
      </c>
      <c r="H36" s="226"/>
    </row>
    <row r="37" spans="2:16" x14ac:dyDescent="0.3">
      <c r="B37" s="26" t="s">
        <v>208</v>
      </c>
      <c r="C37" s="223" t="s">
        <v>192</v>
      </c>
      <c r="D37" s="223"/>
      <c r="E37" s="224" t="s">
        <v>107</v>
      </c>
      <c r="F37" s="224" t="s">
        <v>1</v>
      </c>
      <c r="G37" s="231" t="s">
        <v>2</v>
      </c>
      <c r="H37" s="226"/>
    </row>
    <row r="38" spans="2:16" x14ac:dyDescent="0.3">
      <c r="B38" s="26" t="s">
        <v>210</v>
      </c>
      <c r="C38" s="223"/>
      <c r="D38" s="223"/>
      <c r="E38" s="224"/>
      <c r="F38" s="224" t="s">
        <v>2</v>
      </c>
      <c r="G38" s="231" t="s">
        <v>2</v>
      </c>
      <c r="H38" s="226"/>
    </row>
    <row r="39" spans="2:16" x14ac:dyDescent="0.3">
      <c r="B39" s="26" t="s">
        <v>211</v>
      </c>
      <c r="C39" s="223"/>
      <c r="D39" s="223"/>
      <c r="E39" s="224"/>
      <c r="F39" s="224" t="s">
        <v>2</v>
      </c>
      <c r="G39" s="231" t="s">
        <v>2</v>
      </c>
      <c r="H39" s="226"/>
    </row>
    <row r="40" spans="2:16" x14ac:dyDescent="0.3">
      <c r="B40" s="26" t="s">
        <v>174</v>
      </c>
      <c r="C40" s="223"/>
      <c r="D40" s="223"/>
      <c r="E40" s="224"/>
      <c r="F40" s="224" t="s">
        <v>2</v>
      </c>
      <c r="G40" s="225" t="s">
        <v>2</v>
      </c>
      <c r="H40" s="226"/>
    </row>
    <row r="41" spans="2:16" x14ac:dyDescent="0.3">
      <c r="B41" s="26" t="s">
        <v>175</v>
      </c>
      <c r="C41" s="223"/>
      <c r="D41" s="223"/>
      <c r="E41" s="224"/>
      <c r="F41" s="224" t="s">
        <v>2</v>
      </c>
      <c r="G41" s="225" t="s">
        <v>2</v>
      </c>
      <c r="H41" s="226"/>
    </row>
    <row r="42" spans="2:16" x14ac:dyDescent="0.3">
      <c r="B42" s="26" t="s">
        <v>176</v>
      </c>
      <c r="C42" s="223"/>
      <c r="D42" s="223"/>
      <c r="E42" s="224"/>
      <c r="F42" s="224" t="s">
        <v>2</v>
      </c>
      <c r="G42" s="225" t="s">
        <v>2</v>
      </c>
      <c r="H42" s="226"/>
    </row>
    <row r="43" spans="2:16" x14ac:dyDescent="0.3">
      <c r="B43" s="27" t="s">
        <v>177</v>
      </c>
      <c r="C43" s="38"/>
      <c r="D43" s="38"/>
      <c r="E43" s="30"/>
      <c r="F43" s="30" t="s">
        <v>2</v>
      </c>
      <c r="G43" s="112" t="s">
        <v>2</v>
      </c>
      <c r="H43" s="115"/>
    </row>
    <row r="44" spans="2:16" x14ac:dyDescent="0.3">
      <c r="B44" s="24"/>
      <c r="D44" s="1"/>
    </row>
    <row r="45" spans="2:16" ht="31.5" customHeight="1" x14ac:dyDescent="0.3">
      <c r="B45" s="250" t="s">
        <v>126</v>
      </c>
      <c r="C45" s="250"/>
      <c r="D45" s="250"/>
      <c r="E45" s="250"/>
      <c r="F45" s="250"/>
      <c r="I45" s="32"/>
    </row>
    <row r="46" spans="2:16" ht="31.5" customHeight="1" x14ac:dyDescent="0.3">
      <c r="B46" s="193"/>
      <c r="C46" s="193"/>
      <c r="D46" s="193"/>
      <c r="E46" s="193"/>
      <c r="F46" s="193"/>
      <c r="I46" s="32"/>
      <c r="J46" s="258"/>
      <c r="K46" s="258"/>
      <c r="L46" s="258"/>
      <c r="M46" s="258"/>
      <c r="N46" s="258"/>
      <c r="O46" s="258"/>
      <c r="P46" s="258"/>
    </row>
    <row r="47" spans="2:16" ht="31.5" customHeight="1" x14ac:dyDescent="0.3">
      <c r="B47" s="193"/>
      <c r="C47" s="193"/>
      <c r="D47" s="193"/>
      <c r="E47" s="193"/>
      <c r="F47" s="193"/>
      <c r="I47" s="32"/>
    </row>
    <row r="48" spans="2:16" s="32" customFormat="1" x14ac:dyDescent="0.3">
      <c r="D48" s="195"/>
      <c r="M48" s="211"/>
      <c r="N48" s="211"/>
      <c r="O48" s="211"/>
      <c r="P48" s="211"/>
    </row>
    <row r="49" spans="1:15" ht="21.3" x14ac:dyDescent="0.4">
      <c r="A49" s="12" t="s">
        <v>4</v>
      </c>
      <c r="C49" s="201" t="str">
        <f>B4</f>
        <v>Wild Horse</v>
      </c>
      <c r="D49" s="195"/>
      <c r="E49" s="22"/>
      <c r="F49" s="22"/>
      <c r="J49" s="259" t="s">
        <v>209</v>
      </c>
      <c r="K49" s="260"/>
    </row>
    <row r="50" spans="1:15" x14ac:dyDescent="0.3">
      <c r="D50" s="195"/>
      <c r="H50" s="117"/>
    </row>
    <row r="51" spans="1:15" ht="18.2" x14ac:dyDescent="0.35">
      <c r="A51" s="8" t="s">
        <v>21</v>
      </c>
      <c r="D51" s="2">
        <f>B1617</f>
        <v>2016</v>
      </c>
      <c r="E51" s="2">
        <f>D51+1</f>
        <v>2017</v>
      </c>
      <c r="F51" s="127">
        <f>E51+1</f>
        <v>2018</v>
      </c>
      <c r="G51" s="127">
        <f>F51+1</f>
        <v>2019</v>
      </c>
      <c r="H51" s="127">
        <f>G51+1</f>
        <v>2020</v>
      </c>
    </row>
    <row r="52" spans="1:15" x14ac:dyDescent="0.3">
      <c r="B52" s="64" t="str">
        <f>"Total MWh Produced / Purchased from " &amp; C49</f>
        <v>Total MWh Produced / Purchased from Wild Horse</v>
      </c>
      <c r="C52" s="59"/>
      <c r="D52" s="3">
        <v>564671</v>
      </c>
      <c r="E52" s="3">
        <v>516263</v>
      </c>
      <c r="F52" s="3">
        <v>537534</v>
      </c>
      <c r="G52" s="3">
        <v>516216</v>
      </c>
      <c r="H52" s="4">
        <v>477826</v>
      </c>
      <c r="J52" s="191">
        <v>43831</v>
      </c>
      <c r="K52" s="211">
        <f>134225/2</f>
        <v>67112.5</v>
      </c>
    </row>
    <row r="53" spans="1:15" x14ac:dyDescent="0.3">
      <c r="B53" s="64" t="s">
        <v>25</v>
      </c>
      <c r="C53" s="59"/>
      <c r="D53" s="141">
        <v>1</v>
      </c>
      <c r="E53" s="141">
        <v>1</v>
      </c>
      <c r="F53" s="141">
        <v>1</v>
      </c>
      <c r="G53" s="141">
        <v>1</v>
      </c>
      <c r="H53" s="142">
        <v>1</v>
      </c>
      <c r="J53" s="191">
        <v>43862</v>
      </c>
      <c r="K53" s="211">
        <v>77455</v>
      </c>
    </row>
    <row r="54" spans="1:15" x14ac:dyDescent="0.3">
      <c r="B54" s="64" t="s">
        <v>20</v>
      </c>
      <c r="C54" s="59"/>
      <c r="D54" s="47">
        <v>1</v>
      </c>
      <c r="E54" s="47">
        <v>1</v>
      </c>
      <c r="F54" s="47">
        <v>1</v>
      </c>
      <c r="G54" s="47">
        <v>1</v>
      </c>
      <c r="H54" s="48">
        <v>1</v>
      </c>
      <c r="J54" s="191">
        <v>43891</v>
      </c>
      <c r="K54" s="211">
        <v>74679</v>
      </c>
    </row>
    <row r="55" spans="1:15" x14ac:dyDescent="0.3">
      <c r="B55" s="61" t="s">
        <v>22</v>
      </c>
      <c r="C55" s="62"/>
      <c r="D55" s="140">
        <f>D52*D53*D54</f>
        <v>564671</v>
      </c>
      <c r="E55" s="140">
        <f>E52*E53*E54</f>
        <v>516263</v>
      </c>
      <c r="F55" s="140">
        <f>F52*F53*F54</f>
        <v>537534</v>
      </c>
      <c r="G55" s="140">
        <f>G52*G53*G54</f>
        <v>516216</v>
      </c>
      <c r="H55" s="140">
        <f>H52*H53*H54</f>
        <v>477826</v>
      </c>
      <c r="K55" s="220">
        <f>SUM(K52:K54)</f>
        <v>219246.5</v>
      </c>
    </row>
    <row r="56" spans="1:15" x14ac:dyDescent="0.3">
      <c r="B56" s="22"/>
      <c r="C56" s="32"/>
      <c r="D56" s="176"/>
      <c r="E56" s="176"/>
      <c r="F56" s="176"/>
      <c r="G56" s="176"/>
      <c r="H56" s="175"/>
      <c r="K56" s="241">
        <v>0.8075</v>
      </c>
    </row>
    <row r="57" spans="1:15" ht="18.2" x14ac:dyDescent="0.35">
      <c r="A57" s="44" t="s">
        <v>119</v>
      </c>
      <c r="C57" s="32"/>
      <c r="D57" s="2">
        <f>D51</f>
        <v>2016</v>
      </c>
      <c r="E57" s="2">
        <f>E51</f>
        <v>2017</v>
      </c>
      <c r="F57" s="2">
        <f>F51</f>
        <v>2018</v>
      </c>
      <c r="G57" s="2">
        <f>G51</f>
        <v>2019</v>
      </c>
      <c r="H57" s="2">
        <f>H51</f>
        <v>2020</v>
      </c>
      <c r="K57" s="220">
        <f>K55*K56</f>
        <v>177041.54874999999</v>
      </c>
    </row>
    <row r="58" spans="1:15" x14ac:dyDescent="0.3">
      <c r="B58" s="64" t="s">
        <v>10</v>
      </c>
      <c r="C58" s="59"/>
      <c r="D58" s="10">
        <f>IF( $F4 = "Eligible", D55 * 'Facility Detail'!$B$1614, 0 )</f>
        <v>0</v>
      </c>
      <c r="E58" s="118">
        <f>IF( $F4 = "Eligible", E55 * 'Facility Detail'!$B$1614, 0 )</f>
        <v>0</v>
      </c>
      <c r="F58" s="118">
        <f>IF( $F4 = "Eligible", F55 * 'Facility Detail'!$B$1614, 0 )</f>
        <v>0</v>
      </c>
      <c r="G58" s="118">
        <f>IF( $F4 = "Eligible", G55 * 'Facility Detail'!$B$1614, 0 )</f>
        <v>0</v>
      </c>
      <c r="H58" s="11">
        <f>IF( $F4 = "Eligible", H55 * 'Facility Detail'!$B$1614, 0 )</f>
        <v>0</v>
      </c>
    </row>
    <row r="59" spans="1:15" x14ac:dyDescent="0.3">
      <c r="B59" s="64" t="s">
        <v>6</v>
      </c>
      <c r="C59" s="59"/>
      <c r="D59" s="51">
        <f>IF( $G4 = "Eligible", D55, 0 )</f>
        <v>0</v>
      </c>
      <c r="E59" s="119">
        <f>IF( $G4 = "Eligible", E55, 0 )</f>
        <v>0</v>
      </c>
      <c r="F59" s="119">
        <f>IF( $G4 = "Eligible", F55, 0 )</f>
        <v>0</v>
      </c>
      <c r="G59" s="119">
        <f>IF( $G4 = "Eligible", G55, 0 )</f>
        <v>0</v>
      </c>
      <c r="H59" s="52">
        <f>IF( $G4 = "Eligible", H55, 0 )</f>
        <v>0</v>
      </c>
    </row>
    <row r="60" spans="1:15" x14ac:dyDescent="0.3">
      <c r="B60" s="63" t="s">
        <v>121</v>
      </c>
      <c r="C60" s="62"/>
      <c r="D60" s="40">
        <f>SUM(D58:D59)</f>
        <v>0</v>
      </c>
      <c r="E60" s="40">
        <f>SUM(E58:E59)</f>
        <v>0</v>
      </c>
      <c r="F60" s="40">
        <f>SUM(F58:F59)</f>
        <v>0</v>
      </c>
      <c r="G60" s="40">
        <f>SUM(G58:G59)</f>
        <v>0</v>
      </c>
      <c r="H60" s="40">
        <f>SUM(H58:H59)</f>
        <v>0</v>
      </c>
    </row>
    <row r="61" spans="1:15" x14ac:dyDescent="0.3">
      <c r="B61" s="32"/>
      <c r="C61" s="32"/>
      <c r="D61" s="178"/>
      <c r="E61" s="178"/>
      <c r="F61" s="178"/>
      <c r="G61" s="178"/>
      <c r="H61" s="33"/>
    </row>
    <row r="62" spans="1:15" ht="18.2" x14ac:dyDescent="0.35">
      <c r="A62" s="41" t="s">
        <v>30</v>
      </c>
      <c r="C62" s="32"/>
      <c r="D62" s="2">
        <f>D51</f>
        <v>2016</v>
      </c>
      <c r="E62" s="2">
        <f>E51</f>
        <v>2017</v>
      </c>
      <c r="F62" s="2">
        <f>F51</f>
        <v>2018</v>
      </c>
      <c r="G62" s="2">
        <f>G51</f>
        <v>2019</v>
      </c>
      <c r="H62" s="2">
        <f>H51</f>
        <v>2020</v>
      </c>
    </row>
    <row r="63" spans="1:15" x14ac:dyDescent="0.3">
      <c r="B63" s="64" t="s">
        <v>47</v>
      </c>
      <c r="C63" s="32"/>
      <c r="D63" s="163">
        <v>258677</v>
      </c>
      <c r="E63" s="196">
        <v>44385</v>
      </c>
      <c r="F63" s="196">
        <f>158824+44385</f>
        <v>203209</v>
      </c>
      <c r="G63" s="3">
        <v>172850</v>
      </c>
      <c r="H63" s="4">
        <v>0</v>
      </c>
      <c r="O63" s="222"/>
    </row>
    <row r="64" spans="1:15" x14ac:dyDescent="0.3">
      <c r="B64" s="65" t="s">
        <v>23</v>
      </c>
      <c r="C64" s="74"/>
      <c r="D64" s="212">
        <v>0</v>
      </c>
      <c r="E64" s="146">
        <v>0</v>
      </c>
      <c r="F64" s="146">
        <v>0</v>
      </c>
      <c r="G64" s="146">
        <v>0</v>
      </c>
      <c r="H64" s="147">
        <v>0</v>
      </c>
    </row>
    <row r="65" spans="1:8" x14ac:dyDescent="0.3">
      <c r="B65" s="75" t="s">
        <v>89</v>
      </c>
      <c r="C65" s="74"/>
      <c r="D65" s="213">
        <v>0</v>
      </c>
      <c r="E65" s="148">
        <v>0</v>
      </c>
      <c r="F65" s="148">
        <v>0</v>
      </c>
      <c r="G65" s="148">
        <v>0</v>
      </c>
      <c r="H65" s="149">
        <v>0</v>
      </c>
    </row>
    <row r="66" spans="1:8" x14ac:dyDescent="0.3">
      <c r="B66" s="35" t="s">
        <v>90</v>
      </c>
      <c r="D66" s="6">
        <f>SUM(D63:D65)</f>
        <v>258677</v>
      </c>
      <c r="E66" s="6">
        <f>SUM(E63:E65)</f>
        <v>44385</v>
      </c>
      <c r="F66" s="6">
        <f>SUM(F63:F65)</f>
        <v>203209</v>
      </c>
      <c r="G66" s="6">
        <f>SUM(G63:G65)</f>
        <v>172850</v>
      </c>
      <c r="H66" s="6">
        <f>SUM(H63:H65)</f>
        <v>0</v>
      </c>
    </row>
    <row r="67" spans="1:8" x14ac:dyDescent="0.3">
      <c r="B67" s="5"/>
      <c r="D67" s="176"/>
      <c r="E67" s="176"/>
      <c r="F67" s="176"/>
      <c r="G67" s="176"/>
      <c r="H67" s="6"/>
    </row>
    <row r="68" spans="1:8" ht="18.2" x14ac:dyDescent="0.35">
      <c r="A68" s="8" t="s">
        <v>100</v>
      </c>
      <c r="D68" s="2">
        <f>D51</f>
        <v>2016</v>
      </c>
      <c r="E68" s="2">
        <f>D68+1</f>
        <v>2017</v>
      </c>
      <c r="F68" s="2">
        <f>E68+1</f>
        <v>2018</v>
      </c>
      <c r="G68" s="2">
        <f>F68+1</f>
        <v>2019</v>
      </c>
      <c r="H68" s="2">
        <f>G68+1</f>
        <v>2020</v>
      </c>
    </row>
    <row r="69" spans="1:8" x14ac:dyDescent="0.3">
      <c r="B69" s="64" t="str">
        <f>(StartYear-1) &amp; " Surplus Applied to " &amp; StartYear</f>
        <v>2015 Surplus Applied to 2016</v>
      </c>
      <c r="C69" s="32"/>
      <c r="D69" s="205">
        <v>469503</v>
      </c>
      <c r="E69" s="206"/>
      <c r="F69" s="206"/>
      <c r="G69" s="206"/>
      <c r="H69" s="207"/>
    </row>
    <row r="70" spans="1:8" x14ac:dyDescent="0.3">
      <c r="B70" s="64" t="str">
        <f>StartYear &amp; " Surplus Applied to " &amp; (StartYear-1)</f>
        <v>2016 Surplus Applied to 2015</v>
      </c>
      <c r="C70" s="32"/>
      <c r="D70" s="208">
        <v>0</v>
      </c>
      <c r="E70" s="122"/>
      <c r="F70" s="122"/>
      <c r="G70" s="122"/>
      <c r="H70" s="126"/>
    </row>
    <row r="71" spans="1:8" x14ac:dyDescent="0.3">
      <c r="B71" s="64" t="str">
        <f>( StartYear) &amp; " Surplus Applied to " &amp; ( StartYear + 1 )</f>
        <v>2016 Surplus Applied to 2017</v>
      </c>
      <c r="C71" s="32"/>
      <c r="D71" s="203">
        <f>D55+D60-D66</f>
        <v>305994</v>
      </c>
      <c r="E71" s="204">
        <f>D71</f>
        <v>305994</v>
      </c>
      <c r="F71" s="199"/>
      <c r="G71" s="199"/>
      <c r="H71" s="200"/>
    </row>
    <row r="72" spans="1:8" x14ac:dyDescent="0.3">
      <c r="B72" s="64" t="str">
        <f xml:space="preserve"> ( StartYear + 1 ) &amp; " Surplus Applied to " &amp; ( StartYear )</f>
        <v>2017 Surplus Applied to 2016</v>
      </c>
      <c r="C72" s="32"/>
      <c r="D72" s="143">
        <f>E72</f>
        <v>0</v>
      </c>
      <c r="E72" s="9">
        <v>0</v>
      </c>
      <c r="F72" s="122"/>
      <c r="G72" s="122"/>
      <c r="H72" s="126"/>
    </row>
    <row r="73" spans="1:8" x14ac:dyDescent="0.3">
      <c r="B73" s="128" t="str">
        <f xml:space="preserve"> ( StartYear + 1 ) &amp; " Surplus Applied to " &amp; ( StartYear + 2 )</f>
        <v>2017 Surplus Applied to 2018</v>
      </c>
      <c r="C73" s="32"/>
      <c r="D73" s="123"/>
      <c r="E73" s="9">
        <f>E55+E60-E66</f>
        <v>471878</v>
      </c>
      <c r="F73" s="58">
        <f>E73</f>
        <v>471878</v>
      </c>
      <c r="G73" s="122"/>
      <c r="H73" s="126"/>
    </row>
    <row r="74" spans="1:8" x14ac:dyDescent="0.3">
      <c r="B74" s="128" t="str">
        <f xml:space="preserve"> ( StartYear + 2 ) &amp; " Surplus Applied to " &amp; ( StartYear + 1 )</f>
        <v>2018 Surplus Applied to 2017</v>
      </c>
      <c r="C74" s="32"/>
      <c r="D74" s="123"/>
      <c r="E74" s="58">
        <f>F74</f>
        <v>0</v>
      </c>
      <c r="F74" s="9">
        <v>0</v>
      </c>
      <c r="G74" s="122"/>
      <c r="H74" s="126"/>
    </row>
    <row r="75" spans="1:8" x14ac:dyDescent="0.3">
      <c r="B75" s="174" t="str">
        <f xml:space="preserve"> ( StartYear + 2 ) &amp; " Surplus Applied to " &amp; ( StartYear + 3 )</f>
        <v>2018 Surplus Applied to 2019</v>
      </c>
      <c r="C75" s="32"/>
      <c r="D75" s="123"/>
      <c r="E75" s="122"/>
      <c r="F75" s="9">
        <f>F55+F60-F66</f>
        <v>334325</v>
      </c>
      <c r="G75" s="58">
        <f>F75</f>
        <v>334325</v>
      </c>
      <c r="H75" s="126"/>
    </row>
    <row r="76" spans="1:8" x14ac:dyDescent="0.3">
      <c r="B76" s="174" t="str">
        <f xml:space="preserve"> ( StartYear + 3 ) &amp; " Surplus Applied to " &amp; ( StartYear + 2 )</f>
        <v>2019 Surplus Applied to 2018</v>
      </c>
      <c r="C76" s="32"/>
      <c r="D76" s="123"/>
      <c r="E76" s="122"/>
      <c r="F76" s="58">
        <f>G76</f>
        <v>0</v>
      </c>
      <c r="G76" s="9">
        <v>0</v>
      </c>
      <c r="H76" s="126"/>
    </row>
    <row r="77" spans="1:8" x14ac:dyDescent="0.3">
      <c r="B77" s="174" t="str">
        <f xml:space="preserve"> ( StartYear + 3 ) &amp; " Surplus Applied to " &amp; ( StartYear + 4 )</f>
        <v>2019 Surplus Applied to 2020</v>
      </c>
      <c r="C77" s="32"/>
      <c r="D77" s="123"/>
      <c r="E77" s="122"/>
      <c r="F77" s="122"/>
      <c r="G77" s="9">
        <f>G55+G60-G66</f>
        <v>343366</v>
      </c>
      <c r="H77" s="53">
        <f>G77</f>
        <v>343366</v>
      </c>
    </row>
    <row r="78" spans="1:8" x14ac:dyDescent="0.3">
      <c r="B78" s="174" t="str">
        <f xml:space="preserve"> ( StartYear + 4 ) &amp; " Surplus Applied to " &amp; ( StartYear + 3 )</f>
        <v>2020 Surplus Applied to 2019</v>
      </c>
      <c r="C78" s="32"/>
      <c r="D78" s="124"/>
      <c r="E78" s="125"/>
      <c r="F78" s="125"/>
      <c r="G78" s="54">
        <f>H78</f>
        <v>0</v>
      </c>
      <c r="H78" s="46">
        <v>0</v>
      </c>
    </row>
    <row r="79" spans="1:8" x14ac:dyDescent="0.3">
      <c r="B79" s="129" t="s">
        <v>17</v>
      </c>
      <c r="D79" s="6">
        <f>D69-D70+D72-D71</f>
        <v>163509</v>
      </c>
      <c r="E79" s="6">
        <f>E71+E74-E72-E73</f>
        <v>-165884</v>
      </c>
      <c r="F79" s="6">
        <f>F73+F76-F74-F75</f>
        <v>137553</v>
      </c>
      <c r="G79" s="6">
        <f>G75+G78-G76-G77</f>
        <v>-9041</v>
      </c>
      <c r="H79" s="6">
        <f>H77 - H78</f>
        <v>343366</v>
      </c>
    </row>
    <row r="80" spans="1:8" x14ac:dyDescent="0.3">
      <c r="B80" s="130"/>
      <c r="D80" s="6"/>
      <c r="E80" s="6"/>
      <c r="F80" s="6"/>
      <c r="G80" s="6"/>
      <c r="H80" s="6"/>
    </row>
    <row r="81" spans="1:16" x14ac:dyDescent="0.3">
      <c r="B81" s="61" t="s">
        <v>12</v>
      </c>
      <c r="C81" s="59"/>
      <c r="D81" s="82">
        <v>0</v>
      </c>
      <c r="E81" s="120">
        <v>0</v>
      </c>
      <c r="F81" s="120">
        <v>0</v>
      </c>
      <c r="G81" s="120">
        <v>0</v>
      </c>
      <c r="H81" s="83">
        <v>0</v>
      </c>
    </row>
    <row r="82" spans="1:16" x14ac:dyDescent="0.3">
      <c r="B82" s="130"/>
      <c r="D82" s="6"/>
      <c r="E82" s="6"/>
      <c r="F82" s="6"/>
      <c r="G82" s="6"/>
      <c r="H82" s="6"/>
    </row>
    <row r="83" spans="1:16" ht="18.2" x14ac:dyDescent="0.35">
      <c r="A83" s="41" t="s">
        <v>26</v>
      </c>
      <c r="B83" s="131"/>
      <c r="C83" s="59"/>
      <c r="D83" s="121">
        <f>D55+D60-D66+D79+D81</f>
        <v>469503</v>
      </c>
      <c r="E83" s="121">
        <f>E55+E60-E66+E79+E81</f>
        <v>305994</v>
      </c>
      <c r="F83" s="121">
        <f>F55+F60-F66+F79+F81</f>
        <v>471878</v>
      </c>
      <c r="G83" s="121">
        <f>G55+G60-G66+G79+G81</f>
        <v>334325</v>
      </c>
      <c r="H83" s="192">
        <f>H55+H60-H66+H79+H81</f>
        <v>821192</v>
      </c>
    </row>
    <row r="84" spans="1:16" s="131" customFormat="1" x14ac:dyDescent="0.3">
      <c r="B84" s="130"/>
      <c r="C84" s="138" t="s">
        <v>169</v>
      </c>
      <c r="D84" s="139">
        <v>469503</v>
      </c>
      <c r="E84" s="31">
        <v>238895</v>
      </c>
      <c r="F84" s="31">
        <v>471878</v>
      </c>
      <c r="G84" s="31"/>
      <c r="H84" s="31"/>
      <c r="M84" s="211"/>
      <c r="N84" s="211"/>
      <c r="O84" s="211"/>
      <c r="P84" s="211"/>
    </row>
    <row r="85" spans="1:16" x14ac:dyDescent="0.3">
      <c r="B85" s="131"/>
      <c r="D85" s="1"/>
    </row>
    <row r="86" spans="1:16" x14ac:dyDescent="0.3">
      <c r="B86" s="22"/>
      <c r="C86" s="32"/>
      <c r="D86" s="32"/>
      <c r="E86" s="32"/>
      <c r="F86" s="32"/>
      <c r="G86" s="32"/>
      <c r="H86" s="32"/>
    </row>
    <row r="87" spans="1:16" ht="21.3" x14ac:dyDescent="0.4">
      <c r="A87" s="12" t="s">
        <v>4</v>
      </c>
      <c r="B87" s="132"/>
      <c r="C87" s="42" t="str">
        <f>B5</f>
        <v>Hopkins Ridge</v>
      </c>
      <c r="D87" s="22"/>
      <c r="E87" s="22"/>
    </row>
    <row r="88" spans="1:16" x14ac:dyDescent="0.3">
      <c r="B88" s="131"/>
      <c r="D88" s="1"/>
    </row>
    <row r="89" spans="1:16" ht="18.2" x14ac:dyDescent="0.35">
      <c r="A89" s="8" t="s">
        <v>21</v>
      </c>
      <c r="B89" s="133"/>
      <c r="D89" s="2">
        <f>D51</f>
        <v>2016</v>
      </c>
      <c r="E89" s="2">
        <f>D89+1</f>
        <v>2017</v>
      </c>
      <c r="F89" s="127">
        <f>E89+1</f>
        <v>2018</v>
      </c>
      <c r="G89" s="127">
        <f>F89+1</f>
        <v>2019</v>
      </c>
      <c r="H89" s="127">
        <f>G89+1</f>
        <v>2020</v>
      </c>
    </row>
    <row r="90" spans="1:16" x14ac:dyDescent="0.3">
      <c r="B90" s="128" t="str">
        <f>"Total MWh Produced / Purchased from " &amp; C87</f>
        <v>Total MWh Produced / Purchased from Hopkins Ridge</v>
      </c>
      <c r="C90" s="59"/>
      <c r="D90" s="3">
        <v>398058</v>
      </c>
      <c r="E90" s="3">
        <v>329544</v>
      </c>
      <c r="F90" s="3">
        <v>392020</v>
      </c>
      <c r="G90" s="3">
        <v>324844</v>
      </c>
      <c r="H90" s="4">
        <v>346466</v>
      </c>
      <c r="J90" s="191">
        <v>43831</v>
      </c>
      <c r="K90" s="211">
        <f>122982/2</f>
        <v>61491</v>
      </c>
    </row>
    <row r="91" spans="1:16" x14ac:dyDescent="0.3">
      <c r="B91" s="128" t="s">
        <v>25</v>
      </c>
      <c r="C91" s="59"/>
      <c r="D91" s="141">
        <v>1</v>
      </c>
      <c r="E91" s="141">
        <v>1</v>
      </c>
      <c r="F91" s="141">
        <v>1</v>
      </c>
      <c r="G91" s="141">
        <v>1</v>
      </c>
      <c r="H91" s="142">
        <v>1</v>
      </c>
      <c r="J91" s="191">
        <v>43862</v>
      </c>
      <c r="K91" s="211">
        <v>52900</v>
      </c>
    </row>
    <row r="92" spans="1:16" x14ac:dyDescent="0.3">
      <c r="B92" s="128" t="s">
        <v>20</v>
      </c>
      <c r="C92" s="59"/>
      <c r="D92" s="47">
        <v>1</v>
      </c>
      <c r="E92" s="47">
        <v>1</v>
      </c>
      <c r="F92" s="47">
        <v>1</v>
      </c>
      <c r="G92" s="47">
        <v>1</v>
      </c>
      <c r="H92" s="48">
        <v>1</v>
      </c>
      <c r="J92" s="191">
        <v>43891</v>
      </c>
      <c r="K92" s="211">
        <v>44362</v>
      </c>
    </row>
    <row r="93" spans="1:16" x14ac:dyDescent="0.3">
      <c r="B93" s="61" t="s">
        <v>22</v>
      </c>
      <c r="C93" s="62"/>
      <c r="D93" s="140">
        <f>D90*D91*D92</f>
        <v>398058</v>
      </c>
      <c r="E93" s="140">
        <f>E90*E91*E92</f>
        <v>329544</v>
      </c>
      <c r="F93" s="140">
        <f>F90*F91*F92</f>
        <v>392020</v>
      </c>
      <c r="G93" s="140">
        <f>G90*G91*G92</f>
        <v>324844</v>
      </c>
      <c r="H93" s="140">
        <f>H90*H91*H92</f>
        <v>346466</v>
      </c>
      <c r="K93" s="220">
        <f>SUM(K90:K92)</f>
        <v>158753</v>
      </c>
    </row>
    <row r="94" spans="1:16" x14ac:dyDescent="0.3">
      <c r="B94" s="22"/>
      <c r="C94" s="32"/>
      <c r="D94" s="177"/>
      <c r="E94" s="177"/>
      <c r="F94" s="177"/>
      <c r="G94" s="176"/>
      <c r="H94" s="39"/>
      <c r="K94" s="241">
        <v>0.95179999999999998</v>
      </c>
    </row>
    <row r="95" spans="1:16" ht="18.2" x14ac:dyDescent="0.35">
      <c r="A95" s="44" t="s">
        <v>119</v>
      </c>
      <c r="B95" s="131"/>
      <c r="C95" s="32"/>
      <c r="D95" s="2">
        <f>D89</f>
        <v>2016</v>
      </c>
      <c r="E95" s="2">
        <f>D95+1</f>
        <v>2017</v>
      </c>
      <c r="F95" s="2">
        <f>E95+1</f>
        <v>2018</v>
      </c>
      <c r="G95" s="2">
        <f>F95+1</f>
        <v>2019</v>
      </c>
      <c r="H95" s="2">
        <f>G95+1</f>
        <v>2020</v>
      </c>
      <c r="K95" s="220">
        <f>K93*K94</f>
        <v>151101.1054</v>
      </c>
    </row>
    <row r="96" spans="1:16" x14ac:dyDescent="0.3">
      <c r="B96" s="128" t="s">
        <v>10</v>
      </c>
      <c r="C96" s="59"/>
      <c r="D96" s="10">
        <f>IF( $F5 = "Eligible",D93 * 'Facility Detail'!$B$1614, 0 )</f>
        <v>0</v>
      </c>
      <c r="E96" s="118">
        <f>IF( $F5 = "Eligible",E93 * 'Facility Detail'!$B$1614, 0 )</f>
        <v>0</v>
      </c>
      <c r="F96" s="118">
        <f>IF( $F5 = "Eligible",F93 * 'Facility Detail'!$B$1614, 0 )</f>
        <v>0</v>
      </c>
      <c r="G96" s="118">
        <f>IF( $F5 = "Eligible",G93 * 'Facility Detail'!$B$1614, 0 )</f>
        <v>0</v>
      </c>
      <c r="H96" s="11">
        <f>IF( $F5 = "Eligible",H93 * 'Facility Detail'!$B$1614, 0 )</f>
        <v>0</v>
      </c>
    </row>
    <row r="97" spans="1:15" x14ac:dyDescent="0.3">
      <c r="B97" s="128" t="s">
        <v>6</v>
      </c>
      <c r="C97" s="59"/>
      <c r="D97" s="51">
        <f>IF( $G5 = "Eligible", D93, 0 )</f>
        <v>0</v>
      </c>
      <c r="E97" s="119">
        <f>IF( $G5 = "Eligible", E93, 0 )</f>
        <v>0</v>
      </c>
      <c r="F97" s="119">
        <f>IF( $G5 = "Eligible", F93, 0 )</f>
        <v>0</v>
      </c>
      <c r="G97" s="119">
        <f>IF( $G5 = "Eligible", G93, 0 )</f>
        <v>0</v>
      </c>
      <c r="H97" s="52">
        <f>IF( $G5 = "Eligible", H93, 0 )</f>
        <v>0</v>
      </c>
    </row>
    <row r="98" spans="1:15" x14ac:dyDescent="0.3">
      <c r="B98" s="61" t="s">
        <v>121</v>
      </c>
      <c r="C98" s="62"/>
      <c r="D98" s="40">
        <f>SUM(D96:D97)</f>
        <v>0</v>
      </c>
      <c r="E98" s="40">
        <f>SUM(E96:E97)</f>
        <v>0</v>
      </c>
      <c r="F98" s="40">
        <f>SUM(F96:F97)</f>
        <v>0</v>
      </c>
      <c r="G98" s="40">
        <f>SUM(G96:G97)</f>
        <v>0</v>
      </c>
      <c r="H98" s="40">
        <f>SUM(H96:H97)</f>
        <v>0</v>
      </c>
    </row>
    <row r="99" spans="1:15" x14ac:dyDescent="0.3">
      <c r="B99" s="22"/>
      <c r="C99" s="32"/>
      <c r="D99" s="178"/>
      <c r="E99" s="178"/>
      <c r="F99" s="178"/>
      <c r="G99" s="178"/>
      <c r="H99" s="33"/>
    </row>
    <row r="100" spans="1:15" ht="18.2" x14ac:dyDescent="0.35">
      <c r="A100" s="41" t="s">
        <v>30</v>
      </c>
      <c r="B100" s="131"/>
      <c r="C100" s="32"/>
      <c r="D100" s="2">
        <f>D89</f>
        <v>2016</v>
      </c>
      <c r="E100" s="2">
        <f>D100+1</f>
        <v>2017</v>
      </c>
      <c r="F100" s="2">
        <f>E100+1</f>
        <v>2018</v>
      </c>
      <c r="G100" s="2">
        <f>F100+1</f>
        <v>2019</v>
      </c>
      <c r="H100" s="2">
        <f>G100+1</f>
        <v>2020</v>
      </c>
    </row>
    <row r="101" spans="1:15" x14ac:dyDescent="0.3">
      <c r="B101" s="128" t="s">
        <v>47</v>
      </c>
      <c r="C101" s="59"/>
      <c r="D101" s="3">
        <v>190560</v>
      </c>
      <c r="E101" s="3">
        <v>74400</v>
      </c>
      <c r="F101" s="3">
        <v>176270</v>
      </c>
      <c r="G101" s="3">
        <v>0</v>
      </c>
      <c r="H101" s="4">
        <v>0</v>
      </c>
      <c r="O101" s="222"/>
    </row>
    <row r="102" spans="1:15" x14ac:dyDescent="0.3">
      <c r="B102" s="75" t="s">
        <v>23</v>
      </c>
      <c r="C102" s="66"/>
      <c r="D102" s="146">
        <v>0</v>
      </c>
      <c r="E102" s="146">
        <v>0</v>
      </c>
      <c r="F102" s="146">
        <v>0</v>
      </c>
      <c r="G102" s="146">
        <v>0</v>
      </c>
      <c r="H102" s="147">
        <v>0</v>
      </c>
    </row>
    <row r="103" spans="1:15" x14ac:dyDescent="0.3">
      <c r="B103" s="75" t="s">
        <v>89</v>
      </c>
      <c r="C103" s="74"/>
      <c r="D103" s="213">
        <v>0</v>
      </c>
      <c r="E103" s="148">
        <v>0</v>
      </c>
      <c r="F103" s="148">
        <v>0</v>
      </c>
      <c r="G103" s="148">
        <v>0</v>
      </c>
      <c r="H103" s="149">
        <v>0</v>
      </c>
    </row>
    <row r="104" spans="1:15" x14ac:dyDescent="0.3">
      <c r="B104" s="129" t="s">
        <v>90</v>
      </c>
      <c r="D104" s="6">
        <f>SUM(D101:D103)</f>
        <v>190560</v>
      </c>
      <c r="E104" s="6">
        <f>SUM(E101:E103)</f>
        <v>74400</v>
      </c>
      <c r="F104" s="6">
        <f>SUM(F101:F103)</f>
        <v>176270</v>
      </c>
      <c r="G104" s="6">
        <f>SUM(G101:G103)</f>
        <v>0</v>
      </c>
      <c r="H104" s="6">
        <f>SUM(H101:H103)</f>
        <v>0</v>
      </c>
    </row>
    <row r="105" spans="1:15" x14ac:dyDescent="0.3">
      <c r="B105" s="130"/>
      <c r="D105" s="176"/>
      <c r="E105" s="176"/>
      <c r="F105" s="176"/>
      <c r="G105" s="176"/>
      <c r="H105" s="6"/>
    </row>
    <row r="106" spans="1:15" ht="18.2" x14ac:dyDescent="0.35">
      <c r="A106" s="8" t="s">
        <v>100</v>
      </c>
      <c r="B106" s="131"/>
      <c r="D106" s="2">
        <f>D89</f>
        <v>2016</v>
      </c>
      <c r="E106" s="2">
        <f>D106+1</f>
        <v>2017</v>
      </c>
      <c r="F106" s="2">
        <f>E106+1</f>
        <v>2018</v>
      </c>
      <c r="G106" s="2">
        <f>F106+1</f>
        <v>2019</v>
      </c>
      <c r="H106" s="2">
        <f>G106+1</f>
        <v>2020</v>
      </c>
    </row>
    <row r="107" spans="1:15" x14ac:dyDescent="0.3">
      <c r="B107" s="64" t="str">
        <f>(StartYear-1) &amp; " Surplus Applied to " &amp; StartYear</f>
        <v>2015 Surplus Applied to 2016</v>
      </c>
      <c r="C107" s="32"/>
      <c r="D107" s="205">
        <v>238385</v>
      </c>
      <c r="E107" s="206"/>
      <c r="F107" s="206"/>
      <c r="G107" s="206"/>
      <c r="H107" s="207"/>
    </row>
    <row r="108" spans="1:15" x14ac:dyDescent="0.3">
      <c r="B108" s="64" t="str">
        <f>StartYear &amp; " Surplus Applied to " &amp; (StartYear-1)</f>
        <v>2016 Surplus Applied to 2015</v>
      </c>
      <c r="C108" s="32"/>
      <c r="D108" s="208">
        <v>0</v>
      </c>
      <c r="E108" s="122"/>
      <c r="F108" s="122"/>
      <c r="G108" s="122"/>
      <c r="H108" s="126"/>
    </row>
    <row r="109" spans="1:15" x14ac:dyDescent="0.3">
      <c r="B109" s="64" t="str">
        <f>( StartYear) &amp; " Surplus Applied to " &amp; ( StartYear + 1 )</f>
        <v>2016 Surplus Applied to 2017</v>
      </c>
      <c r="C109" s="32"/>
      <c r="D109" s="203">
        <f>D93+D98-D104</f>
        <v>207498</v>
      </c>
      <c r="E109" s="204">
        <f>D109</f>
        <v>207498</v>
      </c>
      <c r="F109" s="199"/>
      <c r="G109" s="199"/>
      <c r="H109" s="200"/>
    </row>
    <row r="110" spans="1:15" x14ac:dyDescent="0.3">
      <c r="B110" s="64" t="str">
        <f xml:space="preserve"> ( StartYear + 1 ) &amp; " Surplus Applied to " &amp; ( StartYear )</f>
        <v>2017 Surplus Applied to 2016</v>
      </c>
      <c r="C110" s="32"/>
      <c r="D110" s="143">
        <f>E110</f>
        <v>0</v>
      </c>
      <c r="E110" s="9">
        <v>0</v>
      </c>
      <c r="F110" s="122"/>
      <c r="G110" s="122"/>
      <c r="H110" s="126"/>
    </row>
    <row r="111" spans="1:15" x14ac:dyDescent="0.3">
      <c r="B111" s="128" t="str">
        <f xml:space="preserve"> ( StartYear + 1 ) &amp; " Surplus Applied to " &amp; ( StartYear + 2 )</f>
        <v>2017 Surplus Applied to 2018</v>
      </c>
      <c r="C111" s="32"/>
      <c r="D111" s="123"/>
      <c r="E111" s="9">
        <f>E93+E98-E104</f>
        <v>255144</v>
      </c>
      <c r="F111" s="58">
        <f>E111</f>
        <v>255144</v>
      </c>
      <c r="G111" s="122"/>
      <c r="H111" s="126"/>
    </row>
    <row r="112" spans="1:15" x14ac:dyDescent="0.3">
      <c r="B112" s="128" t="str">
        <f xml:space="preserve"> ( StartYear + 2 ) &amp; " Surplus Applied to " &amp; ( StartYear + 1 )</f>
        <v>2018 Surplus Applied to 2017</v>
      </c>
      <c r="C112" s="32"/>
      <c r="D112" s="123"/>
      <c r="E112" s="58">
        <f>F112</f>
        <v>0</v>
      </c>
      <c r="F112" s="9">
        <v>0</v>
      </c>
      <c r="G112" s="122"/>
      <c r="H112" s="126"/>
    </row>
    <row r="113" spans="1:16" x14ac:dyDescent="0.3">
      <c r="B113" s="174" t="str">
        <f xml:space="preserve"> ( StartYear + 2 ) &amp; " Surplus Applied to " &amp; ( StartYear + 3 )</f>
        <v>2018 Surplus Applied to 2019</v>
      </c>
      <c r="C113" s="32"/>
      <c r="D113" s="123"/>
      <c r="E113" s="122"/>
      <c r="F113" s="9">
        <f>F93+F98-F104</f>
        <v>215750</v>
      </c>
      <c r="G113" s="58">
        <f>F113</f>
        <v>215750</v>
      </c>
      <c r="H113" s="126"/>
    </row>
    <row r="114" spans="1:16" x14ac:dyDescent="0.3">
      <c r="B114" s="174" t="str">
        <f xml:space="preserve"> ( StartYear + 3 ) &amp; " Surplus Applied to " &amp; ( StartYear + 2 )</f>
        <v>2019 Surplus Applied to 2018</v>
      </c>
      <c r="C114" s="32"/>
      <c r="D114" s="123"/>
      <c r="E114" s="122"/>
      <c r="F114" s="58">
        <f>G114</f>
        <v>0</v>
      </c>
      <c r="G114" s="9">
        <v>0</v>
      </c>
      <c r="H114" s="126"/>
    </row>
    <row r="115" spans="1:16" x14ac:dyDescent="0.3">
      <c r="B115" s="174" t="str">
        <f xml:space="preserve"> ( StartYear + 3 ) &amp; " Surplus Applied to " &amp; ( StartYear + 4 )</f>
        <v>2019 Surplus Applied to 2020</v>
      </c>
      <c r="C115" s="32"/>
      <c r="D115" s="123"/>
      <c r="E115" s="122"/>
      <c r="F115" s="122"/>
      <c r="G115" s="9">
        <f>G93+G98-G104</f>
        <v>324844</v>
      </c>
      <c r="H115" s="53">
        <f>G115</f>
        <v>324844</v>
      </c>
    </row>
    <row r="116" spans="1:16" x14ac:dyDescent="0.3">
      <c r="B116" s="174" t="str">
        <f xml:space="preserve"> ( StartYear + 4 ) &amp; " Surplus Applied to " &amp; ( StartYear + 3 )</f>
        <v>2020 Surplus Applied to 2019</v>
      </c>
      <c r="C116" s="32"/>
      <c r="D116" s="124"/>
      <c r="E116" s="125"/>
      <c r="F116" s="125"/>
      <c r="G116" s="54">
        <f>H116</f>
        <v>0</v>
      </c>
      <c r="H116" s="46">
        <v>0</v>
      </c>
    </row>
    <row r="117" spans="1:16" x14ac:dyDescent="0.3">
      <c r="B117" s="129" t="s">
        <v>17</v>
      </c>
      <c r="D117" s="6">
        <f>D107-D108+D110-D109</f>
        <v>30887</v>
      </c>
      <c r="E117" s="6">
        <f>E109+E112-E110-E111</f>
        <v>-47646</v>
      </c>
      <c r="F117" s="6">
        <f>F111+F114-F112-F113</f>
        <v>39394</v>
      </c>
      <c r="G117" s="6">
        <f>G113+G116-G114-G115</f>
        <v>-109094</v>
      </c>
      <c r="H117" s="6">
        <f>H115 - H116</f>
        <v>324844</v>
      </c>
    </row>
    <row r="118" spans="1:16" x14ac:dyDescent="0.3">
      <c r="B118" s="130"/>
      <c r="D118" s="6"/>
      <c r="E118" s="6"/>
      <c r="F118" s="6"/>
      <c r="G118" s="6"/>
      <c r="H118" s="6"/>
    </row>
    <row r="119" spans="1:16" x14ac:dyDescent="0.3">
      <c r="B119" s="61" t="s">
        <v>12</v>
      </c>
      <c r="C119" s="59"/>
      <c r="D119" s="82">
        <v>0</v>
      </c>
      <c r="E119" s="120">
        <v>0</v>
      </c>
      <c r="F119" s="120">
        <v>0</v>
      </c>
      <c r="G119" s="120">
        <v>0</v>
      </c>
      <c r="H119" s="83">
        <v>0</v>
      </c>
    </row>
    <row r="120" spans="1:16" x14ac:dyDescent="0.3">
      <c r="B120" s="130"/>
      <c r="D120" s="6"/>
      <c r="E120" s="6"/>
      <c r="F120" s="6"/>
      <c r="G120" s="6"/>
      <c r="H120" s="6"/>
    </row>
    <row r="121" spans="1:16" ht="18.2" x14ac:dyDescent="0.35">
      <c r="A121" s="41" t="s">
        <v>26</v>
      </c>
      <c r="B121" s="131"/>
      <c r="C121" s="59"/>
      <c r="D121" s="121">
        <f>D93+D98-D104+D117+D119</f>
        <v>238385</v>
      </c>
      <c r="E121" s="121">
        <f>E93+E98-E104+E117+E119</f>
        <v>207498</v>
      </c>
      <c r="F121" s="121">
        <f>F93+F98-F104+F117+F119</f>
        <v>255144</v>
      </c>
      <c r="G121" s="121">
        <f>G93+G98-G104+G117+G119</f>
        <v>215750</v>
      </c>
      <c r="H121" s="192">
        <f>H93+H98-H104+H117+H119</f>
        <v>671310</v>
      </c>
    </row>
    <row r="122" spans="1:16" x14ac:dyDescent="0.3">
      <c r="B122" s="130"/>
      <c r="C122" s="138" t="s">
        <v>169</v>
      </c>
      <c r="D122" s="6">
        <v>238385</v>
      </c>
      <c r="E122" s="31">
        <v>207498</v>
      </c>
      <c r="F122" s="31">
        <v>237815</v>
      </c>
      <c r="G122" s="31"/>
      <c r="H122" s="31"/>
    </row>
    <row r="123" spans="1:16" s="32" customFormat="1" x14ac:dyDescent="0.3">
      <c r="B123" s="22"/>
      <c r="M123" s="211"/>
      <c r="N123" s="211"/>
      <c r="O123" s="211"/>
      <c r="P123" s="211"/>
    </row>
    <row r="124" spans="1:16" x14ac:dyDescent="0.3">
      <c r="A124" s="32"/>
      <c r="B124" s="22"/>
      <c r="C124" s="32"/>
      <c r="D124" s="32"/>
      <c r="E124" s="32"/>
      <c r="F124" s="32"/>
      <c r="G124" s="32"/>
      <c r="H124" s="32"/>
    </row>
    <row r="125" spans="1:16" x14ac:dyDescent="0.3">
      <c r="B125" s="22"/>
      <c r="C125" s="32"/>
      <c r="D125" s="32"/>
      <c r="E125" s="32"/>
      <c r="F125" s="32"/>
      <c r="G125" s="32"/>
      <c r="H125" s="32"/>
    </row>
    <row r="126" spans="1:16" ht="21.3" x14ac:dyDescent="0.4">
      <c r="A126" s="12" t="s">
        <v>4</v>
      </c>
      <c r="B126" s="132"/>
      <c r="C126" s="42" t="str">
        <f>B6</f>
        <v>Klondike III</v>
      </c>
      <c r="D126" s="22"/>
      <c r="E126" s="22"/>
    </row>
    <row r="127" spans="1:16" x14ac:dyDescent="0.3">
      <c r="B127" s="131"/>
      <c r="D127" s="1"/>
    </row>
    <row r="128" spans="1:16" ht="18.2" x14ac:dyDescent="0.35">
      <c r="A128" s="8" t="s">
        <v>21</v>
      </c>
      <c r="B128" s="133"/>
      <c r="D128" s="2">
        <f>D51</f>
        <v>2016</v>
      </c>
      <c r="E128" s="2">
        <f>D128+1</f>
        <v>2017</v>
      </c>
      <c r="F128" s="127">
        <f>E128+1</f>
        <v>2018</v>
      </c>
      <c r="G128" s="127">
        <f>F128+1</f>
        <v>2019</v>
      </c>
      <c r="H128" s="127">
        <f>G128+1</f>
        <v>2020</v>
      </c>
    </row>
    <row r="129" spans="1:11" x14ac:dyDescent="0.3">
      <c r="B129" s="128" t="str">
        <f>"Total MWh Produced / Purchased from " &amp; C126</f>
        <v>Total MWh Produced / Purchased from Klondike III</v>
      </c>
      <c r="C129" s="59"/>
      <c r="D129" s="3">
        <v>127238</v>
      </c>
      <c r="E129" s="3">
        <v>110618</v>
      </c>
      <c r="F129" s="3">
        <v>119438</v>
      </c>
      <c r="G129" s="3">
        <v>117651</v>
      </c>
      <c r="H129" s="4">
        <v>113917</v>
      </c>
      <c r="J129" s="191">
        <v>43831</v>
      </c>
      <c r="K129" s="211">
        <v>9047</v>
      </c>
    </row>
    <row r="130" spans="1:11" x14ac:dyDescent="0.3">
      <c r="B130" s="128" t="s">
        <v>25</v>
      </c>
      <c r="C130" s="59"/>
      <c r="D130" s="141">
        <v>1</v>
      </c>
      <c r="E130" s="141">
        <v>1</v>
      </c>
      <c r="F130" s="141">
        <v>1</v>
      </c>
      <c r="G130" s="141">
        <v>1</v>
      </c>
      <c r="H130" s="142">
        <v>1</v>
      </c>
      <c r="J130" s="191">
        <v>43862</v>
      </c>
      <c r="K130" s="211">
        <v>13351</v>
      </c>
    </row>
    <row r="131" spans="1:11" x14ac:dyDescent="0.3">
      <c r="B131" s="128" t="s">
        <v>20</v>
      </c>
      <c r="C131" s="59"/>
      <c r="D131" s="47">
        <v>1</v>
      </c>
      <c r="E131" s="47">
        <v>1</v>
      </c>
      <c r="F131" s="47">
        <v>1</v>
      </c>
      <c r="G131" s="47">
        <v>1</v>
      </c>
      <c r="H131" s="48">
        <v>1</v>
      </c>
      <c r="J131" s="191">
        <v>43891</v>
      </c>
      <c r="K131" s="211">
        <v>10883</v>
      </c>
    </row>
    <row r="132" spans="1:11" x14ac:dyDescent="0.3">
      <c r="B132" s="61" t="s">
        <v>22</v>
      </c>
      <c r="C132" s="62"/>
      <c r="D132" s="140">
        <f xml:space="preserve"> D129 * D130 * D131</f>
        <v>127238</v>
      </c>
      <c r="E132" s="140">
        <f xml:space="preserve"> E129 * E130 * E131</f>
        <v>110618</v>
      </c>
      <c r="F132" s="140">
        <f xml:space="preserve"> F129 * F130 * F131</f>
        <v>119438</v>
      </c>
      <c r="G132" s="140">
        <f xml:space="preserve"> G129 * G130 * G131</f>
        <v>117651</v>
      </c>
      <c r="H132" s="140">
        <f xml:space="preserve"> H129 * H130 * H131</f>
        <v>113917</v>
      </c>
      <c r="K132" s="220">
        <f>SUM(K129:K131)</f>
        <v>33281</v>
      </c>
    </row>
    <row r="133" spans="1:11" x14ac:dyDescent="0.3">
      <c r="B133" s="22"/>
      <c r="C133" s="32"/>
      <c r="D133" s="177"/>
      <c r="E133" s="177"/>
      <c r="F133" s="177"/>
      <c r="G133" s="176"/>
      <c r="H133" s="39"/>
    </row>
    <row r="134" spans="1:11" ht="18.2" x14ac:dyDescent="0.35">
      <c r="A134" s="44" t="s">
        <v>119</v>
      </c>
      <c r="B134" s="131"/>
      <c r="C134" s="32"/>
      <c r="D134" s="2">
        <f>D128</f>
        <v>2016</v>
      </c>
      <c r="E134" s="2">
        <f>D134+1</f>
        <v>2017</v>
      </c>
      <c r="F134" s="2">
        <f>E134+1</f>
        <v>2018</v>
      </c>
      <c r="G134" s="2">
        <f>F134+1</f>
        <v>2019</v>
      </c>
      <c r="H134" s="2">
        <f>G134+1</f>
        <v>2020</v>
      </c>
    </row>
    <row r="135" spans="1:11" x14ac:dyDescent="0.3">
      <c r="B135" s="128" t="s">
        <v>10</v>
      </c>
      <c r="C135" s="59"/>
      <c r="D135" s="10">
        <f>IF( $F6 = "Eligible", D132 * 'Facility Detail'!$B$1614, 0 )</f>
        <v>0</v>
      </c>
      <c r="E135" s="118">
        <f>IF( $F6 = "Eligible", E132 * 'Facility Detail'!$B$1614, 0 )</f>
        <v>0</v>
      </c>
      <c r="F135" s="118">
        <f>IF( $F6 = "Eligible", F132 * 'Facility Detail'!$B$1614, 0 )</f>
        <v>0</v>
      </c>
      <c r="G135" s="118">
        <f>IF( $F6 = "Eligible", G132 * 'Facility Detail'!$B$1614, 0 )</f>
        <v>0</v>
      </c>
      <c r="H135" s="11">
        <f>IF( $F6 = "Eligible", H132 * 'Facility Detail'!$B$1614, 0 )</f>
        <v>0</v>
      </c>
    </row>
    <row r="136" spans="1:11" x14ac:dyDescent="0.3">
      <c r="B136" s="128" t="s">
        <v>6</v>
      </c>
      <c r="C136" s="59"/>
      <c r="D136" s="51">
        <f>IF( $G6 = "Eligible", D132, 0 )</f>
        <v>0</v>
      </c>
      <c r="E136" s="119">
        <f>IF( $G6 = "Eligible", E132, 0 )</f>
        <v>0</v>
      </c>
      <c r="F136" s="119">
        <f>IF( $G6 = "Eligible", F132, 0 )</f>
        <v>0</v>
      </c>
      <c r="G136" s="119">
        <f>IF( $G6 = "Eligible", G132, 0 )</f>
        <v>0</v>
      </c>
      <c r="H136" s="52">
        <f>IF( $G6 = "Eligible", H132, 0 )</f>
        <v>0</v>
      </c>
    </row>
    <row r="137" spans="1:11" x14ac:dyDescent="0.3">
      <c r="B137" s="61" t="s">
        <v>121</v>
      </c>
      <c r="C137" s="62"/>
      <c r="D137" s="40">
        <f>SUM(D135:D136)</f>
        <v>0</v>
      </c>
      <c r="E137" s="40">
        <f>SUM(E135:E136)</f>
        <v>0</v>
      </c>
      <c r="F137" s="40">
        <f>SUM(F135:F136)</f>
        <v>0</v>
      </c>
      <c r="G137" s="40">
        <f>SUM(G135:G136)</f>
        <v>0</v>
      </c>
      <c r="H137" s="40">
        <f>SUM(H135:H136)</f>
        <v>0</v>
      </c>
    </row>
    <row r="138" spans="1:11" x14ac:dyDescent="0.3">
      <c r="B138" s="22"/>
      <c r="C138" s="32"/>
      <c r="D138" s="178"/>
      <c r="E138" s="178"/>
      <c r="F138" s="178"/>
      <c r="G138" s="178"/>
      <c r="H138" s="33"/>
    </row>
    <row r="139" spans="1:11" ht="18.2" x14ac:dyDescent="0.35">
      <c r="A139" s="41" t="s">
        <v>30</v>
      </c>
      <c r="B139" s="131"/>
      <c r="C139" s="32"/>
      <c r="D139" s="2">
        <f>D128</f>
        <v>2016</v>
      </c>
      <c r="E139" s="2">
        <f>D139+1</f>
        <v>2017</v>
      </c>
      <c r="F139" s="2">
        <f>E139+1</f>
        <v>2018</v>
      </c>
      <c r="G139" s="2">
        <f>F139+1</f>
        <v>2019</v>
      </c>
      <c r="H139" s="2">
        <f>G139+1</f>
        <v>2020</v>
      </c>
    </row>
    <row r="140" spans="1:11" x14ac:dyDescent="0.3">
      <c r="B140" s="128" t="s">
        <v>47</v>
      </c>
      <c r="C140" s="59"/>
      <c r="D140" s="3">
        <v>62849</v>
      </c>
      <c r="E140" s="3">
        <v>57197</v>
      </c>
      <c r="F140" s="3">
        <v>57609</v>
      </c>
      <c r="G140" s="3">
        <v>24620</v>
      </c>
      <c r="H140" s="4">
        <v>0</v>
      </c>
    </row>
    <row r="141" spans="1:11" x14ac:dyDescent="0.3">
      <c r="B141" s="75" t="s">
        <v>23</v>
      </c>
      <c r="C141" s="66"/>
      <c r="D141" s="146">
        <v>0</v>
      </c>
      <c r="E141" s="146">
        <v>0</v>
      </c>
      <c r="F141" s="146">
        <v>0</v>
      </c>
      <c r="G141" s="146">
        <v>0</v>
      </c>
      <c r="H141" s="147">
        <v>0</v>
      </c>
    </row>
    <row r="142" spans="1:11" x14ac:dyDescent="0.3">
      <c r="B142" s="75" t="s">
        <v>89</v>
      </c>
      <c r="C142" s="74"/>
      <c r="D142" s="213">
        <v>0</v>
      </c>
      <c r="E142" s="148">
        <v>0</v>
      </c>
      <c r="F142" s="148">
        <v>0</v>
      </c>
      <c r="G142" s="148">
        <v>0</v>
      </c>
      <c r="H142" s="149">
        <v>0</v>
      </c>
    </row>
    <row r="143" spans="1:11" x14ac:dyDescent="0.3">
      <c r="B143" s="129" t="s">
        <v>90</v>
      </c>
      <c r="D143" s="6">
        <f>SUM(D140:D142)</f>
        <v>62849</v>
      </c>
      <c r="E143" s="6">
        <f>SUM(E140:E142)</f>
        <v>57197</v>
      </c>
      <c r="F143" s="6">
        <f>SUM(F140:F142)</f>
        <v>57609</v>
      </c>
      <c r="G143" s="6">
        <f>SUM(G140:G142)</f>
        <v>24620</v>
      </c>
      <c r="H143" s="6">
        <f>SUM(H140:H142)</f>
        <v>0</v>
      </c>
    </row>
    <row r="144" spans="1:11" x14ac:dyDescent="0.3">
      <c r="B144" s="130"/>
      <c r="D144" s="176"/>
      <c r="E144" s="176"/>
      <c r="F144" s="176"/>
      <c r="G144" s="176"/>
      <c r="H144" s="6"/>
    </row>
    <row r="145" spans="1:8" ht="18.2" x14ac:dyDescent="0.35">
      <c r="A145" s="8" t="s">
        <v>100</v>
      </c>
      <c r="B145" s="131"/>
      <c r="D145" s="2">
        <f>D128</f>
        <v>2016</v>
      </c>
      <c r="E145" s="2">
        <f>D145+1</f>
        <v>2017</v>
      </c>
      <c r="F145" s="2">
        <f>E145+1</f>
        <v>2018</v>
      </c>
      <c r="G145" s="2">
        <f>F145+1</f>
        <v>2019</v>
      </c>
      <c r="H145" s="2">
        <f>G145+1</f>
        <v>2020</v>
      </c>
    </row>
    <row r="146" spans="1:8" x14ac:dyDescent="0.3">
      <c r="B146" s="64" t="str">
        <f>(StartYear-1) &amp; " Surplus Applied to " &amp; StartYear</f>
        <v>2015 Surplus Applied to 2016</v>
      </c>
      <c r="C146" s="32"/>
      <c r="D146" s="205">
        <v>60908</v>
      </c>
      <c r="E146" s="206"/>
      <c r="F146" s="206"/>
      <c r="G146" s="206"/>
      <c r="H146" s="207"/>
    </row>
    <row r="147" spans="1:8" x14ac:dyDescent="0.3">
      <c r="B147" s="64" t="str">
        <f>StartYear &amp; " Surplus Applied to " &amp; (StartYear-1)</f>
        <v>2016 Surplus Applied to 2015</v>
      </c>
      <c r="C147" s="32"/>
      <c r="D147" s="208">
        <v>0</v>
      </c>
      <c r="E147" s="122"/>
      <c r="F147" s="122"/>
      <c r="G147" s="122"/>
      <c r="H147" s="126"/>
    </row>
    <row r="148" spans="1:8" x14ac:dyDescent="0.3">
      <c r="B148" s="64" t="str">
        <f>( StartYear) &amp; " Surplus Applied to " &amp; ( StartYear + 1 )</f>
        <v>2016 Surplus Applied to 2017</v>
      </c>
      <c r="C148" s="32"/>
      <c r="D148" s="203">
        <f>D132+D137-D143</f>
        <v>64389</v>
      </c>
      <c r="E148" s="204">
        <f>D148</f>
        <v>64389</v>
      </c>
      <c r="F148" s="199"/>
      <c r="G148" s="199"/>
      <c r="H148" s="200"/>
    </row>
    <row r="149" spans="1:8" x14ac:dyDescent="0.3">
      <c r="B149" s="64" t="str">
        <f xml:space="preserve"> ( StartYear + 1 ) &amp; " Surplus Applied to " &amp; ( StartYear )</f>
        <v>2017 Surplus Applied to 2016</v>
      </c>
      <c r="C149" s="32"/>
      <c r="D149" s="143">
        <f>E149</f>
        <v>0</v>
      </c>
      <c r="E149" s="9">
        <v>0</v>
      </c>
      <c r="F149" s="122"/>
      <c r="G149" s="122"/>
      <c r="H149" s="126"/>
    </row>
    <row r="150" spans="1:8" x14ac:dyDescent="0.3">
      <c r="B150" s="128" t="str">
        <f xml:space="preserve"> ( StartYear + 1 ) &amp; " Surplus Applied to " &amp; ( StartYear + 2 )</f>
        <v>2017 Surplus Applied to 2018</v>
      </c>
      <c r="C150" s="32"/>
      <c r="D150" s="123"/>
      <c r="E150" s="9">
        <f>E132+E137-E143</f>
        <v>53421</v>
      </c>
      <c r="F150" s="58">
        <f>E150</f>
        <v>53421</v>
      </c>
      <c r="G150" s="122"/>
      <c r="H150" s="126"/>
    </row>
    <row r="151" spans="1:8" x14ac:dyDescent="0.3">
      <c r="B151" s="128" t="str">
        <f xml:space="preserve"> ( StartYear + 2 ) &amp; " Surplus Applied to " &amp; ( StartYear + 1 )</f>
        <v>2018 Surplus Applied to 2017</v>
      </c>
      <c r="C151" s="32"/>
      <c r="D151" s="123"/>
      <c r="E151" s="58">
        <f>F151</f>
        <v>0</v>
      </c>
      <c r="F151" s="9">
        <v>0</v>
      </c>
      <c r="G151" s="122"/>
      <c r="H151" s="126"/>
    </row>
    <row r="152" spans="1:8" x14ac:dyDescent="0.3">
      <c r="B152" s="174" t="str">
        <f xml:space="preserve"> ( StartYear + 2 ) &amp; " Surplus Applied to " &amp; ( StartYear + 3 )</f>
        <v>2018 Surplus Applied to 2019</v>
      </c>
      <c r="C152" s="32"/>
      <c r="D152" s="123"/>
      <c r="E152" s="122"/>
      <c r="F152" s="9">
        <f>F132+F137-F143</f>
        <v>61829</v>
      </c>
      <c r="G152" s="58">
        <f>F152</f>
        <v>61829</v>
      </c>
      <c r="H152" s="126"/>
    </row>
    <row r="153" spans="1:8" x14ac:dyDescent="0.3">
      <c r="B153" s="174" t="str">
        <f xml:space="preserve"> ( StartYear + 3 ) &amp; " Surplus Applied to " &amp; ( StartYear + 2 )</f>
        <v>2019 Surplus Applied to 2018</v>
      </c>
      <c r="C153" s="32"/>
      <c r="D153" s="123"/>
      <c r="E153" s="122"/>
      <c r="F153" s="58">
        <f>G153</f>
        <v>0</v>
      </c>
      <c r="G153" s="9">
        <v>0</v>
      </c>
      <c r="H153" s="126"/>
    </row>
    <row r="154" spans="1:8" x14ac:dyDescent="0.3">
      <c r="B154" s="174" t="str">
        <f xml:space="preserve"> ( StartYear + 3 ) &amp; " Surplus Applied to " &amp; ( StartYear + 4 )</f>
        <v>2019 Surplus Applied to 2020</v>
      </c>
      <c r="C154" s="32"/>
      <c r="D154" s="123"/>
      <c r="E154" s="122"/>
      <c r="F154" s="122"/>
      <c r="G154" s="9">
        <f>G132+G137-G143</f>
        <v>93031</v>
      </c>
      <c r="H154" s="53">
        <f>G154</f>
        <v>93031</v>
      </c>
    </row>
    <row r="155" spans="1:8" x14ac:dyDescent="0.3">
      <c r="B155" s="174" t="str">
        <f xml:space="preserve"> ( StartYear + 4 ) &amp; " Surplus Applied to " &amp; ( StartYear + 3 )</f>
        <v>2020 Surplus Applied to 2019</v>
      </c>
      <c r="C155" s="32"/>
      <c r="D155" s="124"/>
      <c r="E155" s="125"/>
      <c r="F155" s="125"/>
      <c r="G155" s="54">
        <f>H155</f>
        <v>0</v>
      </c>
      <c r="H155" s="46">
        <v>0</v>
      </c>
    </row>
    <row r="156" spans="1:8" x14ac:dyDescent="0.3">
      <c r="B156" s="129" t="s">
        <v>17</v>
      </c>
      <c r="D156" s="6">
        <f>D146-D147+D149-D148</f>
        <v>-3481</v>
      </c>
      <c r="E156" s="6">
        <f>E148+E151-E149-E150</f>
        <v>10968</v>
      </c>
      <c r="F156" s="6">
        <f>F150+F153-F151-F152</f>
        <v>-8408</v>
      </c>
      <c r="G156" s="6">
        <f>G152+G155-G153-G154</f>
        <v>-31202</v>
      </c>
      <c r="H156" s="6">
        <f>H154 - H155</f>
        <v>93031</v>
      </c>
    </row>
    <row r="157" spans="1:8" x14ac:dyDescent="0.3">
      <c r="B157" s="130"/>
      <c r="D157" s="6"/>
      <c r="E157" s="6"/>
      <c r="F157" s="6"/>
      <c r="G157" s="6"/>
      <c r="H157" s="6"/>
    </row>
    <row r="158" spans="1:8" x14ac:dyDescent="0.3">
      <c r="B158" s="61" t="s">
        <v>12</v>
      </c>
      <c r="C158" s="59"/>
      <c r="D158" s="82">
        <v>0</v>
      </c>
      <c r="E158" s="120">
        <v>0</v>
      </c>
      <c r="F158" s="120">
        <v>0</v>
      </c>
      <c r="G158" s="120">
        <v>0</v>
      </c>
      <c r="H158" s="83">
        <v>0</v>
      </c>
    </row>
    <row r="159" spans="1:8" x14ac:dyDescent="0.3">
      <c r="B159" s="130"/>
      <c r="D159" s="6"/>
      <c r="E159" s="6"/>
      <c r="F159" s="6"/>
      <c r="G159" s="6"/>
      <c r="H159" s="6"/>
    </row>
    <row r="160" spans="1:8" ht="18.2" x14ac:dyDescent="0.35">
      <c r="A160" s="41" t="s">
        <v>26</v>
      </c>
      <c r="B160" s="131"/>
      <c r="C160" s="59"/>
      <c r="D160" s="121">
        <f>D132+D137-D143+D156+D158</f>
        <v>60908</v>
      </c>
      <c r="E160" s="121">
        <f>E132+E137-E143+E156+E158</f>
        <v>64389</v>
      </c>
      <c r="F160" s="121">
        <f>F132+F137-F143+F156+F158</f>
        <v>53421</v>
      </c>
      <c r="G160" s="121">
        <f>G132+G137-G143+G156+G158</f>
        <v>61829</v>
      </c>
      <c r="H160" s="192">
        <f>H132+H137-H143+H156+H158</f>
        <v>206948</v>
      </c>
    </row>
    <row r="161" spans="1:16" x14ac:dyDescent="0.3">
      <c r="B161" s="130"/>
      <c r="C161" s="138" t="s">
        <v>169</v>
      </c>
      <c r="D161" s="6">
        <v>32714</v>
      </c>
      <c r="E161" s="31">
        <v>64389</v>
      </c>
      <c r="F161" s="31">
        <v>53421</v>
      </c>
      <c r="G161" s="31"/>
      <c r="H161" s="31"/>
    </row>
    <row r="162" spans="1:16" x14ac:dyDescent="0.3">
      <c r="B162" s="131"/>
      <c r="D162" s="1"/>
    </row>
    <row r="163" spans="1:16" x14ac:dyDescent="0.3">
      <c r="B163" s="22"/>
      <c r="C163" s="32"/>
      <c r="D163" s="32"/>
      <c r="E163" s="32"/>
      <c r="F163" s="32"/>
      <c r="G163" s="32"/>
      <c r="H163" s="32"/>
    </row>
    <row r="164" spans="1:16" ht="21.3" x14ac:dyDescent="0.4">
      <c r="A164" s="12" t="s">
        <v>4</v>
      </c>
      <c r="B164" s="132"/>
      <c r="C164" s="42" t="str">
        <f>B7</f>
        <v>Wild Horse Phase II</v>
      </c>
      <c r="D164" s="22"/>
      <c r="E164" s="22"/>
    </row>
    <row r="165" spans="1:16" x14ac:dyDescent="0.3">
      <c r="B165" s="131"/>
      <c r="D165" s="1"/>
    </row>
    <row r="166" spans="1:16" ht="18.2" x14ac:dyDescent="0.35">
      <c r="A166" s="8" t="s">
        <v>21</v>
      </c>
      <c r="B166" s="133"/>
      <c r="D166" s="2">
        <f>D51</f>
        <v>2016</v>
      </c>
      <c r="E166" s="2">
        <f>D166+1</f>
        <v>2017</v>
      </c>
      <c r="F166" s="127">
        <f>E166+1</f>
        <v>2018</v>
      </c>
      <c r="G166" s="127">
        <f>F166+1</f>
        <v>2019</v>
      </c>
      <c r="H166" s="127">
        <f>G166+1</f>
        <v>2020</v>
      </c>
    </row>
    <row r="167" spans="1:16" x14ac:dyDescent="0.3">
      <c r="B167" s="128" t="str">
        <f>"Total MWh Produced / Purchased from " &amp; C164</f>
        <v>Total MWh Produced / Purchased from Wild Horse Phase II</v>
      </c>
      <c r="C167" s="59"/>
      <c r="D167" s="3">
        <v>108686</v>
      </c>
      <c r="E167" s="3">
        <v>99368</v>
      </c>
      <c r="F167" s="3">
        <v>103462</v>
      </c>
      <c r="G167" s="3">
        <v>99359</v>
      </c>
      <c r="H167" s="4">
        <v>90930</v>
      </c>
      <c r="J167" s="191">
        <v>43831</v>
      </c>
      <c r="K167" s="211">
        <f>134225/2</f>
        <v>67112.5</v>
      </c>
    </row>
    <row r="168" spans="1:16" x14ac:dyDescent="0.3">
      <c r="B168" s="128" t="s">
        <v>25</v>
      </c>
      <c r="C168" s="59"/>
      <c r="D168" s="141">
        <v>1</v>
      </c>
      <c r="E168" s="141">
        <v>1</v>
      </c>
      <c r="F168" s="141">
        <v>1</v>
      </c>
      <c r="G168" s="141">
        <v>1</v>
      </c>
      <c r="H168" s="142">
        <v>1</v>
      </c>
      <c r="J168" s="191">
        <v>43862</v>
      </c>
      <c r="K168" s="211">
        <v>77455</v>
      </c>
    </row>
    <row r="169" spans="1:16" x14ac:dyDescent="0.3">
      <c r="B169" s="128" t="s">
        <v>20</v>
      </c>
      <c r="C169" s="59"/>
      <c r="D169" s="47">
        <v>1</v>
      </c>
      <c r="E169" s="47">
        <v>1</v>
      </c>
      <c r="F169" s="47">
        <v>1</v>
      </c>
      <c r="G169" s="47">
        <v>1</v>
      </c>
      <c r="H169" s="48">
        <v>1</v>
      </c>
      <c r="J169" s="191">
        <v>43891</v>
      </c>
      <c r="K169" s="211">
        <v>74679</v>
      </c>
    </row>
    <row r="170" spans="1:16" x14ac:dyDescent="0.3">
      <c r="B170" s="61" t="s">
        <v>22</v>
      </c>
      <c r="C170" s="62"/>
      <c r="D170" s="140">
        <f xml:space="preserve"> D167 * D168 * D169</f>
        <v>108686</v>
      </c>
      <c r="E170" s="140">
        <f xml:space="preserve"> E167 * E168 * E169</f>
        <v>99368</v>
      </c>
      <c r="F170" s="140">
        <f xml:space="preserve"> F167 * F168 * F169</f>
        <v>103462</v>
      </c>
      <c r="G170" s="140">
        <f xml:space="preserve"> G167 * G168 * G169</f>
        <v>99359</v>
      </c>
      <c r="H170" s="140">
        <f xml:space="preserve"> H167 * H168 * H169</f>
        <v>90930</v>
      </c>
      <c r="K170" s="220">
        <f>SUM(K167:K169)</f>
        <v>219246.5</v>
      </c>
      <c r="M170" s="219"/>
      <c r="N170" s="219"/>
      <c r="O170" s="219"/>
      <c r="P170" s="219"/>
    </row>
    <row r="171" spans="1:16" x14ac:dyDescent="0.3">
      <c r="B171" s="22"/>
      <c r="C171" s="32"/>
      <c r="D171" s="177"/>
      <c r="E171" s="177"/>
      <c r="F171" s="177"/>
      <c r="G171" s="176"/>
      <c r="H171" s="39"/>
      <c r="K171" s="241">
        <v>0.1925</v>
      </c>
    </row>
    <row r="172" spans="1:16" ht="18.2" x14ac:dyDescent="0.35">
      <c r="A172" s="44" t="s">
        <v>119</v>
      </c>
      <c r="B172" s="131"/>
      <c r="C172" s="32"/>
      <c r="D172" s="2">
        <f>D166</f>
        <v>2016</v>
      </c>
      <c r="E172" s="2">
        <f>D172+1</f>
        <v>2017</v>
      </c>
      <c r="F172" s="2">
        <f>E172+1</f>
        <v>2018</v>
      </c>
      <c r="G172" s="2">
        <f>F172+1</f>
        <v>2019</v>
      </c>
      <c r="H172" s="2">
        <f>G172+1</f>
        <v>2020</v>
      </c>
      <c r="K172" s="220">
        <f>K170*K171</f>
        <v>42204.951249999998</v>
      </c>
    </row>
    <row r="173" spans="1:16" x14ac:dyDescent="0.3">
      <c r="B173" s="128" t="s">
        <v>10</v>
      </c>
      <c r="C173" s="59"/>
      <c r="D173" s="10">
        <f>IF( $F7 = "Eligible",D170 * 'Facility Detail'!$B$1614, 0 )</f>
        <v>21737.200000000001</v>
      </c>
      <c r="E173" s="118">
        <f>IF( $F7 = "Eligible",E170 * 'Facility Detail'!$B$1614, 0 )</f>
        <v>19873.600000000002</v>
      </c>
      <c r="F173" s="118">
        <f>IF( $F7 = "Eligible",F170 * 'Facility Detail'!$B$1614, 0 )</f>
        <v>20692.400000000001</v>
      </c>
      <c r="G173" s="118">
        <f>IF( $F7 = "Eligible",G170 * 'Facility Detail'!$B$1614, 0 )</f>
        <v>19871.800000000003</v>
      </c>
      <c r="H173" s="11">
        <f>IF( $F7 = "Eligible",H170 * 'Facility Detail'!$B$1614, 0 )</f>
        <v>18186</v>
      </c>
    </row>
    <row r="174" spans="1:16" x14ac:dyDescent="0.3">
      <c r="B174" s="128" t="s">
        <v>6</v>
      </c>
      <c r="C174" s="59"/>
      <c r="D174" s="51">
        <f>IF( $G7 = "Eligible", D170, 0 )</f>
        <v>0</v>
      </c>
      <c r="E174" s="119">
        <f>IF( $G7 = "Eligible", E170, 0 )</f>
        <v>0</v>
      </c>
      <c r="F174" s="119">
        <f>IF( $G7 = "Eligible", F170, 0 )</f>
        <v>0</v>
      </c>
      <c r="G174" s="119">
        <f>IF( $G7 = "Eligible", G170, 0 )</f>
        <v>0</v>
      </c>
      <c r="H174" s="52">
        <f>IF( $G7 = "Eligible", H170, 0 )</f>
        <v>0</v>
      </c>
    </row>
    <row r="175" spans="1:16" x14ac:dyDescent="0.3">
      <c r="B175" s="61" t="s">
        <v>121</v>
      </c>
      <c r="C175" s="62"/>
      <c r="D175" s="40">
        <f>SUM(D173:D174)</f>
        <v>21737.200000000001</v>
      </c>
      <c r="E175" s="40">
        <f>SUM(E173:E174)</f>
        <v>19873.600000000002</v>
      </c>
      <c r="F175" s="40">
        <f>SUM(F173:F174)</f>
        <v>20692.400000000001</v>
      </c>
      <c r="G175" s="40">
        <f>SUM(G173:G174)</f>
        <v>19871.800000000003</v>
      </c>
      <c r="H175" s="40">
        <f>SUM(H173:H174)</f>
        <v>18186</v>
      </c>
    </row>
    <row r="176" spans="1:16" x14ac:dyDescent="0.3">
      <c r="B176" s="22"/>
      <c r="C176" s="32"/>
      <c r="D176" s="178"/>
      <c r="E176" s="178"/>
      <c r="F176" s="178"/>
      <c r="G176" s="178"/>
      <c r="H176" s="33"/>
    </row>
    <row r="177" spans="1:8" ht="18.2" x14ac:dyDescent="0.35">
      <c r="A177" s="41" t="s">
        <v>30</v>
      </c>
      <c r="B177" s="131"/>
      <c r="C177" s="32"/>
      <c r="D177" s="2">
        <f>D166</f>
        <v>2016</v>
      </c>
      <c r="E177" s="2">
        <f>D177+1</f>
        <v>2017</v>
      </c>
      <c r="F177" s="2">
        <f>E177+1</f>
        <v>2018</v>
      </c>
      <c r="G177" s="2">
        <f>F177+1</f>
        <v>2019</v>
      </c>
      <c r="H177" s="2">
        <f>G177+1</f>
        <v>2020</v>
      </c>
    </row>
    <row r="178" spans="1:8" x14ac:dyDescent="0.3">
      <c r="B178" s="128" t="s">
        <v>47</v>
      </c>
      <c r="C178" s="59"/>
      <c r="D178" s="3">
        <v>0</v>
      </c>
      <c r="E178" s="3">
        <v>0</v>
      </c>
      <c r="F178" s="3">
        <v>0</v>
      </c>
      <c r="G178" s="3">
        <v>0</v>
      </c>
      <c r="H178" s="4">
        <v>0</v>
      </c>
    </row>
    <row r="179" spans="1:8" x14ac:dyDescent="0.3">
      <c r="B179" s="75" t="s">
        <v>23</v>
      </c>
      <c r="C179" s="66"/>
      <c r="D179" s="146">
        <v>0</v>
      </c>
      <c r="E179" s="146">
        <v>0</v>
      </c>
      <c r="F179" s="146">
        <v>0</v>
      </c>
      <c r="G179" s="146">
        <v>0</v>
      </c>
      <c r="H179" s="147">
        <v>0</v>
      </c>
    </row>
    <row r="180" spans="1:8" x14ac:dyDescent="0.3">
      <c r="B180" s="75" t="s">
        <v>89</v>
      </c>
      <c r="C180" s="74"/>
      <c r="D180" s="213">
        <v>0</v>
      </c>
      <c r="E180" s="148">
        <v>0</v>
      </c>
      <c r="F180" s="148">
        <v>0</v>
      </c>
      <c r="G180" s="148">
        <v>0</v>
      </c>
      <c r="H180" s="149">
        <v>0</v>
      </c>
    </row>
    <row r="181" spans="1:8" x14ac:dyDescent="0.3">
      <c r="B181" s="129" t="s">
        <v>90</v>
      </c>
      <c r="D181" s="6">
        <f>SUM(D178:D180)</f>
        <v>0</v>
      </c>
      <c r="E181" s="6">
        <f>SUM(E178:E180)</f>
        <v>0</v>
      </c>
      <c r="F181" s="6">
        <f>SUM(F178:F180)</f>
        <v>0</v>
      </c>
      <c r="G181" s="6">
        <f>SUM(G178:G180)</f>
        <v>0</v>
      </c>
      <c r="H181" s="6">
        <f>SUM(H178:H180)</f>
        <v>0</v>
      </c>
    </row>
    <row r="182" spans="1:8" x14ac:dyDescent="0.3">
      <c r="B182" s="130"/>
      <c r="D182" s="176"/>
      <c r="E182" s="176"/>
      <c r="F182" s="176"/>
      <c r="G182" s="176"/>
      <c r="H182" s="6"/>
    </row>
    <row r="183" spans="1:8" ht="18.2" x14ac:dyDescent="0.35">
      <c r="A183" s="8" t="s">
        <v>100</v>
      </c>
      <c r="B183" s="131"/>
      <c r="D183" s="2">
        <f>D166</f>
        <v>2016</v>
      </c>
      <c r="E183" s="2">
        <f>D183+1</f>
        <v>2017</v>
      </c>
      <c r="F183" s="2">
        <f>E183+1</f>
        <v>2018</v>
      </c>
      <c r="G183" s="2">
        <f>F183+1</f>
        <v>2019</v>
      </c>
      <c r="H183" s="2">
        <f>G183+1</f>
        <v>2020</v>
      </c>
    </row>
    <row r="184" spans="1:8" x14ac:dyDescent="0.3">
      <c r="B184" s="64" t="str">
        <f>(StartYear-1) &amp; " Surplus Applied to " &amp; StartYear</f>
        <v>2015 Surplus Applied to 2016</v>
      </c>
      <c r="C184" s="32"/>
      <c r="D184" s="205">
        <v>106431.6</v>
      </c>
      <c r="E184" s="206"/>
      <c r="F184" s="206"/>
      <c r="G184" s="206"/>
      <c r="H184" s="207"/>
    </row>
    <row r="185" spans="1:8" x14ac:dyDescent="0.3">
      <c r="B185" s="64" t="str">
        <f>StartYear &amp; " Surplus Applied to " &amp; (StartYear-1)</f>
        <v>2016 Surplus Applied to 2015</v>
      </c>
      <c r="C185" s="32"/>
      <c r="D185" s="208">
        <v>0</v>
      </c>
      <c r="E185" s="122"/>
      <c r="F185" s="122"/>
      <c r="G185" s="122"/>
      <c r="H185" s="126"/>
    </row>
    <row r="186" spans="1:8" x14ac:dyDescent="0.3">
      <c r="B186" s="64" t="str">
        <f>( StartYear) &amp; " Surplus Applied to " &amp; ( StartYear + 1 )</f>
        <v>2016 Surplus Applied to 2017</v>
      </c>
      <c r="C186" s="32"/>
      <c r="D186" s="203">
        <f>D170+D175-D181</f>
        <v>130423.2</v>
      </c>
      <c r="E186" s="204">
        <f>D186</f>
        <v>130423.2</v>
      </c>
      <c r="F186" s="199"/>
      <c r="G186" s="199"/>
      <c r="H186" s="200"/>
    </row>
    <row r="187" spans="1:8" x14ac:dyDescent="0.3">
      <c r="B187" s="64" t="str">
        <f xml:space="preserve"> ( StartYear + 1 ) &amp; " Surplus Applied to " &amp; ( StartYear )</f>
        <v>2017 Surplus Applied to 2016</v>
      </c>
      <c r="C187" s="32"/>
      <c r="D187" s="143">
        <v>0</v>
      </c>
      <c r="E187" s="9">
        <v>0</v>
      </c>
      <c r="F187" s="122"/>
      <c r="G187" s="122"/>
      <c r="H187" s="126"/>
    </row>
    <row r="188" spans="1:8" x14ac:dyDescent="0.3">
      <c r="B188" s="128" t="str">
        <f xml:space="preserve"> ( StartYear + 1 ) &amp; " Surplus Applied to " &amp; ( StartYear + 2 )</f>
        <v>2017 Surplus Applied to 2018</v>
      </c>
      <c r="C188" s="32"/>
      <c r="D188" s="123"/>
      <c r="E188" s="9">
        <f>E170+E175-E181</f>
        <v>119241.60000000001</v>
      </c>
      <c r="F188" s="58">
        <f>E188</f>
        <v>119241.60000000001</v>
      </c>
      <c r="G188" s="122"/>
      <c r="H188" s="126"/>
    </row>
    <row r="189" spans="1:8" x14ac:dyDescent="0.3">
      <c r="B189" s="128" t="str">
        <f xml:space="preserve"> ( StartYear + 2 ) &amp; " Surplus Applied to " &amp; ( StartYear + 1 )</f>
        <v>2018 Surplus Applied to 2017</v>
      </c>
      <c r="C189" s="32"/>
      <c r="D189" s="123"/>
      <c r="E189" s="58">
        <v>0</v>
      </c>
      <c r="F189" s="9">
        <v>0</v>
      </c>
      <c r="G189" s="122"/>
      <c r="H189" s="126"/>
    </row>
    <row r="190" spans="1:8" x14ac:dyDescent="0.3">
      <c r="B190" s="174" t="str">
        <f xml:space="preserve"> ( StartYear + 2 ) &amp; " Surplus Applied to " &amp; ( StartYear + 3 )</f>
        <v>2018 Surplus Applied to 2019</v>
      </c>
      <c r="C190" s="32"/>
      <c r="D190" s="123"/>
      <c r="E190" s="122"/>
      <c r="F190" s="9">
        <f>F170+F175-F181</f>
        <v>124154.4</v>
      </c>
      <c r="G190" s="58">
        <f>F190</f>
        <v>124154.4</v>
      </c>
      <c r="H190" s="126"/>
    </row>
    <row r="191" spans="1:8" x14ac:dyDescent="0.3">
      <c r="B191" s="174" t="str">
        <f xml:space="preserve"> ( StartYear + 3 ) &amp; " Surplus Applied to " &amp; ( StartYear + 2 )</f>
        <v>2019 Surplus Applied to 2018</v>
      </c>
      <c r="C191" s="32"/>
      <c r="D191" s="123"/>
      <c r="E191" s="122"/>
      <c r="F191" s="58">
        <v>0</v>
      </c>
      <c r="G191" s="9"/>
      <c r="H191" s="126"/>
    </row>
    <row r="192" spans="1:8" x14ac:dyDescent="0.3">
      <c r="B192" s="174" t="str">
        <f xml:space="preserve"> ( StartYear + 3 ) &amp; " Surplus Applied to " &amp; ( StartYear + 4 )</f>
        <v>2019 Surplus Applied to 2020</v>
      </c>
      <c r="C192" s="32"/>
      <c r="D192" s="123"/>
      <c r="E192" s="122"/>
      <c r="F192" s="122"/>
      <c r="G192" s="9">
        <f>G170+G175-G181</f>
        <v>119230.8</v>
      </c>
      <c r="H192" s="53">
        <f>G192</f>
        <v>119230.8</v>
      </c>
    </row>
    <row r="193" spans="1:16" x14ac:dyDescent="0.3">
      <c r="B193" s="174" t="str">
        <f xml:space="preserve"> ( StartYear + 4 ) &amp; " Surplus Applied to " &amp; ( StartYear + 3 )</f>
        <v>2020 Surplus Applied to 2019</v>
      </c>
      <c r="C193" s="32"/>
      <c r="D193" s="124"/>
      <c r="E193" s="125"/>
      <c r="F193" s="125"/>
      <c r="G193" s="54">
        <v>0</v>
      </c>
      <c r="H193" s="46">
        <v>0</v>
      </c>
    </row>
    <row r="194" spans="1:16" x14ac:dyDescent="0.3">
      <c r="B194" s="129" t="s">
        <v>17</v>
      </c>
      <c r="D194" s="6">
        <f>D184-D185+D187-D186</f>
        <v>-23991.599999999991</v>
      </c>
      <c r="E194" s="6">
        <f>E186+E189-E187-E188</f>
        <v>11181.599999999991</v>
      </c>
      <c r="F194" s="6">
        <f>F188+F191-F189-F190</f>
        <v>-4912.7999999999884</v>
      </c>
      <c r="G194" s="6">
        <f>G190+G193-G191-G192</f>
        <v>4923.5999999999913</v>
      </c>
      <c r="H194" s="6">
        <f>H192 - H193</f>
        <v>119230.8</v>
      </c>
    </row>
    <row r="195" spans="1:16" x14ac:dyDescent="0.3">
      <c r="B195" s="130"/>
      <c r="D195" s="6"/>
      <c r="E195" s="6"/>
      <c r="F195" s="6"/>
      <c r="G195" s="6"/>
      <c r="H195" s="6"/>
    </row>
    <row r="196" spans="1:16" x14ac:dyDescent="0.3">
      <c r="B196" s="61" t="s">
        <v>12</v>
      </c>
      <c r="C196" s="59"/>
      <c r="D196" s="82">
        <v>0</v>
      </c>
      <c r="E196" s="120">
        <v>0</v>
      </c>
      <c r="F196" s="120">
        <v>0</v>
      </c>
      <c r="G196" s="120">
        <v>0</v>
      </c>
      <c r="H196" s="83">
        <v>0</v>
      </c>
    </row>
    <row r="197" spans="1:16" x14ac:dyDescent="0.3">
      <c r="B197" s="130"/>
      <c r="D197" s="6"/>
      <c r="E197" s="6"/>
      <c r="F197" s="6"/>
      <c r="G197" s="6"/>
      <c r="H197" s="6"/>
    </row>
    <row r="198" spans="1:16" ht="18.2" x14ac:dyDescent="0.35">
      <c r="A198" s="41" t="s">
        <v>26</v>
      </c>
      <c r="B198" s="131"/>
      <c r="C198" s="59"/>
      <c r="D198" s="121">
        <f>D170+D175-D181+D194+D196</f>
        <v>106431.6</v>
      </c>
      <c r="E198" s="121">
        <f>E170+E175-E181+E194+E196</f>
        <v>130423.2</v>
      </c>
      <c r="F198" s="121">
        <f>F170+F175-F181+F194+F196</f>
        <v>119241.60000000001</v>
      </c>
      <c r="G198" s="121">
        <f>G170+G175-G181+G194+G196</f>
        <v>124154.4</v>
      </c>
      <c r="H198" s="192">
        <f>H170+H175-H181+H194+H196</f>
        <v>228346.8</v>
      </c>
    </row>
    <row r="199" spans="1:16" x14ac:dyDescent="0.3">
      <c r="B199" s="130"/>
      <c r="C199" s="138" t="s">
        <v>169</v>
      </c>
      <c r="D199" s="6">
        <v>88693</v>
      </c>
      <c r="E199" s="31">
        <v>108686</v>
      </c>
      <c r="F199" s="31">
        <v>99368</v>
      </c>
      <c r="G199" s="31"/>
      <c r="H199" s="31"/>
    </row>
    <row r="200" spans="1:16" s="32" customFormat="1" x14ac:dyDescent="0.3">
      <c r="B200" s="22"/>
      <c r="M200" s="211"/>
      <c r="N200" s="211"/>
      <c r="O200" s="211"/>
      <c r="P200" s="211"/>
    </row>
    <row r="201" spans="1:16" x14ac:dyDescent="0.3">
      <c r="A201" s="32"/>
      <c r="B201" s="22"/>
      <c r="C201" s="32"/>
      <c r="D201" s="32"/>
      <c r="E201" s="32"/>
      <c r="F201" s="32"/>
      <c r="G201" s="32"/>
      <c r="H201" s="32"/>
    </row>
    <row r="202" spans="1:16" x14ac:dyDescent="0.3">
      <c r="B202" s="22"/>
      <c r="C202" s="32"/>
      <c r="D202" s="32"/>
      <c r="E202" s="32"/>
      <c r="F202" s="32"/>
      <c r="G202" s="32"/>
      <c r="H202" s="32"/>
    </row>
    <row r="203" spans="1:16" ht="21.3" x14ac:dyDescent="0.4">
      <c r="A203" s="12" t="s">
        <v>4</v>
      </c>
      <c r="B203" s="132"/>
      <c r="C203" s="42" t="str">
        <f>B8</f>
        <v>Hopkins Ridge Phase II</v>
      </c>
      <c r="D203" s="22"/>
      <c r="E203" s="22"/>
    </row>
    <row r="204" spans="1:16" x14ac:dyDescent="0.3">
      <c r="B204" s="131"/>
      <c r="D204" s="1"/>
    </row>
    <row r="205" spans="1:16" ht="18.2" x14ac:dyDescent="0.35">
      <c r="A205" s="8" t="s">
        <v>21</v>
      </c>
      <c r="B205" s="133"/>
      <c r="D205" s="2">
        <f>D51</f>
        <v>2016</v>
      </c>
      <c r="E205" s="2">
        <f>D205+1</f>
        <v>2017</v>
      </c>
      <c r="F205" s="127">
        <f>E205+1</f>
        <v>2018</v>
      </c>
      <c r="G205" s="127">
        <f>F205+1</f>
        <v>2019</v>
      </c>
      <c r="H205" s="127">
        <f>G205+1</f>
        <v>2020</v>
      </c>
    </row>
    <row r="206" spans="1:16" x14ac:dyDescent="0.3">
      <c r="B206" s="128" t="str">
        <f>"Total MWh Produced / Purchased from " &amp; C203</f>
        <v>Total MWh Produced / Purchased from Hopkins Ridge Phase II</v>
      </c>
      <c r="C206" s="59"/>
      <c r="D206" s="3">
        <v>19184</v>
      </c>
      <c r="E206" s="3">
        <v>15881</v>
      </c>
      <c r="F206" s="3">
        <v>18893</v>
      </c>
      <c r="G206" s="3">
        <v>15655</v>
      </c>
      <c r="H206" s="4">
        <v>17545</v>
      </c>
      <c r="J206" s="191">
        <v>43831</v>
      </c>
      <c r="K206" s="211">
        <f>122982/2</f>
        <v>61491</v>
      </c>
    </row>
    <row r="207" spans="1:16" x14ac:dyDescent="0.3">
      <c r="B207" s="128" t="s">
        <v>25</v>
      </c>
      <c r="C207" s="59"/>
      <c r="D207" s="141">
        <v>1</v>
      </c>
      <c r="E207" s="141">
        <v>1</v>
      </c>
      <c r="F207" s="141">
        <v>1</v>
      </c>
      <c r="G207" s="141">
        <v>1</v>
      </c>
      <c r="H207" s="142">
        <v>1</v>
      </c>
      <c r="J207" s="191">
        <v>43862</v>
      </c>
      <c r="K207" s="211">
        <v>52900</v>
      </c>
    </row>
    <row r="208" spans="1:16" x14ac:dyDescent="0.3">
      <c r="B208" s="128" t="s">
        <v>20</v>
      </c>
      <c r="C208" s="59"/>
      <c r="D208" s="47">
        <v>1</v>
      </c>
      <c r="E208" s="47">
        <v>1</v>
      </c>
      <c r="F208" s="47">
        <v>1</v>
      </c>
      <c r="G208" s="47">
        <v>1</v>
      </c>
      <c r="H208" s="48">
        <v>1</v>
      </c>
      <c r="J208" s="191">
        <v>43891</v>
      </c>
      <c r="K208" s="211">
        <v>44362</v>
      </c>
    </row>
    <row r="209" spans="1:16" x14ac:dyDescent="0.3">
      <c r="B209" s="61" t="s">
        <v>22</v>
      </c>
      <c r="C209" s="62"/>
      <c r="D209" s="140">
        <f xml:space="preserve"> D206 * D207 * D208</f>
        <v>19184</v>
      </c>
      <c r="E209" s="140">
        <f xml:space="preserve"> E206 * E207 * E208</f>
        <v>15881</v>
      </c>
      <c r="F209" s="140">
        <f xml:space="preserve"> F206 * F207 * F208</f>
        <v>18893</v>
      </c>
      <c r="G209" s="140">
        <f xml:space="preserve"> G206 * G207 * G208</f>
        <v>15655</v>
      </c>
      <c r="H209" s="140">
        <f xml:space="preserve"> H206 * H207 * H208</f>
        <v>17545</v>
      </c>
      <c r="K209" s="220">
        <f>SUM(K206:K208)</f>
        <v>158753</v>
      </c>
      <c r="M209" s="219"/>
      <c r="N209" s="219"/>
      <c r="O209" s="219"/>
      <c r="P209" s="219"/>
    </row>
    <row r="210" spans="1:16" x14ac:dyDescent="0.3">
      <c r="B210" s="22"/>
      <c r="C210" s="32"/>
      <c r="D210" s="177"/>
      <c r="E210" s="177"/>
      <c r="F210" s="177"/>
      <c r="G210" s="176"/>
      <c r="H210" s="39"/>
      <c r="K210" s="241">
        <v>4.82E-2</v>
      </c>
    </row>
    <row r="211" spans="1:16" ht="18.2" x14ac:dyDescent="0.35">
      <c r="A211" s="44" t="s">
        <v>119</v>
      </c>
      <c r="B211" s="131"/>
      <c r="C211" s="32"/>
      <c r="D211" s="2">
        <f>D205</f>
        <v>2016</v>
      </c>
      <c r="E211" s="2">
        <f>D211+1</f>
        <v>2017</v>
      </c>
      <c r="F211" s="2">
        <f>E211+1</f>
        <v>2018</v>
      </c>
      <c r="G211" s="2">
        <f>F211+1</f>
        <v>2019</v>
      </c>
      <c r="H211" s="2">
        <f>G211+1</f>
        <v>2020</v>
      </c>
      <c r="K211" s="220">
        <f>K209*K210</f>
        <v>7651.8945999999996</v>
      </c>
    </row>
    <row r="212" spans="1:16" x14ac:dyDescent="0.3">
      <c r="B212" s="128" t="s">
        <v>10</v>
      </c>
      <c r="C212" s="59"/>
      <c r="D212" s="10">
        <f>IF( $F8 = "Eligible", D209 * 'Facility Detail'!$B$1614, 0 )</f>
        <v>0</v>
      </c>
      <c r="E212" s="118">
        <f>IF( $F8 = "Eligible", E209 * 'Facility Detail'!$B$1614, 0 )</f>
        <v>0</v>
      </c>
      <c r="F212" s="118">
        <f>IF( $F8 = "Eligible", F209 * 'Facility Detail'!$B$1614, 0 )</f>
        <v>0</v>
      </c>
      <c r="G212" s="118">
        <f>IF( $F8 = "Eligible", G209 * 'Facility Detail'!$B$1614, 0 )</f>
        <v>0</v>
      </c>
      <c r="H212" s="11">
        <f>IF( $F8 = "Eligible", H209 * 'Facility Detail'!$B$1614, 0 )</f>
        <v>0</v>
      </c>
    </row>
    <row r="213" spans="1:16" x14ac:dyDescent="0.3">
      <c r="B213" s="128" t="s">
        <v>6</v>
      </c>
      <c r="C213" s="59"/>
      <c r="D213" s="51">
        <f>IF( $G8 = "Eligible", D209, 0 )</f>
        <v>0</v>
      </c>
      <c r="E213" s="119">
        <f>IF( $G8 = "Eligible", E209, 0 )</f>
        <v>0</v>
      </c>
      <c r="F213" s="119">
        <f>IF( $G8 = "Eligible", F209, 0 )</f>
        <v>0</v>
      </c>
      <c r="G213" s="119">
        <f>IF( $G8 = "Eligible", G209, 0 )</f>
        <v>0</v>
      </c>
      <c r="H213" s="52">
        <f>IF( $G8 = "Eligible", H209, 0 )</f>
        <v>0</v>
      </c>
    </row>
    <row r="214" spans="1:16" x14ac:dyDescent="0.3">
      <c r="B214" s="61" t="s">
        <v>121</v>
      </c>
      <c r="C214" s="62"/>
      <c r="D214" s="40">
        <f>SUM(D212:D213)</f>
        <v>0</v>
      </c>
      <c r="E214" s="40">
        <f>SUM(E212:E213)</f>
        <v>0</v>
      </c>
      <c r="F214" s="40">
        <f>SUM(F212:F213)</f>
        <v>0</v>
      </c>
      <c r="G214" s="40">
        <f>SUM(G212:G213)</f>
        <v>0</v>
      </c>
      <c r="H214" s="40">
        <f>SUM(H212:H213)</f>
        <v>0</v>
      </c>
    </row>
    <row r="215" spans="1:16" x14ac:dyDescent="0.3">
      <c r="B215" s="22"/>
      <c r="C215" s="32"/>
      <c r="D215" s="178"/>
      <c r="E215" s="178"/>
      <c r="F215" s="178"/>
      <c r="G215" s="178"/>
      <c r="H215" s="33"/>
    </row>
    <row r="216" spans="1:16" ht="18.2" x14ac:dyDescent="0.35">
      <c r="A216" s="41" t="s">
        <v>30</v>
      </c>
      <c r="B216" s="131"/>
      <c r="C216" s="32"/>
      <c r="D216" s="2">
        <f>D205</f>
        <v>2016</v>
      </c>
      <c r="E216" s="2">
        <f>D216+1</f>
        <v>2017</v>
      </c>
      <c r="F216" s="2">
        <f>E216+1</f>
        <v>2018</v>
      </c>
      <c r="G216" s="2">
        <f>F216+1</f>
        <v>2019</v>
      </c>
      <c r="H216" s="2">
        <f>G216+1</f>
        <v>2020</v>
      </c>
    </row>
    <row r="217" spans="1:16" x14ac:dyDescent="0.3">
      <c r="B217" s="128" t="s">
        <v>47</v>
      </c>
      <c r="C217" s="59"/>
      <c r="D217" s="3">
        <v>9184</v>
      </c>
      <c r="E217" s="3">
        <v>0</v>
      </c>
      <c r="F217" s="3">
        <v>10171</v>
      </c>
      <c r="G217" s="3">
        <v>0</v>
      </c>
      <c r="H217" s="4">
        <v>0</v>
      </c>
    </row>
    <row r="218" spans="1:16" x14ac:dyDescent="0.3">
      <c r="B218" s="75" t="s">
        <v>23</v>
      </c>
      <c r="C218" s="66"/>
      <c r="D218" s="146">
        <v>0</v>
      </c>
      <c r="E218" s="146">
        <v>0</v>
      </c>
      <c r="F218" s="146">
        <v>0</v>
      </c>
      <c r="G218" s="146">
        <v>0</v>
      </c>
      <c r="H218" s="147">
        <v>0</v>
      </c>
    </row>
    <row r="219" spans="1:16" x14ac:dyDescent="0.3">
      <c r="B219" s="75" t="s">
        <v>89</v>
      </c>
      <c r="C219" s="74"/>
      <c r="D219" s="213">
        <v>0</v>
      </c>
      <c r="E219" s="148">
        <v>0</v>
      </c>
      <c r="F219" s="148">
        <v>0</v>
      </c>
      <c r="G219" s="148">
        <v>0</v>
      </c>
      <c r="H219" s="149">
        <v>0</v>
      </c>
    </row>
    <row r="220" spans="1:16" x14ac:dyDescent="0.3">
      <c r="B220" s="129" t="s">
        <v>90</v>
      </c>
      <c r="D220" s="6">
        <f>SUM(D217:D219)</f>
        <v>9184</v>
      </c>
      <c r="E220" s="6">
        <f>SUM(E217:E219)</f>
        <v>0</v>
      </c>
      <c r="F220" s="6">
        <f>SUM(F217:F219)</f>
        <v>10171</v>
      </c>
      <c r="G220" s="6">
        <f>SUM(G217:G219)</f>
        <v>0</v>
      </c>
      <c r="H220" s="6">
        <f>SUM(H217:H219)</f>
        <v>0</v>
      </c>
    </row>
    <row r="221" spans="1:16" x14ac:dyDescent="0.3">
      <c r="B221" s="130"/>
      <c r="D221" s="176"/>
      <c r="E221" s="176"/>
      <c r="F221" s="176"/>
      <c r="G221" s="176"/>
      <c r="H221" s="6"/>
    </row>
    <row r="222" spans="1:16" ht="18.2" x14ac:dyDescent="0.35">
      <c r="A222" s="8" t="s">
        <v>100</v>
      </c>
      <c r="B222" s="131"/>
      <c r="D222" s="2">
        <f>D205</f>
        <v>2016</v>
      </c>
      <c r="E222" s="2">
        <f>D222+1</f>
        <v>2017</v>
      </c>
      <c r="F222" s="2">
        <f>E222+1</f>
        <v>2018</v>
      </c>
      <c r="G222" s="2">
        <f>F222+1</f>
        <v>2019</v>
      </c>
      <c r="H222" s="2">
        <f>G222+1</f>
        <v>2020</v>
      </c>
    </row>
    <row r="223" spans="1:16" x14ac:dyDescent="0.3">
      <c r="B223" s="64" t="str">
        <f>(StartYear-1) &amp; " Surplus Applied to " &amp; StartYear</f>
        <v>2015 Surplus Applied to 2016</v>
      </c>
      <c r="C223" s="32"/>
      <c r="D223" s="205">
        <v>14879</v>
      </c>
      <c r="E223" s="206"/>
      <c r="F223" s="206"/>
      <c r="G223" s="206"/>
      <c r="H223" s="207"/>
    </row>
    <row r="224" spans="1:16" x14ac:dyDescent="0.3">
      <c r="B224" s="64" t="str">
        <f>StartYear &amp; " Surplus Applied to " &amp; (StartYear-1)</f>
        <v>2016 Surplus Applied to 2015</v>
      </c>
      <c r="C224" s="32"/>
      <c r="D224" s="208">
        <v>0</v>
      </c>
      <c r="E224" s="122"/>
      <c r="F224" s="122"/>
      <c r="G224" s="122"/>
      <c r="H224" s="126"/>
    </row>
    <row r="225" spans="1:16" x14ac:dyDescent="0.3">
      <c r="B225" s="64" t="str">
        <f>( StartYear) &amp; " Surplus Applied to " &amp; ( StartYear + 1 )</f>
        <v>2016 Surplus Applied to 2017</v>
      </c>
      <c r="C225" s="32"/>
      <c r="D225" s="203">
        <f>D209+D214-D220</f>
        <v>10000</v>
      </c>
      <c r="E225" s="204">
        <f>D225</f>
        <v>10000</v>
      </c>
      <c r="F225" s="199"/>
      <c r="G225" s="199"/>
      <c r="H225" s="200"/>
    </row>
    <row r="226" spans="1:16" x14ac:dyDescent="0.3">
      <c r="B226" s="64" t="str">
        <f xml:space="preserve"> ( StartYear + 1 ) &amp; " Surplus Applied to " &amp; ( StartYear )</f>
        <v>2017 Surplus Applied to 2016</v>
      </c>
      <c r="C226" s="32"/>
      <c r="D226" s="143">
        <v>0</v>
      </c>
      <c r="E226" s="9">
        <v>0</v>
      </c>
      <c r="F226" s="122"/>
      <c r="G226" s="122"/>
      <c r="H226" s="126"/>
    </row>
    <row r="227" spans="1:16" x14ac:dyDescent="0.3">
      <c r="B227" s="128" t="str">
        <f xml:space="preserve"> ( StartYear + 1 ) &amp; " Surplus Applied to " &amp; ( StartYear + 2 )</f>
        <v>2017 Surplus Applied to 2018</v>
      </c>
      <c r="C227" s="32"/>
      <c r="D227" s="123"/>
      <c r="E227" s="9">
        <f>E209+E214-E220</f>
        <v>15881</v>
      </c>
      <c r="F227" s="58">
        <f>E227</f>
        <v>15881</v>
      </c>
      <c r="G227" s="122"/>
      <c r="H227" s="126"/>
    </row>
    <row r="228" spans="1:16" x14ac:dyDescent="0.3">
      <c r="B228" s="128" t="str">
        <f xml:space="preserve"> ( StartYear + 2 ) &amp; " Surplus Applied to " &amp; ( StartYear + 1 )</f>
        <v>2018 Surplus Applied to 2017</v>
      </c>
      <c r="C228" s="32"/>
      <c r="D228" s="123"/>
      <c r="E228" s="58">
        <v>0</v>
      </c>
      <c r="F228" s="9">
        <v>0</v>
      </c>
      <c r="G228" s="122"/>
      <c r="H228" s="126"/>
    </row>
    <row r="229" spans="1:16" x14ac:dyDescent="0.3">
      <c r="B229" s="174" t="str">
        <f xml:space="preserve"> ( StartYear + 2 ) &amp; " Surplus Applied to " &amp; ( StartYear + 3 )</f>
        <v>2018 Surplus Applied to 2019</v>
      </c>
      <c r="C229" s="32"/>
      <c r="D229" s="123"/>
      <c r="E229" s="122"/>
      <c r="F229" s="9">
        <f>F209+F214-F220</f>
        <v>8722</v>
      </c>
      <c r="G229" s="58">
        <f>F229</f>
        <v>8722</v>
      </c>
      <c r="H229" s="126"/>
    </row>
    <row r="230" spans="1:16" x14ac:dyDescent="0.3">
      <c r="B230" s="174" t="str">
        <f xml:space="preserve"> ( StartYear + 3 ) &amp; " Surplus Applied to " &amp; ( StartYear + 2 )</f>
        <v>2019 Surplus Applied to 2018</v>
      </c>
      <c r="C230" s="32"/>
      <c r="D230" s="123"/>
      <c r="E230" s="122"/>
      <c r="F230" s="58">
        <v>0</v>
      </c>
      <c r="G230" s="9"/>
      <c r="H230" s="126"/>
    </row>
    <row r="231" spans="1:16" x14ac:dyDescent="0.3">
      <c r="B231" s="174" t="str">
        <f xml:space="preserve"> ( StartYear + 3 ) &amp; " Surplus Applied to " &amp; ( StartYear + 4 )</f>
        <v>2019 Surplus Applied to 2020</v>
      </c>
      <c r="C231" s="32"/>
      <c r="D231" s="123"/>
      <c r="E231" s="122"/>
      <c r="F231" s="122"/>
      <c r="G231" s="9">
        <f>G209+G214-G220</f>
        <v>15655</v>
      </c>
      <c r="H231" s="53">
        <f>G231</f>
        <v>15655</v>
      </c>
    </row>
    <row r="232" spans="1:16" x14ac:dyDescent="0.3">
      <c r="B232" s="174" t="str">
        <f xml:space="preserve"> ( StartYear + 4 ) &amp; " Surplus Applied to " &amp; ( StartYear + 3 )</f>
        <v>2020 Surplus Applied to 2019</v>
      </c>
      <c r="C232" s="32"/>
      <c r="D232" s="124"/>
      <c r="E232" s="125"/>
      <c r="F232" s="125"/>
      <c r="G232" s="54">
        <v>0</v>
      </c>
      <c r="H232" s="46">
        <v>0</v>
      </c>
    </row>
    <row r="233" spans="1:16" x14ac:dyDescent="0.3">
      <c r="B233" s="129" t="s">
        <v>17</v>
      </c>
      <c r="D233" s="6">
        <f>D223-D224+D226-D225</f>
        <v>4879</v>
      </c>
      <c r="E233" s="6">
        <f>E225+E228-E226-E227</f>
        <v>-5881</v>
      </c>
      <c r="F233" s="6">
        <f>F227+F230-F228-F229</f>
        <v>7159</v>
      </c>
      <c r="G233" s="6">
        <f>G229+G232-G230-G231</f>
        <v>-6933</v>
      </c>
      <c r="H233" s="6">
        <f>H231 - H232</f>
        <v>15655</v>
      </c>
    </row>
    <row r="234" spans="1:16" x14ac:dyDescent="0.3">
      <c r="B234" s="130"/>
      <c r="D234" s="6"/>
      <c r="E234" s="6"/>
      <c r="F234" s="6"/>
      <c r="G234" s="6"/>
      <c r="H234" s="6"/>
    </row>
    <row r="235" spans="1:16" x14ac:dyDescent="0.3">
      <c r="B235" s="61" t="s">
        <v>12</v>
      </c>
      <c r="C235" s="59"/>
      <c r="D235" s="82">
        <v>0</v>
      </c>
      <c r="E235" s="120">
        <v>0</v>
      </c>
      <c r="F235" s="120">
        <v>0</v>
      </c>
      <c r="G235" s="120">
        <v>0</v>
      </c>
      <c r="H235" s="83">
        <v>0</v>
      </c>
    </row>
    <row r="236" spans="1:16" x14ac:dyDescent="0.3">
      <c r="B236" s="130"/>
      <c r="D236" s="6"/>
      <c r="E236" s="6"/>
      <c r="F236" s="6"/>
      <c r="G236" s="6"/>
      <c r="H236" s="6"/>
    </row>
    <row r="237" spans="1:16" ht="18.2" x14ac:dyDescent="0.35">
      <c r="A237" s="41" t="s">
        <v>26</v>
      </c>
      <c r="B237" s="131"/>
      <c r="C237" s="59"/>
      <c r="D237" s="121">
        <f>D209+D214-D220+D233+D235</f>
        <v>14879</v>
      </c>
      <c r="E237" s="121">
        <f>E209+E214-E220+E233+E235</f>
        <v>10000</v>
      </c>
      <c r="F237" s="121">
        <f>F209+F214-F220+F233+F235</f>
        <v>15881</v>
      </c>
      <c r="G237" s="121">
        <f>G209+G214-G220+G233+G235</f>
        <v>8722</v>
      </c>
      <c r="H237" s="192">
        <f>H209+H214-H220+H233+H235</f>
        <v>33200</v>
      </c>
    </row>
    <row r="238" spans="1:16" x14ac:dyDescent="0.3">
      <c r="B238" s="130"/>
      <c r="C238" s="138" t="s">
        <v>169</v>
      </c>
      <c r="D238" s="6">
        <v>14879</v>
      </c>
      <c r="E238" s="31">
        <v>10000</v>
      </c>
      <c r="F238" s="31">
        <v>15881</v>
      </c>
      <c r="G238" s="31"/>
      <c r="H238" s="31"/>
    </row>
    <row r="239" spans="1:16" x14ac:dyDescent="0.3">
      <c r="B239" s="131"/>
      <c r="D239" s="1"/>
    </row>
    <row r="240" spans="1:16" s="32" customFormat="1" x14ac:dyDescent="0.3">
      <c r="B240" s="22"/>
      <c r="M240" s="211"/>
      <c r="N240" s="211"/>
      <c r="O240" s="211"/>
      <c r="P240" s="211"/>
    </row>
    <row r="241" spans="1:11" x14ac:dyDescent="0.3">
      <c r="B241" s="22"/>
      <c r="C241" s="32"/>
      <c r="D241" s="32"/>
      <c r="E241" s="32"/>
      <c r="F241" s="32"/>
      <c r="G241" s="32"/>
      <c r="H241" s="32"/>
    </row>
    <row r="242" spans="1:11" ht="21.3" x14ac:dyDescent="0.4">
      <c r="A242" s="12" t="s">
        <v>4</v>
      </c>
      <c r="B242" s="132"/>
      <c r="C242" s="42" t="str">
        <f>B9</f>
        <v>Lower Snake River - Dodge Junction</v>
      </c>
      <c r="D242" s="22"/>
      <c r="E242" s="22"/>
    </row>
    <row r="243" spans="1:11" x14ac:dyDescent="0.3">
      <c r="B243" s="131"/>
      <c r="D243" s="1"/>
    </row>
    <row r="244" spans="1:11" ht="18.2" x14ac:dyDescent="0.35">
      <c r="A244" s="8" t="s">
        <v>21</v>
      </c>
      <c r="B244" s="133"/>
      <c r="D244" s="2">
        <f>D51</f>
        <v>2016</v>
      </c>
      <c r="E244" s="2">
        <f>D244+1</f>
        <v>2017</v>
      </c>
      <c r="F244" s="127">
        <f>E244+1</f>
        <v>2018</v>
      </c>
      <c r="G244" s="127">
        <f>F244+1</f>
        <v>2019</v>
      </c>
      <c r="H244" s="127">
        <f>G244+1</f>
        <v>2020</v>
      </c>
    </row>
    <row r="245" spans="1:11" x14ac:dyDescent="0.3">
      <c r="B245" s="128" t="str">
        <f>"Total MWh Produced / Purchased from " &amp; C242</f>
        <v>Total MWh Produced / Purchased from Lower Snake River - Dodge Junction</v>
      </c>
      <c r="C245" s="59"/>
      <c r="D245" s="3">
        <v>500734</v>
      </c>
      <c r="E245" s="3">
        <v>413806</v>
      </c>
      <c r="F245" s="3">
        <v>508243</v>
      </c>
      <c r="G245" s="3">
        <v>412098</v>
      </c>
      <c r="H245" s="4">
        <v>423793</v>
      </c>
      <c r="J245" s="191">
        <v>43831</v>
      </c>
      <c r="K245" s="211">
        <f>133314/2</f>
        <v>66657</v>
      </c>
    </row>
    <row r="246" spans="1:11" x14ac:dyDescent="0.3">
      <c r="B246" s="128" t="s">
        <v>25</v>
      </c>
      <c r="C246" s="59"/>
      <c r="D246" s="141">
        <v>1</v>
      </c>
      <c r="E246" s="141">
        <v>1</v>
      </c>
      <c r="F246" s="141">
        <v>1</v>
      </c>
      <c r="G246" s="141">
        <v>1</v>
      </c>
      <c r="H246" s="142">
        <v>1</v>
      </c>
      <c r="J246" s="191">
        <v>43862</v>
      </c>
      <c r="K246" s="211">
        <v>61841</v>
      </c>
    </row>
    <row r="247" spans="1:11" x14ac:dyDescent="0.3">
      <c r="B247" s="128" t="s">
        <v>20</v>
      </c>
      <c r="C247" s="59"/>
      <c r="D247" s="47">
        <v>1</v>
      </c>
      <c r="E247" s="47">
        <v>1</v>
      </c>
      <c r="F247" s="47">
        <v>1</v>
      </c>
      <c r="G247" s="47">
        <v>1</v>
      </c>
      <c r="H247" s="48">
        <v>1</v>
      </c>
      <c r="J247" s="191">
        <v>43891</v>
      </c>
      <c r="K247" s="211">
        <v>54268</v>
      </c>
    </row>
    <row r="248" spans="1:11" x14ac:dyDescent="0.3">
      <c r="B248" s="61" t="s">
        <v>22</v>
      </c>
      <c r="C248" s="62"/>
      <c r="D248" s="140">
        <f xml:space="preserve"> D245 * D246 * D247</f>
        <v>500734</v>
      </c>
      <c r="E248" s="140">
        <f xml:space="preserve"> E245 * E246 * E247</f>
        <v>413806</v>
      </c>
      <c r="F248" s="140">
        <f xml:space="preserve"> F245 * F246 * F247</f>
        <v>508243</v>
      </c>
      <c r="G248" s="140">
        <f xml:space="preserve"> G245 * G246 * G247</f>
        <v>412098</v>
      </c>
      <c r="H248" s="140">
        <f xml:space="preserve"> H245 * H246 * H247</f>
        <v>423793</v>
      </c>
      <c r="K248" s="220">
        <f>SUM(K245:K247)</f>
        <v>182766</v>
      </c>
    </row>
    <row r="249" spans="1:11" x14ac:dyDescent="0.3">
      <c r="B249" s="22"/>
      <c r="C249" s="32"/>
      <c r="D249" s="177"/>
      <c r="E249" s="177"/>
      <c r="F249" s="177"/>
      <c r="G249" s="176"/>
      <c r="H249" s="39"/>
    </row>
    <row r="250" spans="1:11" ht="18.2" x14ac:dyDescent="0.35">
      <c r="A250" s="44" t="s">
        <v>119</v>
      </c>
      <c r="B250" s="131"/>
      <c r="C250" s="32"/>
      <c r="D250" s="2">
        <f>D244</f>
        <v>2016</v>
      </c>
      <c r="E250" s="2">
        <f>D250+1</f>
        <v>2017</v>
      </c>
      <c r="F250" s="2">
        <f>E250+1</f>
        <v>2018</v>
      </c>
      <c r="G250" s="2">
        <f>F250+1</f>
        <v>2019</v>
      </c>
      <c r="H250" s="2">
        <f>G250+1</f>
        <v>2020</v>
      </c>
      <c r="I250" s="189"/>
    </row>
    <row r="251" spans="1:11" x14ac:dyDescent="0.3">
      <c r="B251" s="128" t="s">
        <v>10</v>
      </c>
      <c r="C251" s="59"/>
      <c r="D251" s="10">
        <f>IF( $F9 = "Eligible", D248 * 'Facility Detail'!$B$1614, 0 )</f>
        <v>100146.8</v>
      </c>
      <c r="E251" s="118">
        <f>IF( $F9 = "Eligible", E248 * 'Facility Detail'!$B$1614, 0 )</f>
        <v>82761.200000000012</v>
      </c>
      <c r="F251" s="118">
        <f>IF( $F9 = "Eligible", F248 * 'Facility Detail'!$B$1614, 0 )</f>
        <v>101648.6</v>
      </c>
      <c r="G251" s="118">
        <f>IF( $F9 = "Eligible", G248 * 'Facility Detail'!$B$1614, 0 )</f>
        <v>82419.600000000006</v>
      </c>
      <c r="H251" s="11">
        <f>IF( $F9 = "Eligible", H248 * 'Facility Detail'!$B$1614, 0 )</f>
        <v>84758.6</v>
      </c>
    </row>
    <row r="252" spans="1:11" x14ac:dyDescent="0.3">
      <c r="B252" s="128" t="s">
        <v>6</v>
      </c>
      <c r="C252" s="59"/>
      <c r="D252" s="51">
        <f>IF( $G9 = "Eligible", D248, 0 )</f>
        <v>0</v>
      </c>
      <c r="E252" s="119">
        <f>IF( $G9 = "Eligible", E248, 0 )</f>
        <v>0</v>
      </c>
      <c r="F252" s="119">
        <f>IF( $G9 = "Eligible", F248, 0 )</f>
        <v>0</v>
      </c>
      <c r="G252" s="119">
        <f>IF( $G9 = "Eligible", G248, 0 )</f>
        <v>0</v>
      </c>
      <c r="H252" s="52">
        <f>IF( $G9 = "Eligible", H248, 0 )</f>
        <v>0</v>
      </c>
    </row>
    <row r="253" spans="1:11" x14ac:dyDescent="0.3">
      <c r="B253" s="61" t="s">
        <v>121</v>
      </c>
      <c r="C253" s="62"/>
      <c r="D253" s="40">
        <f>SUM(D251:D252)</f>
        <v>100146.8</v>
      </c>
      <c r="E253" s="40">
        <f>SUM(E251:E252)</f>
        <v>82761.200000000012</v>
      </c>
      <c r="F253" s="40">
        <f>SUM(F251:F252)</f>
        <v>101648.6</v>
      </c>
      <c r="G253" s="40">
        <f>SUM(G251:G252)</f>
        <v>82419.600000000006</v>
      </c>
      <c r="H253" s="40">
        <f>SUM(H251:H252)</f>
        <v>84758.6</v>
      </c>
    </row>
    <row r="254" spans="1:11" x14ac:dyDescent="0.3">
      <c r="B254" s="22"/>
      <c r="C254" s="32"/>
      <c r="D254" s="178"/>
      <c r="E254" s="178"/>
      <c r="F254" s="178"/>
      <c r="G254" s="178"/>
      <c r="H254" s="33"/>
    </row>
    <row r="255" spans="1:11" ht="18.2" x14ac:dyDescent="0.35">
      <c r="A255" s="41" t="s">
        <v>30</v>
      </c>
      <c r="B255" s="131"/>
      <c r="C255" s="32"/>
      <c r="D255" s="2">
        <f>D244</f>
        <v>2016</v>
      </c>
      <c r="E255" s="2">
        <f>D255+1</f>
        <v>2017</v>
      </c>
      <c r="F255" s="2">
        <f>E255+1</f>
        <v>2018</v>
      </c>
      <c r="G255" s="2">
        <f>F255+1</f>
        <v>2019</v>
      </c>
      <c r="H255" s="2">
        <f>G255+1</f>
        <v>2020</v>
      </c>
    </row>
    <row r="256" spans="1:11" x14ac:dyDescent="0.3">
      <c r="B256" s="128" t="s">
        <v>47</v>
      </c>
      <c r="C256" s="59"/>
      <c r="D256" s="3">
        <v>0</v>
      </c>
      <c r="E256" s="3">
        <v>0</v>
      </c>
      <c r="F256" s="3">
        <v>0</v>
      </c>
      <c r="G256" s="3">
        <v>0</v>
      </c>
      <c r="H256" s="4">
        <v>0</v>
      </c>
    </row>
    <row r="257" spans="1:8" x14ac:dyDescent="0.3">
      <c r="B257" s="75" t="s">
        <v>23</v>
      </c>
      <c r="C257" s="66"/>
      <c r="D257" s="146">
        <v>0</v>
      </c>
      <c r="E257" s="146">
        <v>0</v>
      </c>
      <c r="F257" s="146">
        <v>0</v>
      </c>
      <c r="G257" s="146">
        <v>0</v>
      </c>
      <c r="H257" s="147">
        <v>0</v>
      </c>
    </row>
    <row r="258" spans="1:8" x14ac:dyDescent="0.3">
      <c r="B258" s="75" t="s">
        <v>89</v>
      </c>
      <c r="C258" s="74"/>
      <c r="D258" s="213">
        <f>D256*0.2</f>
        <v>0</v>
      </c>
      <c r="E258" s="148">
        <f>E256*0.2</f>
        <v>0</v>
      </c>
      <c r="F258" s="148">
        <f>F256*0.2</f>
        <v>0</v>
      </c>
      <c r="G258" s="148">
        <f>G256*0.2</f>
        <v>0</v>
      </c>
      <c r="H258" s="149">
        <f>H256*0.2</f>
        <v>0</v>
      </c>
    </row>
    <row r="259" spans="1:8" x14ac:dyDescent="0.3">
      <c r="B259" s="129" t="s">
        <v>90</v>
      </c>
      <c r="D259" s="6">
        <f>SUM(D256:D258)</f>
        <v>0</v>
      </c>
      <c r="E259" s="6">
        <f>SUM(E256:E258)</f>
        <v>0</v>
      </c>
      <c r="F259" s="6">
        <f>SUM(F256:F258)</f>
        <v>0</v>
      </c>
      <c r="G259" s="6">
        <f>SUM(G256:G258)</f>
        <v>0</v>
      </c>
      <c r="H259" s="6">
        <f>SUM(H256:H258)</f>
        <v>0</v>
      </c>
    </row>
    <row r="260" spans="1:8" x14ac:dyDescent="0.3">
      <c r="B260" s="130"/>
      <c r="D260" s="176"/>
      <c r="E260" s="176"/>
      <c r="F260" s="176"/>
      <c r="G260" s="176"/>
      <c r="H260" s="6"/>
    </row>
    <row r="261" spans="1:8" ht="18.2" x14ac:dyDescent="0.35">
      <c r="A261" s="8" t="s">
        <v>100</v>
      </c>
      <c r="B261" s="131"/>
      <c r="D261" s="2">
        <f>D244</f>
        <v>2016</v>
      </c>
      <c r="E261" s="2">
        <f>D261+1</f>
        <v>2017</v>
      </c>
      <c r="F261" s="2">
        <f>E261+1</f>
        <v>2018</v>
      </c>
      <c r="G261" s="2">
        <f>F261+1</f>
        <v>2019</v>
      </c>
      <c r="H261" s="2">
        <f>G261+1</f>
        <v>2020</v>
      </c>
    </row>
    <row r="262" spans="1:8" x14ac:dyDescent="0.3">
      <c r="B262" s="64" t="str">
        <f>(StartYear-1) &amp; " Surplus Applied to " &amp; StartYear</f>
        <v>2015 Surplus Applied to 2016</v>
      </c>
      <c r="C262" s="32"/>
      <c r="D262" s="205">
        <v>505872</v>
      </c>
      <c r="E262" s="206"/>
      <c r="F262" s="206"/>
      <c r="G262" s="206"/>
      <c r="H262" s="207"/>
    </row>
    <row r="263" spans="1:8" x14ac:dyDescent="0.3">
      <c r="B263" s="64" t="str">
        <f>StartYear &amp; " Surplus Applied to " &amp; (StartYear-1)</f>
        <v>2016 Surplus Applied to 2015</v>
      </c>
      <c r="C263" s="32"/>
      <c r="D263" s="208">
        <v>0</v>
      </c>
      <c r="E263" s="122"/>
      <c r="F263" s="122"/>
      <c r="G263" s="122"/>
      <c r="H263" s="126"/>
    </row>
    <row r="264" spans="1:8" x14ac:dyDescent="0.3">
      <c r="B264" s="64" t="str">
        <f>( StartYear) &amp; " Surplus Applied to " &amp; ( StartYear + 1 )</f>
        <v>2016 Surplus Applied to 2017</v>
      </c>
      <c r="C264" s="32"/>
      <c r="D264" s="203">
        <f>D248+D253-D259</f>
        <v>600880.80000000005</v>
      </c>
      <c r="E264" s="204">
        <f>D264</f>
        <v>600880.80000000005</v>
      </c>
      <c r="F264" s="199"/>
      <c r="G264" s="199"/>
      <c r="H264" s="200"/>
    </row>
    <row r="265" spans="1:8" x14ac:dyDescent="0.3">
      <c r="B265" s="64" t="str">
        <f xml:space="preserve"> ( StartYear + 1 ) &amp; " Surplus Applied to " &amp; ( StartYear )</f>
        <v>2017 Surplus Applied to 2016</v>
      </c>
      <c r="C265" s="32"/>
      <c r="D265" s="143">
        <f>E265</f>
        <v>0</v>
      </c>
      <c r="E265" s="9">
        <v>0</v>
      </c>
      <c r="F265" s="122"/>
      <c r="G265" s="122"/>
      <c r="H265" s="126"/>
    </row>
    <row r="266" spans="1:8" x14ac:dyDescent="0.3">
      <c r="B266" s="128" t="str">
        <f xml:space="preserve"> ( StartYear + 1 ) &amp; " Surplus Applied to " &amp; ( StartYear + 2 )</f>
        <v>2017 Surplus Applied to 2018</v>
      </c>
      <c r="C266" s="32"/>
      <c r="D266" s="123"/>
      <c r="E266" s="9">
        <f>E248+E253-E259</f>
        <v>496567.2</v>
      </c>
      <c r="F266" s="58">
        <f>E266</f>
        <v>496567.2</v>
      </c>
      <c r="G266" s="122"/>
      <c r="H266" s="126"/>
    </row>
    <row r="267" spans="1:8" x14ac:dyDescent="0.3">
      <c r="B267" s="128" t="str">
        <f xml:space="preserve"> ( StartYear + 2 ) &amp; " Surplus Applied to " &amp; ( StartYear + 1 )</f>
        <v>2018 Surplus Applied to 2017</v>
      </c>
      <c r="C267" s="32"/>
      <c r="D267" s="123"/>
      <c r="E267" s="58">
        <v>0</v>
      </c>
      <c r="F267" s="9">
        <v>0</v>
      </c>
      <c r="G267" s="122"/>
      <c r="H267" s="126"/>
    </row>
    <row r="268" spans="1:8" x14ac:dyDescent="0.3">
      <c r="B268" s="174" t="str">
        <f xml:space="preserve"> ( StartYear + 2 ) &amp; " Surplus Applied to " &amp; ( StartYear + 3 )</f>
        <v>2018 Surplus Applied to 2019</v>
      </c>
      <c r="C268" s="32"/>
      <c r="D268" s="123"/>
      <c r="E268" s="122"/>
      <c r="F268" s="9">
        <f>F248+F253-F259</f>
        <v>609891.6</v>
      </c>
      <c r="G268" s="58">
        <f>F268</f>
        <v>609891.6</v>
      </c>
      <c r="H268" s="126"/>
    </row>
    <row r="269" spans="1:8" x14ac:dyDescent="0.3">
      <c r="B269" s="174" t="str">
        <f xml:space="preserve"> ( StartYear + 3 ) &amp; " Surplus Applied to " &amp; ( StartYear + 2 )</f>
        <v>2019 Surplus Applied to 2018</v>
      </c>
      <c r="C269" s="32"/>
      <c r="D269" s="123"/>
      <c r="E269" s="122"/>
      <c r="F269" s="58">
        <v>0</v>
      </c>
      <c r="G269" s="9">
        <v>0</v>
      </c>
      <c r="H269" s="126"/>
    </row>
    <row r="270" spans="1:8" x14ac:dyDescent="0.3">
      <c r="B270" s="174" t="str">
        <f xml:space="preserve"> ( StartYear + 3 ) &amp; " Surplus Applied to " &amp; ( StartYear + 4 )</f>
        <v>2019 Surplus Applied to 2020</v>
      </c>
      <c r="C270" s="32"/>
      <c r="D270" s="123"/>
      <c r="E270" s="122"/>
      <c r="F270" s="122"/>
      <c r="G270" s="9">
        <f>G248+G253-G259</f>
        <v>494517.6</v>
      </c>
      <c r="H270" s="53">
        <f>G270</f>
        <v>494517.6</v>
      </c>
    </row>
    <row r="271" spans="1:8" x14ac:dyDescent="0.3">
      <c r="B271" s="174" t="str">
        <f xml:space="preserve"> ( StartYear + 4 ) &amp; " Surplus Applied to " &amp; ( StartYear + 3 )</f>
        <v>2020 Surplus Applied to 2019</v>
      </c>
      <c r="C271" s="32"/>
      <c r="D271" s="124"/>
      <c r="E271" s="125"/>
      <c r="F271" s="125"/>
      <c r="G271" s="54">
        <v>0</v>
      </c>
      <c r="H271" s="46">
        <v>0</v>
      </c>
    </row>
    <row r="272" spans="1:8" x14ac:dyDescent="0.3">
      <c r="B272" s="129" t="s">
        <v>17</v>
      </c>
      <c r="D272" s="6">
        <f>D262-D263+D265-D264</f>
        <v>-95008.800000000047</v>
      </c>
      <c r="E272" s="6">
        <f>E264+E267-E265-E266</f>
        <v>104313.60000000003</v>
      </c>
      <c r="F272" s="6">
        <f>F266+F269-F267-F268</f>
        <v>-113324.39999999997</v>
      </c>
      <c r="G272" s="6">
        <f>G268+G271-G269-G270</f>
        <v>115374</v>
      </c>
      <c r="H272" s="6">
        <f>H270 - H271</f>
        <v>494517.6</v>
      </c>
    </row>
    <row r="273" spans="1:16" x14ac:dyDescent="0.3">
      <c r="B273" s="130"/>
      <c r="D273" s="6"/>
      <c r="E273" s="6"/>
      <c r="F273" s="6"/>
      <c r="G273" s="6"/>
      <c r="H273" s="6"/>
    </row>
    <row r="274" spans="1:16" x14ac:dyDescent="0.3">
      <c r="B274" s="61" t="s">
        <v>12</v>
      </c>
      <c r="C274" s="59"/>
      <c r="D274" s="82">
        <v>0</v>
      </c>
      <c r="E274" s="120">
        <v>0</v>
      </c>
      <c r="F274" s="120">
        <v>0</v>
      </c>
      <c r="G274" s="120">
        <v>0</v>
      </c>
      <c r="H274" s="83">
        <v>0</v>
      </c>
    </row>
    <row r="275" spans="1:16" x14ac:dyDescent="0.3">
      <c r="B275" s="130"/>
      <c r="D275" s="6"/>
      <c r="E275" s="6"/>
      <c r="F275" s="6"/>
      <c r="G275" s="6"/>
      <c r="H275" s="6"/>
    </row>
    <row r="276" spans="1:16" ht="18.2" x14ac:dyDescent="0.35">
      <c r="A276" s="41" t="s">
        <v>26</v>
      </c>
      <c r="B276" s="131"/>
      <c r="C276" s="59"/>
      <c r="D276" s="121">
        <f>D248+D253-D259+D272+D274</f>
        <v>505872</v>
      </c>
      <c r="E276" s="121">
        <f>E248+E253-E259+E272+E274</f>
        <v>600880.80000000005</v>
      </c>
      <c r="F276" s="121">
        <f>F248+F253-F259+F272+F274</f>
        <v>496567.2</v>
      </c>
      <c r="G276" s="121">
        <f>G248+G253-G259+G272+G274</f>
        <v>609891.6</v>
      </c>
      <c r="H276" s="192">
        <f>H248+H253-H259+H272+H274</f>
        <v>1003069.2</v>
      </c>
    </row>
    <row r="277" spans="1:16" x14ac:dyDescent="0.3">
      <c r="B277" s="130"/>
      <c r="C277" s="138" t="s">
        <v>169</v>
      </c>
      <c r="D277" s="6">
        <v>421560</v>
      </c>
      <c r="E277" s="31">
        <v>500734</v>
      </c>
      <c r="F277" s="31">
        <v>413806</v>
      </c>
      <c r="G277" s="31"/>
      <c r="H277" s="31"/>
    </row>
    <row r="278" spans="1:16" s="32" customFormat="1" x14ac:dyDescent="0.3">
      <c r="B278" s="22"/>
      <c r="C278" s="134"/>
      <c r="M278" s="211"/>
      <c r="N278" s="211"/>
      <c r="O278" s="211"/>
      <c r="P278" s="211"/>
    </row>
    <row r="279" spans="1:16" x14ac:dyDescent="0.3">
      <c r="A279" s="32"/>
      <c r="B279" s="22"/>
      <c r="C279" s="32"/>
      <c r="D279" s="32"/>
      <c r="E279" s="32"/>
      <c r="F279" s="32"/>
      <c r="G279" s="32"/>
      <c r="H279" s="32"/>
    </row>
    <row r="280" spans="1:16" x14ac:dyDescent="0.3">
      <c r="B280" s="22"/>
      <c r="C280" s="32"/>
      <c r="D280" s="32"/>
      <c r="E280" s="32"/>
      <c r="F280" s="32"/>
      <c r="G280" s="32"/>
      <c r="H280" s="32"/>
    </row>
    <row r="281" spans="1:16" ht="21.3" x14ac:dyDescent="0.4">
      <c r="A281" s="12"/>
      <c r="B281" s="132"/>
      <c r="C281" s="42" t="str">
        <f>B10</f>
        <v>Lower Snake River - Phalen Gulch</v>
      </c>
      <c r="D281" s="22"/>
      <c r="E281" s="22"/>
    </row>
    <row r="282" spans="1:16" x14ac:dyDescent="0.3">
      <c r="B282" s="131"/>
      <c r="D282" s="1"/>
    </row>
    <row r="283" spans="1:16" ht="18.2" x14ac:dyDescent="0.35">
      <c r="A283" s="8" t="s">
        <v>21</v>
      </c>
      <c r="B283" s="133"/>
      <c r="D283" s="2">
        <f>D51</f>
        <v>2016</v>
      </c>
      <c r="E283" s="2">
        <f>D283+1</f>
        <v>2017</v>
      </c>
      <c r="F283" s="127">
        <f>E283+1</f>
        <v>2018</v>
      </c>
      <c r="G283" s="127">
        <f>F283+1</f>
        <v>2019</v>
      </c>
      <c r="H283" s="127">
        <f>G283+1</f>
        <v>2020</v>
      </c>
    </row>
    <row r="284" spans="1:16" x14ac:dyDescent="0.3">
      <c r="B284" s="128" t="str">
        <f>"Total MWh Produced / Purchased from " &amp; C281</f>
        <v>Total MWh Produced / Purchased from Lower Snake River - Phalen Gulch</v>
      </c>
      <c r="C284" s="59"/>
      <c r="D284" s="3">
        <v>367953</v>
      </c>
      <c r="E284" s="3">
        <v>299266</v>
      </c>
      <c r="F284" s="3">
        <v>370818</v>
      </c>
      <c r="G284" s="3">
        <v>298679</v>
      </c>
      <c r="H284" s="4">
        <v>310207</v>
      </c>
      <c r="J284" s="191">
        <v>43831</v>
      </c>
      <c r="K284" s="211">
        <f>94469/2</f>
        <v>47234.5</v>
      </c>
    </row>
    <row r="285" spans="1:16" x14ac:dyDescent="0.3">
      <c r="B285" s="128" t="s">
        <v>25</v>
      </c>
      <c r="C285" s="59"/>
      <c r="D285" s="141">
        <v>1</v>
      </c>
      <c r="E285" s="141">
        <v>1</v>
      </c>
      <c r="F285" s="141">
        <v>1</v>
      </c>
      <c r="G285" s="141">
        <v>1</v>
      </c>
      <c r="H285" s="142">
        <v>1</v>
      </c>
      <c r="J285" s="191">
        <v>43862</v>
      </c>
      <c r="K285" s="211">
        <v>44729</v>
      </c>
    </row>
    <row r="286" spans="1:16" x14ac:dyDescent="0.3">
      <c r="B286" s="128" t="s">
        <v>20</v>
      </c>
      <c r="C286" s="59"/>
      <c r="D286" s="47">
        <v>1</v>
      </c>
      <c r="E286" s="47">
        <v>1</v>
      </c>
      <c r="F286" s="47">
        <v>1</v>
      </c>
      <c r="G286" s="47">
        <v>1</v>
      </c>
      <c r="H286" s="48">
        <v>1</v>
      </c>
      <c r="J286" s="191">
        <v>43891</v>
      </c>
      <c r="K286" s="211">
        <v>41816</v>
      </c>
    </row>
    <row r="287" spans="1:16" x14ac:dyDescent="0.3">
      <c r="B287" s="61" t="s">
        <v>22</v>
      </c>
      <c r="C287" s="62"/>
      <c r="D287" s="140">
        <f xml:space="preserve"> D284 * D285 * D286</f>
        <v>367953</v>
      </c>
      <c r="E287" s="140">
        <f xml:space="preserve"> E284 * E285 * E286</f>
        <v>299266</v>
      </c>
      <c r="F287" s="140">
        <f xml:space="preserve"> F284 * F285 * F286</f>
        <v>370818</v>
      </c>
      <c r="G287" s="140">
        <f xml:space="preserve"> G284 * G285 * G286</f>
        <v>298679</v>
      </c>
      <c r="H287" s="140">
        <f xml:space="preserve"> H284 * H285 * H286</f>
        <v>310207</v>
      </c>
      <c r="K287" s="220">
        <f>SUM(K284:K286)</f>
        <v>133779.5</v>
      </c>
    </row>
    <row r="288" spans="1:16" x14ac:dyDescent="0.3">
      <c r="B288" s="22"/>
      <c r="C288" s="32"/>
      <c r="D288" s="177"/>
      <c r="E288" s="177"/>
      <c r="F288" s="177"/>
      <c r="G288" s="176"/>
      <c r="H288" s="39"/>
    </row>
    <row r="289" spans="1:8" ht="18.2" x14ac:dyDescent="0.35">
      <c r="A289" s="44" t="s">
        <v>119</v>
      </c>
      <c r="B289" s="131"/>
      <c r="C289" s="32"/>
      <c r="D289" s="2">
        <f>D283</f>
        <v>2016</v>
      </c>
      <c r="E289" s="2">
        <f>D289+1</f>
        <v>2017</v>
      </c>
      <c r="F289" s="2">
        <f>E289+1</f>
        <v>2018</v>
      </c>
      <c r="G289" s="2">
        <f>F289+1</f>
        <v>2019</v>
      </c>
      <c r="H289" s="2">
        <f>G289+1</f>
        <v>2020</v>
      </c>
    </row>
    <row r="290" spans="1:8" x14ac:dyDescent="0.3">
      <c r="B290" s="128" t="s">
        <v>10</v>
      </c>
      <c r="C290" s="59"/>
      <c r="D290" s="10">
        <f>IF( $F10 = "Eligible", D287 * 'Facility Detail'!$B$1614, 0 )</f>
        <v>73590.600000000006</v>
      </c>
      <c r="E290" s="118">
        <f>IF( $F10 = "Eligible", E287 * 'Facility Detail'!$B$1614, 0 )</f>
        <v>59853.200000000004</v>
      </c>
      <c r="F290" s="118">
        <f>IF( $F10 = "Eligible", F287 * 'Facility Detail'!$B$1614, 0 )</f>
        <v>74163.600000000006</v>
      </c>
      <c r="G290" s="118">
        <f>IF( $F10 = "Eligible", G287 * 'Facility Detail'!$B$1614, 0 )</f>
        <v>59735.8</v>
      </c>
      <c r="H290" s="218">
        <f>IF( $F10 = "Eligible", H287 * 'Facility Detail'!$B$1614, 0 )</f>
        <v>62041.4</v>
      </c>
    </row>
    <row r="291" spans="1:8" x14ac:dyDescent="0.3">
      <c r="B291" s="128" t="s">
        <v>6</v>
      </c>
      <c r="C291" s="59"/>
      <c r="D291" s="51">
        <f>IF( $G10 = "Eligible", D287, 0 )</f>
        <v>0</v>
      </c>
      <c r="E291" s="51">
        <f>IF( $G10 = "Eligible", E287, 0 )</f>
        <v>0</v>
      </c>
      <c r="F291" s="51">
        <f>IF( $G10 = "Eligible", F287, 0 )</f>
        <v>0</v>
      </c>
      <c r="G291" s="119">
        <f>IF( $G10 = "Eligible", G287, 0 )</f>
        <v>0</v>
      </c>
      <c r="H291" s="52">
        <f>IF( $G10 = "Eligible", H287, 0 )</f>
        <v>0</v>
      </c>
    </row>
    <row r="292" spans="1:8" x14ac:dyDescent="0.3">
      <c r="B292" s="61" t="s">
        <v>121</v>
      </c>
      <c r="C292" s="62"/>
      <c r="D292" s="40">
        <f>SUM(D290:D291)</f>
        <v>73590.600000000006</v>
      </c>
      <c r="E292" s="40">
        <f>SUM(E290:E291)</f>
        <v>59853.200000000004</v>
      </c>
      <c r="F292" s="40">
        <f>SUM(F290:F291)</f>
        <v>74163.600000000006</v>
      </c>
      <c r="G292" s="40">
        <f>SUM(G290:G291)</f>
        <v>59735.8</v>
      </c>
      <c r="H292" s="40">
        <f>SUM(H290:H291)</f>
        <v>62041.4</v>
      </c>
    </row>
    <row r="293" spans="1:8" x14ac:dyDescent="0.3">
      <c r="B293" s="22"/>
      <c r="C293" s="32"/>
      <c r="D293" s="178"/>
      <c r="E293" s="178"/>
      <c r="F293" s="178"/>
      <c r="G293" s="178"/>
      <c r="H293" s="33"/>
    </row>
    <row r="294" spans="1:8" ht="18.2" x14ac:dyDescent="0.35">
      <c r="A294" s="41" t="s">
        <v>30</v>
      </c>
      <c r="B294" s="131"/>
      <c r="C294" s="32"/>
      <c r="D294" s="2">
        <f>D283</f>
        <v>2016</v>
      </c>
      <c r="E294" s="2">
        <f>D294+1</f>
        <v>2017</v>
      </c>
      <c r="F294" s="2">
        <f>E294+1</f>
        <v>2018</v>
      </c>
      <c r="G294" s="2">
        <f>F294+1</f>
        <v>2019</v>
      </c>
      <c r="H294" s="2">
        <f>G294+1</f>
        <v>2020</v>
      </c>
    </row>
    <row r="295" spans="1:8" x14ac:dyDescent="0.3">
      <c r="B295" s="128" t="s">
        <v>47</v>
      </c>
      <c r="C295" s="59"/>
      <c r="D295" s="3">
        <v>0</v>
      </c>
      <c r="E295" s="3">
        <v>0</v>
      </c>
      <c r="F295" s="3">
        <v>0</v>
      </c>
      <c r="G295" s="3">
        <v>0</v>
      </c>
      <c r="H295" s="4">
        <v>0</v>
      </c>
    </row>
    <row r="296" spans="1:8" x14ac:dyDescent="0.3">
      <c r="B296" s="75" t="s">
        <v>23</v>
      </c>
      <c r="C296" s="66"/>
      <c r="D296" s="146">
        <v>0</v>
      </c>
      <c r="E296" s="146">
        <v>0</v>
      </c>
      <c r="F296" s="146">
        <v>0</v>
      </c>
      <c r="G296" s="146">
        <v>0</v>
      </c>
      <c r="H296" s="147">
        <v>0</v>
      </c>
    </row>
    <row r="297" spans="1:8" x14ac:dyDescent="0.3">
      <c r="B297" s="75" t="s">
        <v>89</v>
      </c>
      <c r="C297" s="74"/>
      <c r="D297" s="214">
        <v>0</v>
      </c>
      <c r="E297" s="190">
        <f>E295*$B$1614</f>
        <v>0</v>
      </c>
      <c r="F297" s="190">
        <f>F295*$B$1614</f>
        <v>0</v>
      </c>
      <c r="G297" s="148">
        <f>G295*$B$1614</f>
        <v>0</v>
      </c>
      <c r="H297" s="217">
        <f>H295*$B$1614</f>
        <v>0</v>
      </c>
    </row>
    <row r="298" spans="1:8" x14ac:dyDescent="0.3">
      <c r="B298" s="129" t="s">
        <v>90</v>
      </c>
      <c r="D298" s="6">
        <f>SUM(D295:D297)</f>
        <v>0</v>
      </c>
      <c r="E298" s="6">
        <f>SUM(E295:E297)</f>
        <v>0</v>
      </c>
      <c r="F298" s="6">
        <f>SUM(F295:F297)</f>
        <v>0</v>
      </c>
      <c r="G298" s="6">
        <f>SUM(G295:G297)</f>
        <v>0</v>
      </c>
      <c r="H298" s="6">
        <f>SUM(H295:H297)</f>
        <v>0</v>
      </c>
    </row>
    <row r="299" spans="1:8" x14ac:dyDescent="0.3">
      <c r="B299" s="130"/>
      <c r="D299" s="176"/>
      <c r="E299" s="176"/>
      <c r="F299" s="176"/>
      <c r="G299" s="176"/>
      <c r="H299" s="6"/>
    </row>
    <row r="300" spans="1:8" ht="18.2" x14ac:dyDescent="0.35">
      <c r="A300" s="8" t="s">
        <v>100</v>
      </c>
      <c r="B300" s="131"/>
      <c r="D300" s="2">
        <f>D283</f>
        <v>2016</v>
      </c>
      <c r="E300" s="2">
        <f>D300+1</f>
        <v>2017</v>
      </c>
      <c r="F300" s="2">
        <f>E300+1</f>
        <v>2018</v>
      </c>
      <c r="G300" s="2">
        <f>F300+1</f>
        <v>2019</v>
      </c>
      <c r="H300" s="2">
        <f>G300+1</f>
        <v>2020</v>
      </c>
    </row>
    <row r="301" spans="1:8" x14ac:dyDescent="0.3">
      <c r="B301" s="64" t="str">
        <f>(StartYear-1) &amp; " Surplus Applied to " &amp; StartYear</f>
        <v>2015 Surplus Applied to 2016</v>
      </c>
      <c r="C301" s="32"/>
      <c r="D301" s="205">
        <v>361731.6</v>
      </c>
      <c r="E301" s="206"/>
      <c r="F301" s="206"/>
      <c r="G301" s="206"/>
      <c r="H301" s="207"/>
    </row>
    <row r="302" spans="1:8" x14ac:dyDescent="0.3">
      <c r="B302" s="64" t="str">
        <f>StartYear &amp; " Surplus Applied to " &amp; (StartYear-1)</f>
        <v>2016 Surplus Applied to 2015</v>
      </c>
      <c r="C302" s="32"/>
      <c r="D302" s="208">
        <v>0</v>
      </c>
      <c r="E302" s="122"/>
      <c r="F302" s="122"/>
      <c r="G302" s="122"/>
      <c r="H302" s="126"/>
    </row>
    <row r="303" spans="1:8" x14ac:dyDescent="0.3">
      <c r="B303" s="64" t="str">
        <f>( StartYear) &amp; " Surplus Applied to " &amp; ( StartYear + 1 )</f>
        <v>2016 Surplus Applied to 2017</v>
      </c>
      <c r="C303" s="32"/>
      <c r="D303" s="203">
        <f>D287+D292-D298</f>
        <v>441543.6</v>
      </c>
      <c r="E303" s="204">
        <f>D303</f>
        <v>441543.6</v>
      </c>
      <c r="F303" s="199"/>
      <c r="G303" s="199"/>
      <c r="H303" s="200"/>
    </row>
    <row r="304" spans="1:8" x14ac:dyDescent="0.3">
      <c r="B304" s="64" t="str">
        <f xml:space="preserve"> ( StartYear + 1 ) &amp; " Surplus Applied to " &amp; ( StartYear )</f>
        <v>2017 Surplus Applied to 2016</v>
      </c>
      <c r="C304" s="32"/>
      <c r="D304" s="143">
        <v>0</v>
      </c>
      <c r="E304" s="9">
        <v>0</v>
      </c>
      <c r="F304" s="122"/>
      <c r="G304" s="122"/>
      <c r="H304" s="126"/>
    </row>
    <row r="305" spans="1:16" x14ac:dyDescent="0.3">
      <c r="B305" s="128" t="str">
        <f xml:space="preserve"> ( StartYear + 1 ) &amp; " Surplus Applied to " &amp; ( StartYear + 2 )</f>
        <v>2017 Surplus Applied to 2018</v>
      </c>
      <c r="C305" s="32"/>
      <c r="D305" s="123"/>
      <c r="E305" s="9">
        <f>E287+E292-E298</f>
        <v>359119.2</v>
      </c>
      <c r="F305" s="58">
        <f>E305</f>
        <v>359119.2</v>
      </c>
      <c r="G305" s="122"/>
      <c r="H305" s="126"/>
    </row>
    <row r="306" spans="1:16" x14ac:dyDescent="0.3">
      <c r="B306" s="128" t="str">
        <f xml:space="preserve"> ( StartYear + 2 ) &amp; " Surplus Applied to " &amp; ( StartYear + 1 )</f>
        <v>2018 Surplus Applied to 2017</v>
      </c>
      <c r="C306" s="32"/>
      <c r="D306" s="123"/>
      <c r="E306" s="58">
        <v>0</v>
      </c>
      <c r="F306" s="9">
        <v>0</v>
      </c>
      <c r="G306" s="122"/>
      <c r="H306" s="126"/>
    </row>
    <row r="307" spans="1:16" x14ac:dyDescent="0.3">
      <c r="B307" s="174" t="str">
        <f xml:space="preserve"> ( StartYear + 2 ) &amp; " Surplus Applied to " &amp; ( StartYear + 3 )</f>
        <v>2018 Surplus Applied to 2019</v>
      </c>
      <c r="C307" s="32"/>
      <c r="D307" s="123"/>
      <c r="E307" s="122"/>
      <c r="F307" s="9">
        <f>F287+F292-F298</f>
        <v>444981.6</v>
      </c>
      <c r="G307" s="58">
        <f>F307</f>
        <v>444981.6</v>
      </c>
      <c r="H307" s="126"/>
    </row>
    <row r="308" spans="1:16" x14ac:dyDescent="0.3">
      <c r="B308" s="174" t="str">
        <f xml:space="preserve"> ( StartYear + 3 ) &amp; " Surplus Applied to " &amp; ( StartYear + 2 )</f>
        <v>2019 Surplus Applied to 2018</v>
      </c>
      <c r="C308" s="32"/>
      <c r="D308" s="123"/>
      <c r="E308" s="122"/>
      <c r="F308" s="58">
        <v>0</v>
      </c>
      <c r="G308" s="9">
        <v>0</v>
      </c>
      <c r="H308" s="126"/>
    </row>
    <row r="309" spans="1:16" x14ac:dyDescent="0.3">
      <c r="B309" s="174" t="str">
        <f xml:space="preserve"> ( StartYear + 3 ) &amp; " Surplus Applied to " &amp; ( StartYear + 4 )</f>
        <v>2019 Surplus Applied to 2020</v>
      </c>
      <c r="C309" s="32"/>
      <c r="D309" s="123"/>
      <c r="E309" s="122"/>
      <c r="F309" s="122"/>
      <c r="G309" s="9">
        <f>G287+G292-G298</f>
        <v>358414.8</v>
      </c>
      <c r="H309" s="53">
        <f>G309</f>
        <v>358414.8</v>
      </c>
    </row>
    <row r="310" spans="1:16" x14ac:dyDescent="0.3">
      <c r="B310" s="174" t="str">
        <f xml:space="preserve"> ( StartYear + 4 ) &amp; " Surplus Applied to " &amp; ( StartYear + 3 )</f>
        <v>2020 Surplus Applied to 2019</v>
      </c>
      <c r="C310" s="32"/>
      <c r="D310" s="124"/>
      <c r="E310" s="125"/>
      <c r="F310" s="125"/>
      <c r="G310" s="54">
        <v>0</v>
      </c>
      <c r="H310" s="46">
        <v>0</v>
      </c>
    </row>
    <row r="311" spans="1:16" x14ac:dyDescent="0.3">
      <c r="B311" s="129" t="s">
        <v>17</v>
      </c>
      <c r="D311" s="6">
        <f>D301-D302+D304-D303</f>
        <v>-79812</v>
      </c>
      <c r="E311" s="6">
        <f>E303+E306-E304-E305</f>
        <v>82424.399999999965</v>
      </c>
      <c r="F311" s="6">
        <f>F305+F308-F306-F307</f>
        <v>-85862.399999999965</v>
      </c>
      <c r="G311" s="6">
        <f>G307+G310-G308-G309</f>
        <v>86566.799999999988</v>
      </c>
      <c r="H311" s="6">
        <f>H309 - H310</f>
        <v>358414.8</v>
      </c>
    </row>
    <row r="312" spans="1:16" x14ac:dyDescent="0.3">
      <c r="B312" s="130"/>
      <c r="D312" s="6"/>
      <c r="E312" s="6"/>
      <c r="F312" s="6"/>
      <c r="G312" s="6"/>
      <c r="H312" s="6"/>
    </row>
    <row r="313" spans="1:16" x14ac:dyDescent="0.3">
      <c r="B313" s="61" t="s">
        <v>12</v>
      </c>
      <c r="C313" s="59"/>
      <c r="D313" s="82">
        <v>0</v>
      </c>
      <c r="E313" s="120">
        <v>0</v>
      </c>
      <c r="F313" s="120">
        <v>0</v>
      </c>
      <c r="G313" s="120">
        <v>0</v>
      </c>
      <c r="H313" s="83">
        <v>0</v>
      </c>
    </row>
    <row r="314" spans="1:16" x14ac:dyDescent="0.3">
      <c r="B314" s="130"/>
      <c r="D314" s="6"/>
      <c r="E314" s="6"/>
      <c r="F314" s="6"/>
      <c r="G314" s="6"/>
      <c r="H314" s="6"/>
    </row>
    <row r="315" spans="1:16" ht="18.2" x14ac:dyDescent="0.35">
      <c r="A315" s="41" t="s">
        <v>26</v>
      </c>
      <c r="B315" s="131"/>
      <c r="C315" s="59"/>
      <c r="D315" s="121">
        <f>D287+D292-D298+D311+D313</f>
        <v>361731.6</v>
      </c>
      <c r="E315" s="121">
        <f>E287+E292-E298+E311+E313</f>
        <v>441543.6</v>
      </c>
      <c r="F315" s="121">
        <f>F287+F292-F298+F311+F313</f>
        <v>359119.2</v>
      </c>
      <c r="G315" s="121">
        <f>G287+G292-G298+G311+G313</f>
        <v>444981.6</v>
      </c>
      <c r="H315" s="192">
        <f>H287+H292-H298+H311+H313</f>
        <v>730663.2</v>
      </c>
    </row>
    <row r="316" spans="1:16" x14ac:dyDescent="0.3">
      <c r="B316" s="130"/>
      <c r="C316" s="138" t="s">
        <v>169</v>
      </c>
      <c r="D316" s="6">
        <v>301443</v>
      </c>
      <c r="E316" s="31">
        <v>367953</v>
      </c>
      <c r="F316" s="31">
        <v>299266</v>
      </c>
      <c r="G316" s="31"/>
      <c r="H316" s="31"/>
    </row>
    <row r="317" spans="1:16" x14ac:dyDescent="0.3">
      <c r="B317" s="131"/>
      <c r="C317" s="134"/>
      <c r="D317" s="6"/>
    </row>
    <row r="318" spans="1:16" s="32" customFormat="1" x14ac:dyDescent="0.3">
      <c r="B318" s="22"/>
      <c r="M318" s="211"/>
      <c r="N318" s="211"/>
      <c r="O318" s="211"/>
      <c r="P318" s="211"/>
    </row>
    <row r="319" spans="1:16" x14ac:dyDescent="0.3">
      <c r="B319" s="22"/>
      <c r="C319" s="32"/>
      <c r="D319" s="32"/>
      <c r="E319" s="32"/>
      <c r="F319" s="32"/>
      <c r="G319" s="32"/>
      <c r="H319" s="32"/>
    </row>
    <row r="320" spans="1:16" ht="21.3" x14ac:dyDescent="0.4">
      <c r="A320" s="12" t="s">
        <v>4</v>
      </c>
      <c r="B320" s="132"/>
      <c r="C320" s="42" t="str">
        <f>B11</f>
        <v>Wanapum Fish Bypass</v>
      </c>
      <c r="D320" s="22"/>
      <c r="E320" s="22"/>
    </row>
    <row r="321" spans="1:8" x14ac:dyDescent="0.3">
      <c r="B321" s="131"/>
      <c r="D321" s="1"/>
    </row>
    <row r="322" spans="1:8" ht="18.2" x14ac:dyDescent="0.35">
      <c r="A322" s="8" t="s">
        <v>21</v>
      </c>
      <c r="B322" s="133"/>
      <c r="D322" s="2">
        <f>D51</f>
        <v>2016</v>
      </c>
      <c r="E322" s="2">
        <f>D322+1</f>
        <v>2017</v>
      </c>
      <c r="F322" s="127">
        <f>E322+1</f>
        <v>2018</v>
      </c>
      <c r="G322" s="127">
        <f>F322+1</f>
        <v>2019</v>
      </c>
      <c r="H322" s="127">
        <f>G322+1</f>
        <v>2020</v>
      </c>
    </row>
    <row r="323" spans="1:8" x14ac:dyDescent="0.3">
      <c r="B323" s="128" t="str">
        <f>"Total MWh Produced / Purchased from " &amp; C320</f>
        <v>Total MWh Produced / Purchased from Wanapum Fish Bypass</v>
      </c>
      <c r="C323" s="59"/>
      <c r="D323" s="3" t="s">
        <v>1</v>
      </c>
      <c r="E323" s="3" t="s">
        <v>1</v>
      </c>
      <c r="F323" s="3" t="s">
        <v>1</v>
      </c>
      <c r="G323" s="3" t="s">
        <v>1</v>
      </c>
      <c r="H323" s="4" t="s">
        <v>1</v>
      </c>
    </row>
    <row r="324" spans="1:8" x14ac:dyDescent="0.3">
      <c r="B324" s="128" t="s">
        <v>25</v>
      </c>
      <c r="C324" s="59"/>
      <c r="D324" s="141">
        <v>1</v>
      </c>
      <c r="E324" s="141">
        <v>1</v>
      </c>
      <c r="F324" s="141">
        <v>1</v>
      </c>
      <c r="G324" s="141">
        <v>1</v>
      </c>
      <c r="H324" s="142">
        <v>1</v>
      </c>
    </row>
    <row r="325" spans="1:8" x14ac:dyDescent="0.3">
      <c r="B325" s="128" t="s">
        <v>20</v>
      </c>
      <c r="C325" s="59"/>
      <c r="D325" s="47">
        <v>1</v>
      </c>
      <c r="E325" s="47">
        <v>1</v>
      </c>
      <c r="F325" s="47">
        <v>1</v>
      </c>
      <c r="G325" s="47">
        <v>1</v>
      </c>
      <c r="H325" s="48">
        <v>1</v>
      </c>
    </row>
    <row r="326" spans="1:8" x14ac:dyDescent="0.3">
      <c r="B326" s="61" t="s">
        <v>22</v>
      </c>
      <c r="C326" s="62"/>
      <c r="D326" s="140">
        <v>0</v>
      </c>
      <c r="E326" s="140">
        <v>0</v>
      </c>
      <c r="F326" s="140">
        <v>0</v>
      </c>
      <c r="G326" s="140">
        <v>0</v>
      </c>
      <c r="H326" s="140">
        <v>0</v>
      </c>
    </row>
    <row r="327" spans="1:8" x14ac:dyDescent="0.3">
      <c r="B327" s="22"/>
      <c r="C327" s="32"/>
      <c r="D327" s="39"/>
      <c r="E327" s="39"/>
      <c r="F327" s="39"/>
      <c r="G327" s="176"/>
      <c r="H327" s="39"/>
    </row>
    <row r="328" spans="1:8" ht="18.2" x14ac:dyDescent="0.35">
      <c r="A328" s="44" t="s">
        <v>119</v>
      </c>
      <c r="B328" s="131"/>
      <c r="C328" s="32"/>
      <c r="D328" s="2">
        <f>D322</f>
        <v>2016</v>
      </c>
      <c r="E328" s="2">
        <f>D328+1</f>
        <v>2017</v>
      </c>
      <c r="F328" s="2">
        <f>E328+1</f>
        <v>2018</v>
      </c>
      <c r="G328" s="2">
        <f>F328+1</f>
        <v>2019</v>
      </c>
      <c r="H328" s="2">
        <f>G328+1</f>
        <v>2020</v>
      </c>
    </row>
    <row r="329" spans="1:8" x14ac:dyDescent="0.3">
      <c r="B329" s="128" t="s">
        <v>10</v>
      </c>
      <c r="C329" s="59"/>
      <c r="D329" s="10">
        <f>IF( $F11 = "Eligible", D326 * 'Facility Detail'!$B$1614, 0 )</f>
        <v>0</v>
      </c>
      <c r="E329" s="118">
        <f>IF( $F11 = "Eligible", E326 * 'Facility Detail'!$B$1614, 0 )</f>
        <v>0</v>
      </c>
      <c r="F329" s="118">
        <f>IF( $F11 = "Eligible", F326 * 'Facility Detail'!$B$1614, 0 )</f>
        <v>0</v>
      </c>
      <c r="G329" s="118">
        <f>IF( $F11 = "Eligible", G326 * 'Facility Detail'!$B$1614, 0 )</f>
        <v>0</v>
      </c>
      <c r="H329" s="11">
        <f>IF( $F11 = "Eligible", H326 * 'Facility Detail'!$B$1614, 0 )</f>
        <v>0</v>
      </c>
    </row>
    <row r="330" spans="1:8" x14ac:dyDescent="0.3">
      <c r="B330" s="128" t="s">
        <v>6</v>
      </c>
      <c r="C330" s="59"/>
      <c r="D330" s="51">
        <f>IF( $G11 = "Eligible", D326, 0 )</f>
        <v>0</v>
      </c>
      <c r="E330" s="119">
        <f>IF( $G11 = "Eligible", E326, 0 )</f>
        <v>0</v>
      </c>
      <c r="F330" s="119">
        <f>IF( $G11 = "Eligible", F326, 0 )</f>
        <v>0</v>
      </c>
      <c r="G330" s="119">
        <f>IF( $G11 = "Eligible", G326, 0 )</f>
        <v>0</v>
      </c>
      <c r="H330" s="52">
        <f>IF( $G11 = "Eligible", H326, 0 )</f>
        <v>0</v>
      </c>
    </row>
    <row r="331" spans="1:8" x14ac:dyDescent="0.3">
      <c r="B331" s="61" t="s">
        <v>121</v>
      </c>
      <c r="C331" s="62"/>
      <c r="D331" s="40">
        <f>SUM(D329:D330)</f>
        <v>0</v>
      </c>
      <c r="E331" s="40">
        <f>SUM(E329:E330)</f>
        <v>0</v>
      </c>
      <c r="F331" s="40">
        <f>SUM(F329:F330)</f>
        <v>0</v>
      </c>
      <c r="G331" s="40">
        <f>SUM(G329:G330)</f>
        <v>0</v>
      </c>
      <c r="H331" s="40">
        <f>SUM(H329:H330)</f>
        <v>0</v>
      </c>
    </row>
    <row r="332" spans="1:8" x14ac:dyDescent="0.3">
      <c r="B332" s="22"/>
      <c r="C332" s="32"/>
      <c r="D332" s="33"/>
      <c r="E332" s="33"/>
      <c r="F332" s="33"/>
      <c r="G332" s="178"/>
      <c r="H332" s="33"/>
    </row>
    <row r="333" spans="1:8" ht="18.2" x14ac:dyDescent="0.35">
      <c r="A333" s="41" t="s">
        <v>30</v>
      </c>
      <c r="B333" s="131"/>
      <c r="C333" s="32"/>
      <c r="D333" s="2">
        <f>D322</f>
        <v>2016</v>
      </c>
      <c r="E333" s="2">
        <f>D333+1</f>
        <v>2017</v>
      </c>
      <c r="F333" s="2">
        <f>E333+1</f>
        <v>2018</v>
      </c>
      <c r="G333" s="2">
        <f>F333+1</f>
        <v>2019</v>
      </c>
      <c r="H333" s="2">
        <f>G333+1</f>
        <v>2020</v>
      </c>
    </row>
    <row r="334" spans="1:8" x14ac:dyDescent="0.3">
      <c r="B334" s="128" t="s">
        <v>47</v>
      </c>
      <c r="C334" s="59"/>
      <c r="D334" s="3">
        <v>0</v>
      </c>
      <c r="E334" s="3">
        <v>0</v>
      </c>
      <c r="F334" s="3">
        <v>0</v>
      </c>
      <c r="G334" s="3">
        <v>0</v>
      </c>
      <c r="H334" s="4">
        <v>0</v>
      </c>
    </row>
    <row r="335" spans="1:8" x14ac:dyDescent="0.3">
      <c r="B335" s="75" t="s">
        <v>23</v>
      </c>
      <c r="C335" s="66"/>
      <c r="D335" s="146">
        <v>0</v>
      </c>
      <c r="E335" s="146">
        <v>0</v>
      </c>
      <c r="F335" s="146">
        <v>0</v>
      </c>
      <c r="G335" s="146">
        <v>0</v>
      </c>
      <c r="H335" s="147">
        <v>0</v>
      </c>
    </row>
    <row r="336" spans="1:8" x14ac:dyDescent="0.3">
      <c r="B336" s="75" t="s">
        <v>89</v>
      </c>
      <c r="C336" s="74"/>
      <c r="D336" s="213">
        <v>0</v>
      </c>
      <c r="E336" s="148">
        <v>0</v>
      </c>
      <c r="F336" s="148">
        <v>0</v>
      </c>
      <c r="G336" s="148">
        <v>0</v>
      </c>
      <c r="H336" s="149">
        <v>0</v>
      </c>
    </row>
    <row r="337" spans="1:8" x14ac:dyDescent="0.3">
      <c r="B337" s="129" t="s">
        <v>90</v>
      </c>
      <c r="D337" s="6">
        <f>SUM(D334:D336)</f>
        <v>0</v>
      </c>
      <c r="E337" s="6">
        <f>SUM(E334:E336)</f>
        <v>0</v>
      </c>
      <c r="F337" s="6">
        <f>SUM(F334:F336)</f>
        <v>0</v>
      </c>
      <c r="G337" s="6">
        <f>SUM(G334:G336)</f>
        <v>0</v>
      </c>
      <c r="H337" s="6">
        <f>SUM(H334:H336)</f>
        <v>0</v>
      </c>
    </row>
    <row r="338" spans="1:8" x14ac:dyDescent="0.3">
      <c r="B338" s="130"/>
      <c r="D338" s="6"/>
      <c r="E338" s="6"/>
      <c r="F338" s="6"/>
      <c r="G338" s="176"/>
      <c r="H338" s="6"/>
    </row>
    <row r="339" spans="1:8" ht="18.2" x14ac:dyDescent="0.35">
      <c r="A339" s="8" t="s">
        <v>100</v>
      </c>
      <c r="B339" s="131"/>
      <c r="D339" s="2">
        <f>D322</f>
        <v>2016</v>
      </c>
      <c r="E339" s="2">
        <f>D339+1</f>
        <v>2017</v>
      </c>
      <c r="F339" s="2">
        <f>E339+1</f>
        <v>2018</v>
      </c>
      <c r="G339" s="2">
        <f>F339+1</f>
        <v>2019</v>
      </c>
      <c r="H339" s="2">
        <f>G339+1</f>
        <v>2020</v>
      </c>
    </row>
    <row r="340" spans="1:8" x14ac:dyDescent="0.3">
      <c r="B340" s="64" t="str">
        <f>(StartYear-1) &amp; " Surplus Applied to " &amp; StartYear</f>
        <v>2015 Surplus Applied to 2016</v>
      </c>
      <c r="C340" s="32"/>
      <c r="D340" s="205">
        <v>0</v>
      </c>
      <c r="E340" s="206"/>
      <c r="F340" s="206"/>
      <c r="G340" s="206"/>
      <c r="H340" s="207"/>
    </row>
    <row r="341" spans="1:8" x14ac:dyDescent="0.3">
      <c r="B341" s="64" t="str">
        <f>StartYear &amp; " Surplus Applied to " &amp; (StartYear-1)</f>
        <v>2016 Surplus Applied to 2015</v>
      </c>
      <c r="C341" s="32"/>
      <c r="D341" s="208">
        <v>0</v>
      </c>
      <c r="E341" s="122"/>
      <c r="F341" s="122"/>
      <c r="G341" s="122"/>
      <c r="H341" s="126"/>
    </row>
    <row r="342" spans="1:8" x14ac:dyDescent="0.3">
      <c r="B342" s="64" t="str">
        <f>( StartYear) &amp; " Surplus Applied to " &amp; ( StartYear + 1 )</f>
        <v>2016 Surplus Applied to 2017</v>
      </c>
      <c r="C342" s="32"/>
      <c r="D342" s="203">
        <f>D326+D331-D337</f>
        <v>0</v>
      </c>
      <c r="E342" s="204">
        <f>D342</f>
        <v>0</v>
      </c>
      <c r="F342" s="199"/>
      <c r="G342" s="199"/>
      <c r="H342" s="200"/>
    </row>
    <row r="343" spans="1:8" x14ac:dyDescent="0.3">
      <c r="B343" s="64" t="str">
        <f xml:space="preserve"> ( StartYear + 1 ) &amp; " Surplus Applied to " &amp; ( StartYear )</f>
        <v>2017 Surplus Applied to 2016</v>
      </c>
      <c r="C343" s="32"/>
      <c r="D343" s="143">
        <v>0</v>
      </c>
      <c r="E343" s="9">
        <v>0</v>
      </c>
      <c r="F343" s="122"/>
      <c r="G343" s="122"/>
      <c r="H343" s="126"/>
    </row>
    <row r="344" spans="1:8" x14ac:dyDescent="0.3">
      <c r="B344" s="128" t="str">
        <f xml:space="preserve"> ( StartYear + 1 ) &amp; " Surplus Applied to " &amp; ( StartYear + 2 )</f>
        <v>2017 Surplus Applied to 2018</v>
      </c>
      <c r="C344" s="32"/>
      <c r="D344" s="123"/>
      <c r="E344" s="9">
        <f>E326+E331-E337</f>
        <v>0</v>
      </c>
      <c r="F344" s="58">
        <f>E344</f>
        <v>0</v>
      </c>
      <c r="G344" s="122"/>
      <c r="H344" s="126"/>
    </row>
    <row r="345" spans="1:8" x14ac:dyDescent="0.3">
      <c r="B345" s="128" t="str">
        <f xml:space="preserve"> ( StartYear + 2 ) &amp; " Surplus Applied to " &amp; ( StartYear + 1 )</f>
        <v>2018 Surplus Applied to 2017</v>
      </c>
      <c r="C345" s="32"/>
      <c r="D345" s="123"/>
      <c r="E345" s="58">
        <v>0</v>
      </c>
      <c r="F345" s="9">
        <v>0</v>
      </c>
      <c r="G345" s="122"/>
      <c r="H345" s="126"/>
    </row>
    <row r="346" spans="1:8" x14ac:dyDescent="0.3">
      <c r="B346" s="174" t="str">
        <f xml:space="preserve"> ( StartYear + 2 ) &amp; " Surplus Applied to " &amp; ( StartYear + 3 )</f>
        <v>2018 Surplus Applied to 2019</v>
      </c>
      <c r="C346" s="32"/>
      <c r="D346" s="123"/>
      <c r="E346" s="122"/>
      <c r="F346" s="9">
        <f>F326+F331-F337</f>
        <v>0</v>
      </c>
      <c r="G346" s="58">
        <f>F346</f>
        <v>0</v>
      </c>
      <c r="H346" s="126"/>
    </row>
    <row r="347" spans="1:8" x14ac:dyDescent="0.3">
      <c r="B347" s="174" t="str">
        <f xml:space="preserve"> ( StartYear + 3 ) &amp; " Surplus Applied to " &amp; ( StartYear + 2 )</f>
        <v>2019 Surplus Applied to 2018</v>
      </c>
      <c r="C347" s="32"/>
      <c r="D347" s="123"/>
      <c r="E347" s="122"/>
      <c r="F347" s="58">
        <v>0</v>
      </c>
      <c r="G347" s="9">
        <v>0</v>
      </c>
      <c r="H347" s="126"/>
    </row>
    <row r="348" spans="1:8" x14ac:dyDescent="0.3">
      <c r="B348" s="174" t="str">
        <f xml:space="preserve"> ( StartYear + 3 ) &amp; " Surplus Applied to " &amp; ( StartYear + 4 )</f>
        <v>2019 Surplus Applied to 2020</v>
      </c>
      <c r="C348" s="32"/>
      <c r="D348" s="123"/>
      <c r="E348" s="122"/>
      <c r="F348" s="122"/>
      <c r="G348" s="9">
        <f>G326+G331-G337</f>
        <v>0</v>
      </c>
      <c r="H348" s="53">
        <f>G348</f>
        <v>0</v>
      </c>
    </row>
    <row r="349" spans="1:8" x14ac:dyDescent="0.3">
      <c r="B349" s="174" t="str">
        <f xml:space="preserve"> ( StartYear + 4 ) &amp; " Surplus Applied to " &amp; ( StartYear + 3 )</f>
        <v>2020 Surplus Applied to 2019</v>
      </c>
      <c r="C349" s="32"/>
      <c r="D349" s="124"/>
      <c r="E349" s="125"/>
      <c r="F349" s="125"/>
      <c r="G349" s="54">
        <v>0</v>
      </c>
      <c r="H349" s="46">
        <v>0</v>
      </c>
    </row>
    <row r="350" spans="1:8" x14ac:dyDescent="0.3">
      <c r="B350" s="129" t="s">
        <v>17</v>
      </c>
      <c r="D350" s="6">
        <f>D340-D341+D343-D342</f>
        <v>0</v>
      </c>
      <c r="E350" s="6">
        <f>E342+E345-E343-E344</f>
        <v>0</v>
      </c>
      <c r="F350" s="6">
        <f>F344+F347-F345-F346</f>
        <v>0</v>
      </c>
      <c r="G350" s="6">
        <f>G346+G349-G347-G348</f>
        <v>0</v>
      </c>
      <c r="H350" s="6">
        <f>H348 - H349</f>
        <v>0</v>
      </c>
    </row>
    <row r="351" spans="1:8" x14ac:dyDescent="0.3">
      <c r="B351" s="130"/>
      <c r="D351" s="6"/>
      <c r="E351" s="6"/>
      <c r="F351" s="6"/>
      <c r="G351" s="6"/>
      <c r="H351" s="6"/>
    </row>
    <row r="352" spans="1:8" x14ac:dyDescent="0.3">
      <c r="B352" s="61" t="s">
        <v>12</v>
      </c>
      <c r="C352" s="59"/>
      <c r="D352" s="82">
        <v>0</v>
      </c>
      <c r="E352" s="120">
        <v>0</v>
      </c>
      <c r="F352" s="120">
        <v>0</v>
      </c>
      <c r="G352" s="120">
        <v>0</v>
      </c>
      <c r="H352" s="83">
        <v>0</v>
      </c>
    </row>
    <row r="353" spans="1:16" x14ac:dyDescent="0.3">
      <c r="B353" s="130"/>
      <c r="D353" s="6"/>
      <c r="E353" s="6"/>
      <c r="F353" s="6"/>
      <c r="G353" s="6"/>
      <c r="H353" s="6"/>
    </row>
    <row r="354" spans="1:16" ht="18.2" x14ac:dyDescent="0.35">
      <c r="A354" s="41" t="s">
        <v>26</v>
      </c>
      <c r="B354" s="131"/>
      <c r="C354" s="59"/>
      <c r="D354" s="121">
        <f xml:space="preserve"> D326 + D331 - D337 + D350 + D352</f>
        <v>0</v>
      </c>
      <c r="E354" s="121">
        <f xml:space="preserve"> E326 + E331 - E337 + E350 + E352</f>
        <v>0</v>
      </c>
      <c r="F354" s="121">
        <f xml:space="preserve"> F326 + F331 - F337 + F350 + F352</f>
        <v>0</v>
      </c>
      <c r="G354" s="121">
        <f xml:space="preserve"> G326 + G331 - G337 + G350 + G352</f>
        <v>0</v>
      </c>
      <c r="H354" s="192">
        <f xml:space="preserve"> H326 + H331 - H337 + H350 + H352</f>
        <v>0</v>
      </c>
    </row>
    <row r="355" spans="1:16" x14ac:dyDescent="0.3">
      <c r="A355" s="1" t="s">
        <v>168</v>
      </c>
      <c r="B355" s="130"/>
      <c r="D355" s="6"/>
      <c r="E355" s="6"/>
      <c r="F355" s="31"/>
      <c r="G355" s="31"/>
      <c r="H355" s="31"/>
    </row>
    <row r="356" spans="1:16" x14ac:dyDescent="0.3">
      <c r="B356" s="131"/>
      <c r="D356" s="1"/>
    </row>
    <row r="357" spans="1:16" s="32" customFormat="1" x14ac:dyDescent="0.3">
      <c r="B357" s="22"/>
      <c r="M357" s="211"/>
      <c r="N357" s="211"/>
      <c r="O357" s="211"/>
      <c r="P357" s="211"/>
    </row>
    <row r="358" spans="1:16" x14ac:dyDescent="0.3">
      <c r="B358" s="22"/>
      <c r="C358" s="32"/>
      <c r="D358" s="32"/>
      <c r="E358" s="32"/>
      <c r="F358" s="32"/>
      <c r="G358" s="32"/>
      <c r="H358" s="32"/>
    </row>
    <row r="359" spans="1:16" ht="21.3" x14ac:dyDescent="0.4">
      <c r="A359" s="12" t="s">
        <v>4</v>
      </c>
      <c r="B359" s="132"/>
      <c r="C359" s="42" t="str">
        <f>B12</f>
        <v>Baker River Project</v>
      </c>
      <c r="D359" s="22"/>
      <c r="E359" s="22"/>
    </row>
    <row r="360" spans="1:16" x14ac:dyDescent="0.3">
      <c r="B360" s="131"/>
      <c r="D360" s="1"/>
      <c r="I360" s="22"/>
    </row>
    <row r="361" spans="1:16" ht="18.2" x14ac:dyDescent="0.35">
      <c r="A361" s="8" t="s">
        <v>21</v>
      </c>
      <c r="B361" s="133"/>
      <c r="D361" s="2">
        <f>D51</f>
        <v>2016</v>
      </c>
      <c r="E361" s="2">
        <f>D361+1</f>
        <v>2017</v>
      </c>
      <c r="F361" s="127">
        <f>E361+1</f>
        <v>2018</v>
      </c>
      <c r="G361" s="127">
        <f>F361+1</f>
        <v>2019</v>
      </c>
      <c r="H361" s="127">
        <f>G361+1</f>
        <v>2020</v>
      </c>
      <c r="I361" s="22"/>
    </row>
    <row r="362" spans="1:16" x14ac:dyDescent="0.3">
      <c r="B362" s="128" t="str">
        <f>"Total MWh Produced / Purchased from " &amp; C359</f>
        <v>Total MWh Produced / Purchased from Baker River Project</v>
      </c>
      <c r="C362" s="59"/>
      <c r="D362" s="196">
        <v>358833</v>
      </c>
      <c r="E362" s="196">
        <v>313000</v>
      </c>
      <c r="F362" s="196">
        <v>385059</v>
      </c>
      <c r="G362" s="3">
        <f>74606/G363</f>
        <v>263625.44169611309</v>
      </c>
      <c r="H362" s="194">
        <v>249799</v>
      </c>
      <c r="I362" s="23"/>
      <c r="J362" s="191">
        <v>43831</v>
      </c>
      <c r="K362" s="211">
        <f>81714/2</f>
        <v>40857</v>
      </c>
    </row>
    <row r="363" spans="1:16" x14ac:dyDescent="0.3">
      <c r="B363" s="128" t="s">
        <v>25</v>
      </c>
      <c r="C363" s="59"/>
      <c r="D363" s="144">
        <v>0.28299999999999997</v>
      </c>
      <c r="E363" s="144">
        <v>0.28299999999999997</v>
      </c>
      <c r="F363" s="144">
        <v>0.28299999999999997</v>
      </c>
      <c r="G363" s="144">
        <v>0.28299999999999997</v>
      </c>
      <c r="H363" s="145">
        <v>0.28299999999999997</v>
      </c>
      <c r="I363" s="22"/>
      <c r="J363" s="191">
        <v>43862</v>
      </c>
      <c r="K363" s="211">
        <v>40292</v>
      </c>
    </row>
    <row r="364" spans="1:16" x14ac:dyDescent="0.3">
      <c r="B364" s="128" t="s">
        <v>20</v>
      </c>
      <c r="C364" s="59"/>
      <c r="D364" s="47">
        <v>1</v>
      </c>
      <c r="E364" s="47">
        <v>1</v>
      </c>
      <c r="F364" s="47">
        <v>1</v>
      </c>
      <c r="G364" s="47">
        <v>1</v>
      </c>
      <c r="H364" s="48">
        <v>1</v>
      </c>
      <c r="J364" s="191">
        <v>43891</v>
      </c>
      <c r="K364" s="211">
        <v>15853</v>
      </c>
    </row>
    <row r="365" spans="1:16" x14ac:dyDescent="0.3">
      <c r="B365" s="61" t="s">
        <v>22</v>
      </c>
      <c r="C365" s="62"/>
      <c r="D365" s="140">
        <f xml:space="preserve"> D362 * D363 * D364</f>
        <v>101549.73899999999</v>
      </c>
      <c r="E365" s="140">
        <f xml:space="preserve"> E362 * E363 * E364</f>
        <v>88578.999999999985</v>
      </c>
      <c r="F365" s="140">
        <f xml:space="preserve"> ROUNDDOWN(F362 * F363 * F364,0)</f>
        <v>108971</v>
      </c>
      <c r="G365" s="140">
        <f xml:space="preserve"> ROUNDDOWN(G362 * G363 * G364,0)</f>
        <v>74606</v>
      </c>
      <c r="H365" s="140">
        <f xml:space="preserve"> ROUNDDOWN(H362 * H363 * H364,0)</f>
        <v>70693</v>
      </c>
      <c r="K365" s="220">
        <f>SUM(K362:K364)</f>
        <v>97002</v>
      </c>
    </row>
    <row r="366" spans="1:16" x14ac:dyDescent="0.3">
      <c r="B366" s="22"/>
      <c r="C366" s="32"/>
      <c r="D366" s="177"/>
      <c r="E366" s="177"/>
      <c r="F366" s="177"/>
      <c r="G366" s="176"/>
      <c r="H366" s="39"/>
    </row>
    <row r="367" spans="1:16" ht="18.2" x14ac:dyDescent="0.35">
      <c r="A367" s="44" t="s">
        <v>119</v>
      </c>
      <c r="B367" s="131"/>
      <c r="C367" s="32"/>
      <c r="D367" s="2">
        <f>D361</f>
        <v>2016</v>
      </c>
      <c r="E367" s="2">
        <f>D367+1</f>
        <v>2017</v>
      </c>
      <c r="F367" s="2">
        <f>E367+1</f>
        <v>2018</v>
      </c>
      <c r="G367" s="2">
        <f>F367+1</f>
        <v>2019</v>
      </c>
      <c r="H367" s="2">
        <f>G367+1</f>
        <v>2020</v>
      </c>
    </row>
    <row r="368" spans="1:16" x14ac:dyDescent="0.3">
      <c r="B368" s="128" t="s">
        <v>10</v>
      </c>
      <c r="C368" s="59"/>
      <c r="D368" s="10">
        <f>IF( $F12 = "Eligible", D365 * 'Facility Detail'!$B$1614, 0 )</f>
        <v>0</v>
      </c>
      <c r="E368" s="118">
        <f>IF( $F12 = "Eligible", E365 * 'Facility Detail'!$B$1614, 0 )</f>
        <v>0</v>
      </c>
      <c r="F368" s="118">
        <f>IF( $F12 = "Eligible", F365 * 'Facility Detail'!$B$1614, 0 )</f>
        <v>0</v>
      </c>
      <c r="G368" s="118">
        <f>IF( $F12 = "Eligible", G365 * 'Facility Detail'!$B$1614, 0 )</f>
        <v>0</v>
      </c>
      <c r="H368" s="11">
        <f>IF( $F12 = "Eligible", H365 * 'Facility Detail'!$B$1614, 0 )</f>
        <v>0</v>
      </c>
    </row>
    <row r="369" spans="1:8" x14ac:dyDescent="0.3">
      <c r="B369" s="128" t="s">
        <v>6</v>
      </c>
      <c r="C369" s="59"/>
      <c r="D369" s="51">
        <f>IF( $G12 = "Eligible", D365, 0 )</f>
        <v>0</v>
      </c>
      <c r="E369" s="119">
        <f>IF( $G12 = "Eligible", E365, 0 )</f>
        <v>0</v>
      </c>
      <c r="F369" s="119">
        <f>IF( $G12 = "Eligible", F365, 0 )</f>
        <v>0</v>
      </c>
      <c r="G369" s="119">
        <f>IF( $G12 = "Eligible", G365, 0 )</f>
        <v>0</v>
      </c>
      <c r="H369" s="52">
        <f>IF( $G12 = "Eligible", H365, 0 )</f>
        <v>0</v>
      </c>
    </row>
    <row r="370" spans="1:8" x14ac:dyDescent="0.3">
      <c r="B370" s="61" t="s">
        <v>121</v>
      </c>
      <c r="C370" s="62"/>
      <c r="D370" s="40">
        <f>SUM(D368:D369)</f>
        <v>0</v>
      </c>
      <c r="E370" s="40">
        <f>SUM(E368:E369)</f>
        <v>0</v>
      </c>
      <c r="F370" s="40">
        <f>SUM(F368:F369)</f>
        <v>0</v>
      </c>
      <c r="G370" s="40">
        <f>SUM(G368:G369)</f>
        <v>0</v>
      </c>
      <c r="H370" s="40">
        <f>SUM(H368:H369)</f>
        <v>0</v>
      </c>
    </row>
    <row r="371" spans="1:8" x14ac:dyDescent="0.3">
      <c r="B371" s="22"/>
      <c r="C371" s="32"/>
      <c r="D371" s="178"/>
      <c r="E371" s="178"/>
      <c r="F371" s="178"/>
      <c r="G371" s="178"/>
      <c r="H371" s="33"/>
    </row>
    <row r="372" spans="1:8" ht="18.2" x14ac:dyDescent="0.35">
      <c r="A372" s="41" t="s">
        <v>30</v>
      </c>
      <c r="B372" s="131"/>
      <c r="C372" s="32"/>
      <c r="D372" s="2">
        <f>D361</f>
        <v>2016</v>
      </c>
      <c r="E372" s="2">
        <f>D372+1</f>
        <v>2017</v>
      </c>
      <c r="F372" s="2">
        <f>E372+1</f>
        <v>2018</v>
      </c>
      <c r="G372" s="2">
        <f>F372+1</f>
        <v>2019</v>
      </c>
      <c r="H372" s="2">
        <f>G372+1</f>
        <v>2020</v>
      </c>
    </row>
    <row r="373" spans="1:8" x14ac:dyDescent="0.3">
      <c r="B373" s="128" t="s">
        <v>47</v>
      </c>
      <c r="C373" s="59"/>
      <c r="D373" s="3">
        <v>0</v>
      </c>
      <c r="E373" s="3">
        <v>0</v>
      </c>
      <c r="F373" s="3">
        <v>0</v>
      </c>
      <c r="G373" s="3">
        <v>0</v>
      </c>
      <c r="H373" s="4">
        <v>0</v>
      </c>
    </row>
    <row r="374" spans="1:8" x14ac:dyDescent="0.3">
      <c r="B374" s="75" t="s">
        <v>23</v>
      </c>
      <c r="C374" s="66"/>
      <c r="D374" s="146">
        <v>0</v>
      </c>
      <c r="E374" s="146">
        <v>0</v>
      </c>
      <c r="F374" s="146">
        <v>0</v>
      </c>
      <c r="G374" s="146">
        <v>0</v>
      </c>
      <c r="H374" s="147">
        <v>0</v>
      </c>
    </row>
    <row r="375" spans="1:8" x14ac:dyDescent="0.3">
      <c r="B375" s="75" t="s">
        <v>89</v>
      </c>
      <c r="C375" s="74"/>
      <c r="D375" s="213">
        <v>0</v>
      </c>
      <c r="E375" s="148">
        <v>0</v>
      </c>
      <c r="F375" s="148">
        <v>0</v>
      </c>
      <c r="G375" s="148">
        <v>0</v>
      </c>
      <c r="H375" s="149">
        <v>0</v>
      </c>
    </row>
    <row r="376" spans="1:8" x14ac:dyDescent="0.3">
      <c r="B376" s="129" t="s">
        <v>90</v>
      </c>
      <c r="D376" s="6">
        <f>SUM(D373:D375)</f>
        <v>0</v>
      </c>
      <c r="E376" s="6">
        <f>SUM(E373:E375)</f>
        <v>0</v>
      </c>
      <c r="F376" s="6">
        <f>SUM(F373:F375)</f>
        <v>0</v>
      </c>
      <c r="G376" s="6">
        <f>SUM(G373:G375)</f>
        <v>0</v>
      </c>
      <c r="H376" s="6">
        <f>SUM(H373:H375)</f>
        <v>0</v>
      </c>
    </row>
    <row r="377" spans="1:8" x14ac:dyDescent="0.3">
      <c r="B377" s="130"/>
      <c r="D377" s="176"/>
      <c r="E377" s="176"/>
      <c r="F377" s="176"/>
      <c r="G377" s="176"/>
      <c r="H377" s="6"/>
    </row>
    <row r="378" spans="1:8" ht="18.2" x14ac:dyDescent="0.35">
      <c r="A378" s="8" t="s">
        <v>100</v>
      </c>
      <c r="B378" s="131"/>
      <c r="D378" s="2">
        <f>D361</f>
        <v>2016</v>
      </c>
      <c r="E378" s="2">
        <f>D378+1</f>
        <v>2017</v>
      </c>
      <c r="F378" s="2">
        <f>E378+1</f>
        <v>2018</v>
      </c>
      <c r="G378" s="2">
        <f>F378+1</f>
        <v>2019</v>
      </c>
      <c r="H378" s="2">
        <f>G378+1</f>
        <v>2020</v>
      </c>
    </row>
    <row r="379" spans="1:8" x14ac:dyDescent="0.3">
      <c r="B379" s="64" t="str">
        <f>(StartYear-1) &amp; " Surplus Applied to " &amp; StartYear</f>
        <v>2015 Surplus Applied to 2016</v>
      </c>
      <c r="C379" s="32"/>
      <c r="D379" s="205">
        <v>0</v>
      </c>
      <c r="E379" s="206"/>
      <c r="F379" s="206"/>
      <c r="G379" s="206"/>
      <c r="H379" s="207"/>
    </row>
    <row r="380" spans="1:8" x14ac:dyDescent="0.3">
      <c r="B380" s="64" t="str">
        <f>StartYear &amp; " Surplus Applied to " &amp; (StartYear-1)</f>
        <v>2016 Surplus Applied to 2015</v>
      </c>
      <c r="C380" s="32"/>
      <c r="D380" s="208">
        <v>0</v>
      </c>
      <c r="E380" s="122"/>
      <c r="F380" s="122"/>
      <c r="G380" s="122"/>
      <c r="H380" s="126"/>
    </row>
    <row r="381" spans="1:8" x14ac:dyDescent="0.3">
      <c r="B381" s="64" t="str">
        <f>( StartYear) &amp; " Surplus Applied to " &amp; ( StartYear + 1 )</f>
        <v>2016 Surplus Applied to 2017</v>
      </c>
      <c r="C381" s="32"/>
      <c r="D381" s="203">
        <v>0</v>
      </c>
      <c r="E381" s="204">
        <f>D381</f>
        <v>0</v>
      </c>
      <c r="F381" s="199"/>
      <c r="G381" s="199"/>
      <c r="H381" s="200"/>
    </row>
    <row r="382" spans="1:8" x14ac:dyDescent="0.3">
      <c r="B382" s="64" t="str">
        <f xml:space="preserve"> ( StartYear + 1 ) &amp; " Surplus Applied to " &amp; ( StartYear )</f>
        <v>2017 Surplus Applied to 2016</v>
      </c>
      <c r="C382" s="32"/>
      <c r="D382" s="143">
        <v>0</v>
      </c>
      <c r="E382" s="9">
        <v>0</v>
      </c>
      <c r="F382" s="122"/>
      <c r="G382" s="122"/>
      <c r="H382" s="126"/>
    </row>
    <row r="383" spans="1:8" x14ac:dyDescent="0.3">
      <c r="B383" s="128" t="str">
        <f xml:space="preserve"> ( StartYear + 1 ) &amp; " Surplus Applied to " &amp; ( StartYear + 2 )</f>
        <v>2017 Surplus Applied to 2018</v>
      </c>
      <c r="C383" s="32"/>
      <c r="D383" s="123">
        <v>0</v>
      </c>
      <c r="E383" s="9">
        <v>0</v>
      </c>
      <c r="F383" s="58">
        <f>E383</f>
        <v>0</v>
      </c>
      <c r="G383" s="122"/>
      <c r="H383" s="126"/>
    </row>
    <row r="384" spans="1:8" x14ac:dyDescent="0.3">
      <c r="B384" s="128" t="str">
        <f xml:space="preserve"> ( StartYear + 2 ) &amp; " Surplus Applied to " &amp; ( StartYear + 1 )</f>
        <v>2018 Surplus Applied to 2017</v>
      </c>
      <c r="C384" s="32"/>
      <c r="D384" s="123"/>
      <c r="E384" s="58">
        <v>0</v>
      </c>
      <c r="F384" s="9">
        <v>0</v>
      </c>
      <c r="G384" s="122"/>
      <c r="H384" s="126"/>
    </row>
    <row r="385" spans="1:16" x14ac:dyDescent="0.3">
      <c r="B385" s="174" t="str">
        <f xml:space="preserve"> ( StartYear + 2 ) &amp; " Surplus Applied to " &amp; ( StartYear + 3 )</f>
        <v>2018 Surplus Applied to 2019</v>
      </c>
      <c r="C385" s="32"/>
      <c r="D385" s="123"/>
      <c r="E385" s="122"/>
      <c r="F385" s="9">
        <v>0</v>
      </c>
      <c r="G385" s="58">
        <f>F385</f>
        <v>0</v>
      </c>
      <c r="H385" s="126"/>
    </row>
    <row r="386" spans="1:16" x14ac:dyDescent="0.3">
      <c r="B386" s="174" t="str">
        <f xml:space="preserve"> ( StartYear + 3 ) &amp; " Surplus Applied to " &amp; ( StartYear + 2 )</f>
        <v>2019 Surplus Applied to 2018</v>
      </c>
      <c r="C386" s="32"/>
      <c r="D386" s="123"/>
      <c r="E386" s="122"/>
      <c r="F386" s="58">
        <v>0</v>
      </c>
      <c r="G386" s="9"/>
      <c r="H386" s="126"/>
    </row>
    <row r="387" spans="1:16" x14ac:dyDescent="0.3">
      <c r="B387" s="174" t="str">
        <f xml:space="preserve"> ( StartYear + 3 ) &amp; " Surplus Applied to " &amp; ( StartYear + 4 )</f>
        <v>2019 Surplus Applied to 2020</v>
      </c>
      <c r="C387" s="32"/>
      <c r="D387" s="123"/>
      <c r="E387" s="122"/>
      <c r="F387" s="122"/>
      <c r="G387" s="9">
        <v>0</v>
      </c>
      <c r="H387" s="53">
        <f>+G387</f>
        <v>0</v>
      </c>
    </row>
    <row r="388" spans="1:16" x14ac:dyDescent="0.3">
      <c r="B388" s="174" t="str">
        <f xml:space="preserve"> ( StartYear + 4 ) &amp; " Surplus Applied to " &amp; ( StartYear + 3 )</f>
        <v>2020 Surplus Applied to 2019</v>
      </c>
      <c r="C388" s="32"/>
      <c r="D388" s="124"/>
      <c r="E388" s="125"/>
      <c r="F388" s="125"/>
      <c r="G388" s="54">
        <v>0</v>
      </c>
      <c r="H388" s="46">
        <v>0</v>
      </c>
    </row>
    <row r="389" spans="1:16" x14ac:dyDescent="0.3">
      <c r="B389" s="129" t="s">
        <v>17</v>
      </c>
      <c r="D389" s="6">
        <f>D379-D380+D382-D381</f>
        <v>0</v>
      </c>
      <c r="E389" s="6">
        <f>E381+E384-E382-E383</f>
        <v>0</v>
      </c>
      <c r="F389" s="6">
        <f>F383+F386-F384-F385</f>
        <v>0</v>
      </c>
      <c r="G389" s="6">
        <f>G385+G388-G386-G387</f>
        <v>0</v>
      </c>
      <c r="H389" s="6">
        <f>H387 - H388</f>
        <v>0</v>
      </c>
    </row>
    <row r="390" spans="1:16" x14ac:dyDescent="0.3">
      <c r="B390" s="130"/>
      <c r="D390" s="6"/>
      <c r="E390" s="6"/>
      <c r="F390" s="6"/>
      <c r="G390" s="6"/>
      <c r="H390" s="6"/>
    </row>
    <row r="391" spans="1:16" x14ac:dyDescent="0.3">
      <c r="B391" s="61" t="s">
        <v>12</v>
      </c>
      <c r="C391" s="59"/>
      <c r="D391" s="82">
        <v>0</v>
      </c>
      <c r="E391" s="120">
        <v>0</v>
      </c>
      <c r="F391" s="120">
        <v>0</v>
      </c>
      <c r="G391" s="120">
        <v>0</v>
      </c>
      <c r="H391" s="83">
        <v>0</v>
      </c>
    </row>
    <row r="392" spans="1:16" x14ac:dyDescent="0.3">
      <c r="B392" s="130"/>
      <c r="D392" s="6"/>
      <c r="E392" s="6"/>
      <c r="F392" s="6"/>
      <c r="G392" s="6"/>
      <c r="H392" s="6"/>
    </row>
    <row r="393" spans="1:16" ht="18.2" x14ac:dyDescent="0.35">
      <c r="A393" s="41" t="s">
        <v>26</v>
      </c>
      <c r="B393" s="131"/>
      <c r="C393" s="59"/>
      <c r="D393" s="121">
        <f xml:space="preserve"> D365 + D370 - D376 + D389 + D391</f>
        <v>101549.73899999999</v>
      </c>
      <c r="E393" s="121">
        <f xml:space="preserve"> E365 + E370 - E376 + E389 + E391</f>
        <v>88578.999999999985</v>
      </c>
      <c r="F393" s="121">
        <f xml:space="preserve"> F365 + F370 - F376 + F389 + F391</f>
        <v>108971</v>
      </c>
      <c r="G393" s="121">
        <f xml:space="preserve"> G365 + G370 - G376 + G389 + G391</f>
        <v>74606</v>
      </c>
      <c r="H393" s="192">
        <f xml:space="preserve"> H365 + H370 - H376 + H389 + H391</f>
        <v>70693</v>
      </c>
    </row>
    <row r="394" spans="1:16" x14ac:dyDescent="0.3">
      <c r="B394" s="130"/>
      <c r="C394" s="138" t="s">
        <v>169</v>
      </c>
      <c r="D394" s="6">
        <v>70243</v>
      </c>
      <c r="E394" s="6">
        <v>88579</v>
      </c>
      <c r="F394" s="6">
        <v>108971</v>
      </c>
      <c r="G394" s="6"/>
      <c r="H394" s="6"/>
    </row>
    <row r="395" spans="1:16" x14ac:dyDescent="0.3">
      <c r="A395" s="1" t="s">
        <v>170</v>
      </c>
      <c r="B395" s="131"/>
      <c r="D395" s="1"/>
    </row>
    <row r="396" spans="1:16" s="32" customFormat="1" x14ac:dyDescent="0.3">
      <c r="B396" s="22"/>
      <c r="I396" s="22"/>
      <c r="J396" s="22"/>
      <c r="M396" s="211"/>
      <c r="N396" s="211"/>
      <c r="O396" s="211"/>
      <c r="P396" s="211"/>
    </row>
    <row r="397" spans="1:16" x14ac:dyDescent="0.3">
      <c r="B397" s="22"/>
      <c r="C397" s="32"/>
      <c r="D397" s="32"/>
      <c r="E397" s="32"/>
      <c r="F397" s="32"/>
      <c r="G397" s="32"/>
      <c r="H397" s="32"/>
      <c r="I397" s="22"/>
      <c r="J397" s="22"/>
    </row>
    <row r="398" spans="1:16" ht="21.3" x14ac:dyDescent="0.4">
      <c r="A398" s="12" t="s">
        <v>4</v>
      </c>
      <c r="B398" s="132"/>
      <c r="C398" s="42" t="str">
        <f>B13</f>
        <v>Snoqualmie Falls Project</v>
      </c>
      <c r="D398" s="22"/>
      <c r="E398" s="22"/>
      <c r="I398" s="23"/>
      <c r="J398" s="22"/>
    </row>
    <row r="399" spans="1:16" x14ac:dyDescent="0.3">
      <c r="B399" s="131"/>
      <c r="D399" s="1"/>
      <c r="I399" s="22"/>
      <c r="J399" s="22"/>
    </row>
    <row r="400" spans="1:16" ht="18.2" x14ac:dyDescent="0.35">
      <c r="A400" s="8" t="s">
        <v>21</v>
      </c>
      <c r="B400" s="133"/>
      <c r="D400" s="2">
        <f>D51</f>
        <v>2016</v>
      </c>
      <c r="E400" s="2">
        <f>D400+1</f>
        <v>2017</v>
      </c>
      <c r="F400" s="127">
        <f>E400+1</f>
        <v>2018</v>
      </c>
      <c r="G400" s="127">
        <f>F400+1</f>
        <v>2019</v>
      </c>
      <c r="H400" s="127">
        <f>G400+1</f>
        <v>2020</v>
      </c>
    </row>
    <row r="401" spans="1:11" x14ac:dyDescent="0.3">
      <c r="B401" s="128" t="str">
        <f>"Total MWh Produced / Purchased from " &amp; C398</f>
        <v>Total MWh Produced / Purchased from Snoqualmie Falls Project</v>
      </c>
      <c r="C401" s="59"/>
      <c r="D401" s="196">
        <v>205584</v>
      </c>
      <c r="E401" s="196">
        <v>195400</v>
      </c>
      <c r="F401" s="196">
        <v>194398</v>
      </c>
      <c r="G401" s="3">
        <f>15750/G402</f>
        <v>185294.1176470588</v>
      </c>
      <c r="H401" s="4">
        <v>204694</v>
      </c>
      <c r="J401" s="191">
        <v>43831</v>
      </c>
      <c r="K401" s="211">
        <f>51403/2</f>
        <v>25701.5</v>
      </c>
    </row>
    <row r="402" spans="1:11" x14ac:dyDescent="0.3">
      <c r="B402" s="128" t="s">
        <v>25</v>
      </c>
      <c r="C402" s="59"/>
      <c r="D402" s="144">
        <v>8.5000000000000006E-2</v>
      </c>
      <c r="E402" s="144">
        <v>8.5000000000000006E-2</v>
      </c>
      <c r="F402" s="144">
        <v>8.5000000000000006E-2</v>
      </c>
      <c r="G402" s="144">
        <v>8.5000000000000006E-2</v>
      </c>
      <c r="H402" s="145">
        <v>8.5000000000000006E-2</v>
      </c>
      <c r="J402" s="191">
        <v>43862</v>
      </c>
      <c r="K402" s="211">
        <v>19114</v>
      </c>
    </row>
    <row r="403" spans="1:11" x14ac:dyDescent="0.3">
      <c r="B403" s="128" t="s">
        <v>20</v>
      </c>
      <c r="C403" s="59"/>
      <c r="D403" s="47">
        <v>1</v>
      </c>
      <c r="E403" s="47">
        <v>1</v>
      </c>
      <c r="F403" s="47">
        <v>1</v>
      </c>
      <c r="G403" s="47">
        <v>1</v>
      </c>
      <c r="H403" s="48">
        <v>1</v>
      </c>
      <c r="J403" s="191">
        <v>43891</v>
      </c>
      <c r="K403" s="211">
        <v>16945</v>
      </c>
    </row>
    <row r="404" spans="1:11" x14ac:dyDescent="0.3">
      <c r="B404" s="61" t="s">
        <v>22</v>
      </c>
      <c r="C404" s="62"/>
      <c r="D404" s="140">
        <f xml:space="preserve"> D401 * D402 * D403</f>
        <v>17474.640000000003</v>
      </c>
      <c r="E404" s="140">
        <f xml:space="preserve"> E401 * E402 * E403</f>
        <v>16609</v>
      </c>
      <c r="F404" s="140">
        <f xml:space="preserve"> ROUNDDOWN(F401 * F402 * F403,0)</f>
        <v>16523</v>
      </c>
      <c r="G404" s="140">
        <f xml:space="preserve"> ROUNDDOWN(G401 * G402 * G403,0)</f>
        <v>15750</v>
      </c>
      <c r="H404" s="140">
        <f xml:space="preserve"> ROUNDDOWN(H401 * H402 * H403,0)</f>
        <v>17398</v>
      </c>
      <c r="K404" s="220">
        <f>SUM(K401:K403)</f>
        <v>61760.5</v>
      </c>
    </row>
    <row r="405" spans="1:11" x14ac:dyDescent="0.3">
      <c r="B405" s="22"/>
      <c r="C405" s="32"/>
      <c r="D405" s="177"/>
      <c r="E405" s="177"/>
      <c r="F405" s="177"/>
      <c r="G405" s="176"/>
      <c r="H405" s="39"/>
    </row>
    <row r="406" spans="1:11" ht="18.2" x14ac:dyDescent="0.35">
      <c r="A406" s="44" t="s">
        <v>119</v>
      </c>
      <c r="B406" s="131"/>
      <c r="C406" s="32"/>
      <c r="D406" s="2">
        <f>D400</f>
        <v>2016</v>
      </c>
      <c r="E406" s="2">
        <f>D406+1</f>
        <v>2017</v>
      </c>
      <c r="F406" s="2">
        <f>E406+1</f>
        <v>2018</v>
      </c>
      <c r="G406" s="2">
        <f>F406+1</f>
        <v>2019</v>
      </c>
      <c r="H406" s="2">
        <f>G406+1</f>
        <v>2020</v>
      </c>
    </row>
    <row r="407" spans="1:11" x14ac:dyDescent="0.3">
      <c r="B407" s="128" t="s">
        <v>10</v>
      </c>
      <c r="C407" s="59"/>
      <c r="D407" s="10">
        <f>IF( $F13 = "Eligible", D404 * 'Facility Detail'!$B$1614, 0 )</f>
        <v>0</v>
      </c>
      <c r="E407" s="118">
        <f>IF( $F13 = "Eligible", E404 * 'Facility Detail'!$B$1614, 0 )</f>
        <v>0</v>
      </c>
      <c r="F407" s="118">
        <f>IF( $F13 = "Eligible", F404 * 'Facility Detail'!$B$1614, 0 )</f>
        <v>0</v>
      </c>
      <c r="G407" s="118">
        <f>IF( $F13 = "Eligible", G404 * 'Facility Detail'!$B$1614, 0 )</f>
        <v>0</v>
      </c>
      <c r="H407" s="11">
        <f>IF( $F13 = "Eligible", H404 * 'Facility Detail'!$B$1614, 0 )</f>
        <v>0</v>
      </c>
    </row>
    <row r="408" spans="1:11" x14ac:dyDescent="0.3">
      <c r="B408" s="128" t="s">
        <v>6</v>
      </c>
      <c r="C408" s="59"/>
      <c r="D408" s="51">
        <f>IF( $G13 = "Eligible", D404, 0 )</f>
        <v>0</v>
      </c>
      <c r="E408" s="119">
        <f>IF( $G13 = "Eligible", E404, 0 )</f>
        <v>0</v>
      </c>
      <c r="F408" s="119">
        <f>IF( $G13 = "Eligible", F404, 0 )</f>
        <v>0</v>
      </c>
      <c r="G408" s="119">
        <f>IF( $G13 = "Eligible", G404, 0 )</f>
        <v>0</v>
      </c>
      <c r="H408" s="52">
        <f>IF( $G13 = "Eligible", H404, 0 )</f>
        <v>0</v>
      </c>
    </row>
    <row r="409" spans="1:11" x14ac:dyDescent="0.3">
      <c r="B409" s="61" t="s">
        <v>121</v>
      </c>
      <c r="C409" s="62"/>
      <c r="D409" s="40">
        <f>SUM(D407:D408)</f>
        <v>0</v>
      </c>
      <c r="E409" s="40">
        <f>SUM(E407:E408)</f>
        <v>0</v>
      </c>
      <c r="F409" s="40">
        <f>SUM(F407:F408)</f>
        <v>0</v>
      </c>
      <c r="G409" s="40">
        <f>SUM(G407:G408)</f>
        <v>0</v>
      </c>
      <c r="H409" s="40">
        <f>SUM(H407:H408)</f>
        <v>0</v>
      </c>
    </row>
    <row r="410" spans="1:11" x14ac:dyDescent="0.3">
      <c r="B410" s="22"/>
      <c r="C410" s="32"/>
      <c r="D410" s="178"/>
      <c r="E410" s="178"/>
      <c r="F410" s="178"/>
      <c r="G410" s="178"/>
      <c r="H410" s="33"/>
    </row>
    <row r="411" spans="1:11" ht="18.2" x14ac:dyDescent="0.35">
      <c r="A411" s="41" t="s">
        <v>30</v>
      </c>
      <c r="B411" s="131"/>
      <c r="C411" s="32"/>
      <c r="D411" s="2">
        <f>D400</f>
        <v>2016</v>
      </c>
      <c r="E411" s="2">
        <f>D411+1</f>
        <v>2017</v>
      </c>
      <c r="F411" s="2">
        <f>E411+1</f>
        <v>2018</v>
      </c>
      <c r="G411" s="2">
        <f>F411+1</f>
        <v>2019</v>
      </c>
      <c r="H411" s="2">
        <f>G411+1</f>
        <v>2020</v>
      </c>
    </row>
    <row r="412" spans="1:11" x14ac:dyDescent="0.3">
      <c r="B412" s="128" t="s">
        <v>47</v>
      </c>
      <c r="C412" s="59"/>
      <c r="D412" s="3">
        <v>0</v>
      </c>
      <c r="E412" s="3">
        <v>0</v>
      </c>
      <c r="F412" s="3">
        <v>0</v>
      </c>
      <c r="G412" s="3">
        <v>0</v>
      </c>
      <c r="H412" s="4">
        <v>0</v>
      </c>
    </row>
    <row r="413" spans="1:11" x14ac:dyDescent="0.3">
      <c r="B413" s="75" t="s">
        <v>23</v>
      </c>
      <c r="C413" s="66"/>
      <c r="D413" s="146">
        <v>0</v>
      </c>
      <c r="E413" s="146">
        <v>0</v>
      </c>
      <c r="F413" s="146">
        <v>0</v>
      </c>
      <c r="G413" s="146">
        <v>0</v>
      </c>
      <c r="H413" s="147">
        <v>0</v>
      </c>
    </row>
    <row r="414" spans="1:11" x14ac:dyDescent="0.3">
      <c r="B414" s="75" t="s">
        <v>89</v>
      </c>
      <c r="C414" s="74"/>
      <c r="D414" s="213">
        <v>0</v>
      </c>
      <c r="E414" s="148">
        <v>0</v>
      </c>
      <c r="F414" s="148">
        <v>0</v>
      </c>
      <c r="G414" s="148">
        <v>0</v>
      </c>
      <c r="H414" s="149">
        <v>0</v>
      </c>
    </row>
    <row r="415" spans="1:11" x14ac:dyDescent="0.3">
      <c r="B415" s="129" t="s">
        <v>90</v>
      </c>
      <c r="D415" s="6">
        <f>SUM(D412:D414)</f>
        <v>0</v>
      </c>
      <c r="E415" s="6">
        <f>SUM(E412:E414)</f>
        <v>0</v>
      </c>
      <c r="F415" s="6">
        <f>SUM(F412:F414)</f>
        <v>0</v>
      </c>
      <c r="G415" s="6">
        <f>SUM(G412:G414)</f>
        <v>0</v>
      </c>
      <c r="H415" s="6">
        <f>SUM(H412:H414)</f>
        <v>0</v>
      </c>
    </row>
    <row r="416" spans="1:11" x14ac:dyDescent="0.3">
      <c r="B416" s="130"/>
      <c r="D416" s="176"/>
      <c r="E416" s="176"/>
      <c r="F416" s="176"/>
      <c r="G416" s="176"/>
      <c r="H416" s="6"/>
    </row>
    <row r="417" spans="1:8" ht="18.2" x14ac:dyDescent="0.35">
      <c r="A417" s="8" t="s">
        <v>100</v>
      </c>
      <c r="B417" s="131"/>
      <c r="D417" s="2">
        <f>D400</f>
        <v>2016</v>
      </c>
      <c r="E417" s="2">
        <f>D417+1</f>
        <v>2017</v>
      </c>
      <c r="F417" s="2">
        <f>E417+1</f>
        <v>2018</v>
      </c>
      <c r="G417" s="2">
        <f>F417+1</f>
        <v>2019</v>
      </c>
      <c r="H417" s="2">
        <f>G417+1</f>
        <v>2020</v>
      </c>
    </row>
    <row r="418" spans="1:8" x14ac:dyDescent="0.3">
      <c r="B418" s="64" t="str">
        <f>(StartYear-1) &amp; " Surplus Applied to " &amp; StartYear</f>
        <v>2015 Surplus Applied to 2016</v>
      </c>
      <c r="C418" s="32"/>
      <c r="D418" s="205">
        <v>0</v>
      </c>
      <c r="E418" s="206"/>
      <c r="F418" s="206"/>
      <c r="G418" s="206"/>
      <c r="H418" s="207"/>
    </row>
    <row r="419" spans="1:8" x14ac:dyDescent="0.3">
      <c r="B419" s="64" t="str">
        <f>StartYear &amp; " Surplus Applied to " &amp; (StartYear-1)</f>
        <v>2016 Surplus Applied to 2015</v>
      </c>
      <c r="C419" s="32"/>
      <c r="D419" s="208">
        <v>0</v>
      </c>
      <c r="E419" s="122"/>
      <c r="F419" s="122"/>
      <c r="G419" s="122"/>
      <c r="H419" s="126"/>
    </row>
    <row r="420" spans="1:8" x14ac:dyDescent="0.3">
      <c r="B420" s="64" t="str">
        <f>( StartYear) &amp; " Surplus Applied to " &amp; ( StartYear + 1 )</f>
        <v>2016 Surplus Applied to 2017</v>
      </c>
      <c r="C420" s="32"/>
      <c r="D420" s="203">
        <v>0</v>
      </c>
      <c r="E420" s="204">
        <f>D420</f>
        <v>0</v>
      </c>
      <c r="F420" s="199"/>
      <c r="G420" s="199"/>
      <c r="H420" s="200"/>
    </row>
    <row r="421" spans="1:8" x14ac:dyDescent="0.3">
      <c r="B421" s="64" t="str">
        <f xml:space="preserve"> ( StartYear + 1 ) &amp; " Surplus Applied to " &amp; ( StartYear )</f>
        <v>2017 Surplus Applied to 2016</v>
      </c>
      <c r="C421" s="32"/>
      <c r="D421" s="143">
        <v>0</v>
      </c>
      <c r="E421" s="9">
        <v>0</v>
      </c>
      <c r="F421" s="122"/>
      <c r="G421" s="122"/>
      <c r="H421" s="126"/>
    </row>
    <row r="422" spans="1:8" x14ac:dyDescent="0.3">
      <c r="B422" s="128" t="str">
        <f xml:space="preserve"> ( StartYear + 1 ) &amp; " Surplus Applied to " &amp; ( StartYear + 2 )</f>
        <v>2017 Surplus Applied to 2018</v>
      </c>
      <c r="C422" s="32"/>
      <c r="D422" s="123"/>
      <c r="E422" s="9">
        <v>0</v>
      </c>
      <c r="F422" s="58">
        <f>E422</f>
        <v>0</v>
      </c>
      <c r="G422" s="122"/>
      <c r="H422" s="126"/>
    </row>
    <row r="423" spans="1:8" x14ac:dyDescent="0.3">
      <c r="B423" s="128" t="str">
        <f xml:space="preserve"> ( StartYear + 2 ) &amp; " Surplus Applied to " &amp; ( StartYear + 1 )</f>
        <v>2018 Surplus Applied to 2017</v>
      </c>
      <c r="C423" s="32"/>
      <c r="D423" s="123"/>
      <c r="E423" s="58">
        <v>0</v>
      </c>
      <c r="F423" s="9">
        <v>0</v>
      </c>
      <c r="G423" s="122"/>
      <c r="H423" s="126"/>
    </row>
    <row r="424" spans="1:8" x14ac:dyDescent="0.3">
      <c r="B424" s="174" t="str">
        <f xml:space="preserve"> ( StartYear + 2 ) &amp; " Surplus Applied to " &amp; ( StartYear + 3 )</f>
        <v>2018 Surplus Applied to 2019</v>
      </c>
      <c r="C424" s="32"/>
      <c r="D424" s="123"/>
      <c r="E424" s="122"/>
      <c r="F424" s="9">
        <v>0</v>
      </c>
      <c r="G424" s="58">
        <f>F424</f>
        <v>0</v>
      </c>
      <c r="H424" s="126"/>
    </row>
    <row r="425" spans="1:8" x14ac:dyDescent="0.3">
      <c r="B425" s="174" t="str">
        <f xml:space="preserve"> ( StartYear + 3 ) &amp; " Surplus Applied to " &amp; ( StartYear + 2 )</f>
        <v>2019 Surplus Applied to 2018</v>
      </c>
      <c r="C425" s="32"/>
      <c r="D425" s="123"/>
      <c r="E425" s="122"/>
      <c r="F425" s="58">
        <v>0</v>
      </c>
      <c r="G425" s="9">
        <v>0</v>
      </c>
      <c r="H425" s="126"/>
    </row>
    <row r="426" spans="1:8" x14ac:dyDescent="0.3">
      <c r="B426" s="174" t="str">
        <f xml:space="preserve"> ( StartYear + 3 ) &amp; " Surplus Applied to " &amp; ( StartYear + 4 )</f>
        <v>2019 Surplus Applied to 2020</v>
      </c>
      <c r="C426" s="32"/>
      <c r="D426" s="123"/>
      <c r="E426" s="122"/>
      <c r="F426" s="122"/>
      <c r="G426" s="9">
        <v>0</v>
      </c>
      <c r="H426" s="53">
        <f>+G426</f>
        <v>0</v>
      </c>
    </row>
    <row r="427" spans="1:8" x14ac:dyDescent="0.3">
      <c r="B427" s="174" t="str">
        <f xml:space="preserve"> ( StartYear + 4 ) &amp; " Surplus Applied to " &amp; ( StartYear + 3 )</f>
        <v>2020 Surplus Applied to 2019</v>
      </c>
      <c r="C427" s="32"/>
      <c r="D427" s="124"/>
      <c r="E427" s="125"/>
      <c r="F427" s="125"/>
      <c r="G427" s="54">
        <v>0</v>
      </c>
      <c r="H427" s="46">
        <v>0</v>
      </c>
    </row>
    <row r="428" spans="1:8" x14ac:dyDescent="0.3">
      <c r="B428" s="129" t="s">
        <v>17</v>
      </c>
      <c r="D428" s="6">
        <f>D418-D419+D421-D420</f>
        <v>0</v>
      </c>
      <c r="E428" s="6">
        <f>E420+E423-E421-E422</f>
        <v>0</v>
      </c>
      <c r="F428" s="6">
        <f>F422+F425-F423-F424</f>
        <v>0</v>
      </c>
      <c r="G428" s="6">
        <f>G424+G427-G425-G426</f>
        <v>0</v>
      </c>
      <c r="H428" s="6">
        <f>H426 - H427</f>
        <v>0</v>
      </c>
    </row>
    <row r="429" spans="1:8" x14ac:dyDescent="0.3">
      <c r="B429" s="130"/>
      <c r="D429" s="6"/>
      <c r="E429" s="6"/>
      <c r="F429" s="6"/>
      <c r="G429" s="6"/>
      <c r="H429" s="6"/>
    </row>
    <row r="430" spans="1:8" x14ac:dyDescent="0.3">
      <c r="B430" s="61" t="s">
        <v>12</v>
      </c>
      <c r="D430" s="202">
        <v>0</v>
      </c>
      <c r="E430" s="120">
        <v>0</v>
      </c>
      <c r="F430" s="120">
        <v>0</v>
      </c>
      <c r="G430" s="120">
        <v>0</v>
      </c>
      <c r="H430" s="83">
        <v>0</v>
      </c>
    </row>
    <row r="431" spans="1:8" x14ac:dyDescent="0.3">
      <c r="B431" s="130"/>
      <c r="D431" s="6"/>
      <c r="E431" s="6"/>
      <c r="F431" s="6"/>
      <c r="G431" s="6"/>
      <c r="H431" s="6"/>
    </row>
    <row r="432" spans="1:8" ht="18.2" x14ac:dyDescent="0.35">
      <c r="A432" s="41" t="s">
        <v>26</v>
      </c>
      <c r="B432" s="131"/>
      <c r="C432" s="59"/>
      <c r="D432" s="121">
        <f xml:space="preserve"> D404 + D409 - D415 + D428 + D430</f>
        <v>17474.640000000003</v>
      </c>
      <c r="E432" s="121">
        <f xml:space="preserve"> E404 + E409 - E415 + E428 + E430</f>
        <v>16609</v>
      </c>
      <c r="F432" s="121">
        <f xml:space="preserve"> F404 + F409 - F415 + F428 + F430</f>
        <v>16523</v>
      </c>
      <c r="G432" s="121">
        <f xml:space="preserve"> G404 + G409 - G415 + G428 + G430</f>
        <v>15750</v>
      </c>
      <c r="H432" s="192">
        <f xml:space="preserve"> H404 + H409 - H415 + H428 + H430</f>
        <v>17398</v>
      </c>
    </row>
    <row r="433" spans="1:8" x14ac:dyDescent="0.3">
      <c r="C433" s="138" t="s">
        <v>169</v>
      </c>
      <c r="D433" s="6">
        <v>12342</v>
      </c>
      <c r="E433" s="6">
        <v>16609</v>
      </c>
      <c r="F433" s="6">
        <v>16523</v>
      </c>
      <c r="G433" s="6"/>
      <c r="H433" s="6"/>
    </row>
    <row r="434" spans="1:8" x14ac:dyDescent="0.3">
      <c r="A434" s="1" t="s">
        <v>171</v>
      </c>
      <c r="B434" s="130"/>
      <c r="D434" s="6"/>
      <c r="E434" s="6"/>
      <c r="F434" s="31"/>
      <c r="G434" s="31"/>
      <c r="H434" s="31"/>
    </row>
    <row r="435" spans="1:8" x14ac:dyDescent="0.3">
      <c r="A435" s="32"/>
      <c r="B435" s="32"/>
      <c r="C435" s="32"/>
      <c r="D435" s="32"/>
      <c r="E435" s="32"/>
      <c r="F435" s="32"/>
      <c r="G435" s="32"/>
      <c r="H435" s="32"/>
    </row>
    <row r="436" spans="1:8" x14ac:dyDescent="0.3">
      <c r="B436" s="32"/>
      <c r="C436" s="32"/>
      <c r="D436" s="32"/>
      <c r="E436" s="32"/>
      <c r="F436" s="32"/>
      <c r="G436" s="32"/>
      <c r="H436" s="32"/>
    </row>
    <row r="437" spans="1:8" ht="21.3" x14ac:dyDescent="0.4">
      <c r="A437" s="12" t="s">
        <v>4</v>
      </c>
      <c r="B437" s="12"/>
      <c r="C437" s="42" t="str">
        <f>B14</f>
        <v>Klondike 1--REC only**</v>
      </c>
      <c r="D437" s="22"/>
      <c r="E437" s="22"/>
    </row>
    <row r="438" spans="1:8" x14ac:dyDescent="0.3">
      <c r="C438" s="22" t="s">
        <v>173</v>
      </c>
      <c r="D438" s="1"/>
    </row>
    <row r="439" spans="1:8" ht="18.2" x14ac:dyDescent="0.35">
      <c r="A439" s="8" t="s">
        <v>21</v>
      </c>
      <c r="B439" s="8"/>
      <c r="D439" s="2">
        <f>D51</f>
        <v>2016</v>
      </c>
      <c r="E439" s="2">
        <f>D439+1</f>
        <v>2017</v>
      </c>
      <c r="F439" s="2">
        <f>E439+1</f>
        <v>2018</v>
      </c>
      <c r="G439" s="2">
        <f>F439+1</f>
        <v>2019</v>
      </c>
      <c r="H439" s="2">
        <f>G439+1</f>
        <v>2020</v>
      </c>
    </row>
    <row r="440" spans="1:8" x14ac:dyDescent="0.3">
      <c r="B440" s="64" t="str">
        <f>"Purchased from " &amp; C437</f>
        <v>Purchased from Klondike 1--REC only**</v>
      </c>
      <c r="C440" s="59"/>
      <c r="D440" s="3"/>
      <c r="E440" s="3">
        <v>968</v>
      </c>
      <c r="F440" s="3"/>
      <c r="G440" s="3"/>
      <c r="H440" s="4"/>
    </row>
    <row r="441" spans="1:8" x14ac:dyDescent="0.3">
      <c r="B441" s="64" t="s">
        <v>25</v>
      </c>
      <c r="C441" s="59"/>
      <c r="D441" s="141"/>
      <c r="E441" s="141">
        <v>1</v>
      </c>
      <c r="F441" s="141"/>
      <c r="G441" s="141"/>
      <c r="H441" s="142"/>
    </row>
    <row r="442" spans="1:8" x14ac:dyDescent="0.3">
      <c r="B442" s="64" t="s">
        <v>20</v>
      </c>
      <c r="C442" s="59"/>
      <c r="D442" s="47"/>
      <c r="E442" s="47">
        <v>1</v>
      </c>
      <c r="F442" s="47"/>
      <c r="G442" s="47"/>
      <c r="H442" s="48"/>
    </row>
    <row r="443" spans="1:8" x14ac:dyDescent="0.3">
      <c r="B443" s="61" t="s">
        <v>22</v>
      </c>
      <c r="C443" s="62"/>
      <c r="D443" s="140">
        <f xml:space="preserve"> D440 * D441 * D442</f>
        <v>0</v>
      </c>
      <c r="E443" s="140">
        <f xml:space="preserve"> E440 * E441 * E442</f>
        <v>968</v>
      </c>
      <c r="F443" s="140">
        <f t="shared" ref="F443:H443" si="0" xml:space="preserve"> ROUNDDOWN(F440 * F441 * F442,0)</f>
        <v>0</v>
      </c>
      <c r="G443" s="140">
        <f t="shared" si="0"/>
        <v>0</v>
      </c>
      <c r="H443" s="140">
        <f t="shared" si="0"/>
        <v>0</v>
      </c>
    </row>
    <row r="444" spans="1:8" x14ac:dyDescent="0.3">
      <c r="B444" s="22"/>
      <c r="C444" s="32"/>
      <c r="D444" s="39"/>
      <c r="E444" s="39"/>
      <c r="F444" s="39"/>
      <c r="G444" s="176"/>
      <c r="H444" s="39"/>
    </row>
    <row r="445" spans="1:8" ht="18.2" x14ac:dyDescent="0.35">
      <c r="A445" s="44" t="s">
        <v>119</v>
      </c>
      <c r="C445" s="32"/>
      <c r="D445" s="2">
        <f>D439</f>
        <v>2016</v>
      </c>
      <c r="E445" s="2">
        <f>D445+1</f>
        <v>2017</v>
      </c>
      <c r="F445" s="2">
        <f>E445+1</f>
        <v>2018</v>
      </c>
      <c r="G445" s="2">
        <f>F445+1</f>
        <v>2019</v>
      </c>
      <c r="H445" s="2">
        <f>G445+1</f>
        <v>2020</v>
      </c>
    </row>
    <row r="446" spans="1:8" x14ac:dyDescent="0.3">
      <c r="B446" s="64" t="s">
        <v>10</v>
      </c>
      <c r="C446" s="59"/>
      <c r="D446" s="10">
        <f>IF( $F14 = "Eligible", D443 * 'Facility Detail'!$B$1614, 0 )</f>
        <v>0</v>
      </c>
      <c r="E446" s="118">
        <f>IF( $F14 = "Eligible", E443 * 'Facility Detail'!$B$1614, 0 )</f>
        <v>0</v>
      </c>
      <c r="F446" s="118">
        <f>IF( $F14 = "Eligible", F443 * 'Facility Detail'!$B$1614, 0 )</f>
        <v>0</v>
      </c>
      <c r="G446" s="118">
        <f>IF( $F14 = "Eligible", G443 * 'Facility Detail'!$B$1614, 0 )</f>
        <v>0</v>
      </c>
      <c r="H446" s="11">
        <f>IF( $F14 = "Eligible", H443 * 'Facility Detail'!$B$1614, 0 )</f>
        <v>0</v>
      </c>
    </row>
    <row r="447" spans="1:8" x14ac:dyDescent="0.3">
      <c r="B447" s="64" t="s">
        <v>6</v>
      </c>
      <c r="C447" s="59"/>
      <c r="D447" s="51">
        <f>IF( $G14 = "Eligible", D443, 0 )</f>
        <v>0</v>
      </c>
      <c r="E447" s="119">
        <f>IF( $G14 = "Eligible", E443, 0 )</f>
        <v>0</v>
      </c>
      <c r="F447" s="119">
        <f>IF( $G14 = "Eligible", F443, 0 )</f>
        <v>0</v>
      </c>
      <c r="G447" s="119">
        <f>IF( $G14 = "Eligible", G443, 0 )</f>
        <v>0</v>
      </c>
      <c r="H447" s="52">
        <f>IF( $G14 = "Eligible", H443, 0 )</f>
        <v>0</v>
      </c>
    </row>
    <row r="448" spans="1:8" x14ac:dyDescent="0.3">
      <c r="B448" s="63" t="s">
        <v>121</v>
      </c>
      <c r="C448" s="62"/>
      <c r="D448" s="40">
        <f>SUM(D446:D447)</f>
        <v>0</v>
      </c>
      <c r="E448" s="40">
        <f>SUM(E446:E447)</f>
        <v>0</v>
      </c>
      <c r="F448" s="40">
        <f>SUM(F446:F447)</f>
        <v>0</v>
      </c>
      <c r="G448" s="40">
        <f>SUM(G446:G447)</f>
        <v>0</v>
      </c>
      <c r="H448" s="40">
        <f>SUM(H446:H447)</f>
        <v>0</v>
      </c>
    </row>
    <row r="449" spans="1:8" x14ac:dyDescent="0.3">
      <c r="B449" s="32"/>
      <c r="C449" s="32"/>
      <c r="D449" s="33"/>
      <c r="E449" s="33"/>
      <c r="F449" s="33"/>
      <c r="G449" s="178"/>
      <c r="H449" s="33"/>
    </row>
    <row r="450" spans="1:8" ht="18.2" x14ac:dyDescent="0.35">
      <c r="A450" s="41" t="s">
        <v>30</v>
      </c>
      <c r="C450" s="32"/>
      <c r="D450" s="2">
        <f>D445</f>
        <v>2016</v>
      </c>
      <c r="E450" s="2">
        <f>D450+1</f>
        <v>2017</v>
      </c>
      <c r="F450" s="2">
        <f>E450+1</f>
        <v>2018</v>
      </c>
      <c r="G450" s="2">
        <f>F450+1</f>
        <v>2019</v>
      </c>
      <c r="H450" s="2">
        <f>G450+1</f>
        <v>2020</v>
      </c>
    </row>
    <row r="451" spans="1:8" x14ac:dyDescent="0.3">
      <c r="B451" s="64" t="s">
        <v>47</v>
      </c>
      <c r="C451" s="59"/>
      <c r="D451" s="3">
        <v>0</v>
      </c>
      <c r="E451" s="3">
        <v>0</v>
      </c>
      <c r="F451" s="3">
        <v>0</v>
      </c>
      <c r="G451" s="3">
        <v>0</v>
      </c>
      <c r="H451" s="4">
        <v>0</v>
      </c>
    </row>
    <row r="452" spans="1:8" x14ac:dyDescent="0.3">
      <c r="B452" s="65" t="s">
        <v>23</v>
      </c>
      <c r="C452" s="66"/>
      <c r="D452" s="146">
        <v>0</v>
      </c>
      <c r="E452" s="146">
        <v>0</v>
      </c>
      <c r="F452" s="146">
        <v>0</v>
      </c>
      <c r="G452" s="146">
        <v>0</v>
      </c>
      <c r="H452" s="147">
        <v>0</v>
      </c>
    </row>
    <row r="453" spans="1:8" x14ac:dyDescent="0.3">
      <c r="B453" s="75" t="s">
        <v>89</v>
      </c>
      <c r="C453" s="74"/>
      <c r="D453" s="213">
        <v>0</v>
      </c>
      <c r="E453" s="148">
        <v>0</v>
      </c>
      <c r="F453" s="148">
        <v>0</v>
      </c>
      <c r="G453" s="148">
        <v>0</v>
      </c>
      <c r="H453" s="149">
        <v>0</v>
      </c>
    </row>
    <row r="454" spans="1:8" x14ac:dyDescent="0.3">
      <c r="B454" s="35" t="s">
        <v>90</v>
      </c>
      <c r="D454" s="6">
        <f>SUM(D451:D453)</f>
        <v>0</v>
      </c>
      <c r="E454" s="6">
        <f>SUM(E451:E453)</f>
        <v>0</v>
      </c>
      <c r="F454" s="6">
        <f>SUM(F451:F453)</f>
        <v>0</v>
      </c>
      <c r="G454" s="6">
        <f>SUM(G451:G453)</f>
        <v>0</v>
      </c>
      <c r="H454" s="6">
        <f>SUM(H451:H453)</f>
        <v>0</v>
      </c>
    </row>
    <row r="455" spans="1:8" x14ac:dyDescent="0.3">
      <c r="B455" s="5"/>
      <c r="D455" s="6"/>
      <c r="E455" s="6"/>
      <c r="F455" s="6"/>
      <c r="G455" s="176"/>
      <c r="H455" s="6"/>
    </row>
    <row r="456" spans="1:8" ht="18.2" x14ac:dyDescent="0.35">
      <c r="A456" s="8" t="s">
        <v>100</v>
      </c>
      <c r="D456" s="2">
        <f>D450</f>
        <v>2016</v>
      </c>
      <c r="E456" s="2">
        <f>D456+1</f>
        <v>2017</v>
      </c>
      <c r="F456" s="2">
        <f>E456+1</f>
        <v>2018</v>
      </c>
      <c r="G456" s="2">
        <f>F456+1</f>
        <v>2019</v>
      </c>
      <c r="H456" s="2">
        <f>G456+1</f>
        <v>2020</v>
      </c>
    </row>
    <row r="457" spans="1:8" x14ac:dyDescent="0.3">
      <c r="B457" s="64" t="str">
        <f>(StartYear-1) &amp; " Surplus Applied to " &amp; StartYear</f>
        <v>2015 Surplus Applied to 2016</v>
      </c>
      <c r="C457" s="32"/>
      <c r="D457" s="205">
        <v>0</v>
      </c>
      <c r="E457" s="206"/>
      <c r="F457" s="206"/>
      <c r="G457" s="206"/>
      <c r="H457" s="207"/>
    </row>
    <row r="458" spans="1:8" x14ac:dyDescent="0.3">
      <c r="B458" s="64" t="str">
        <f>StartYear &amp; " Surplus Applied to " &amp; (StartYear-1)</f>
        <v>2016 Surplus Applied to 2015</v>
      </c>
      <c r="C458" s="32"/>
      <c r="D458" s="208">
        <v>0</v>
      </c>
      <c r="E458" s="122"/>
      <c r="F458" s="122"/>
      <c r="G458" s="122"/>
      <c r="H458" s="126"/>
    </row>
    <row r="459" spans="1:8" x14ac:dyDescent="0.3">
      <c r="B459" s="64" t="str">
        <f>( StartYear) &amp; " Surplus Applied to " &amp; ( StartYear + 1 )</f>
        <v>2016 Surplus Applied to 2017</v>
      </c>
      <c r="C459" s="32"/>
      <c r="D459" s="203">
        <f>D443+D448-D454</f>
        <v>0</v>
      </c>
      <c r="E459" s="204">
        <f>D459</f>
        <v>0</v>
      </c>
      <c r="F459" s="199"/>
      <c r="G459" s="199"/>
      <c r="H459" s="200"/>
    </row>
    <row r="460" spans="1:8" x14ac:dyDescent="0.3">
      <c r="B460" s="64" t="str">
        <f xml:space="preserve"> ( StartYear + 1 ) &amp; " Surplus Applied to " &amp; ( StartYear )</f>
        <v>2017 Surplus Applied to 2016</v>
      </c>
      <c r="C460" s="32"/>
      <c r="D460" s="143">
        <v>0</v>
      </c>
      <c r="E460" s="9">
        <v>0</v>
      </c>
      <c r="F460" s="122"/>
      <c r="G460" s="122"/>
      <c r="H460" s="126"/>
    </row>
    <row r="461" spans="1:8" x14ac:dyDescent="0.3">
      <c r="B461" s="128" t="str">
        <f xml:space="preserve"> ( StartYear + 1 ) &amp; " Surplus Applied to " &amp; ( StartYear + 2 )</f>
        <v>2017 Surplus Applied to 2018</v>
      </c>
      <c r="C461" s="32"/>
      <c r="D461" s="123"/>
      <c r="E461" s="9">
        <v>0</v>
      </c>
      <c r="F461" s="58">
        <f>E461</f>
        <v>0</v>
      </c>
      <c r="G461" s="122"/>
      <c r="H461" s="126"/>
    </row>
    <row r="462" spans="1:8" x14ac:dyDescent="0.3">
      <c r="B462" s="128" t="str">
        <f xml:space="preserve"> ( StartYear + 2 ) &amp; " Surplus Applied to " &amp; ( StartYear + 1 )</f>
        <v>2018 Surplus Applied to 2017</v>
      </c>
      <c r="C462" s="32"/>
      <c r="D462" s="123"/>
      <c r="E462" s="58">
        <v>0</v>
      </c>
      <c r="F462" s="9">
        <v>0</v>
      </c>
      <c r="G462" s="122"/>
      <c r="H462" s="126"/>
    </row>
    <row r="463" spans="1:8" x14ac:dyDescent="0.3">
      <c r="B463" s="174" t="str">
        <f xml:space="preserve"> ( StartYear + 2 ) &amp; " Surplus Applied to " &amp; ( StartYear + 3 )</f>
        <v>2018 Surplus Applied to 2019</v>
      </c>
      <c r="C463" s="32"/>
      <c r="D463" s="123"/>
      <c r="E463" s="122"/>
      <c r="F463" s="9">
        <v>0</v>
      </c>
      <c r="G463" s="58">
        <f>F463</f>
        <v>0</v>
      </c>
      <c r="H463" s="126"/>
    </row>
    <row r="464" spans="1:8" x14ac:dyDescent="0.3">
      <c r="B464" s="174" t="str">
        <f xml:space="preserve"> ( StartYear + 3 ) &amp; " Surplus Applied to " &amp; ( StartYear + 2 )</f>
        <v>2019 Surplus Applied to 2018</v>
      </c>
      <c r="C464" s="32"/>
      <c r="D464" s="123"/>
      <c r="E464" s="122"/>
      <c r="F464" s="58">
        <v>0</v>
      </c>
      <c r="G464" s="9">
        <v>0</v>
      </c>
      <c r="H464" s="126"/>
    </row>
    <row r="465" spans="1:8" x14ac:dyDescent="0.3">
      <c r="B465" s="174" t="str">
        <f xml:space="preserve"> ( StartYear + 3 ) &amp; " Surplus Applied to " &amp; ( StartYear + 4 )</f>
        <v>2019 Surplus Applied to 2020</v>
      </c>
      <c r="C465" s="32"/>
      <c r="D465" s="123"/>
      <c r="E465" s="122"/>
      <c r="F465" s="122"/>
      <c r="G465" s="9">
        <f>G443+G448-G454</f>
        <v>0</v>
      </c>
      <c r="H465" s="53">
        <f>G465</f>
        <v>0</v>
      </c>
    </row>
    <row r="466" spans="1:8" x14ac:dyDescent="0.3">
      <c r="B466" s="174" t="str">
        <f xml:space="preserve"> ( StartYear + 4 ) &amp; " Surplus Applied to " &amp; ( StartYear + 3 )</f>
        <v>2020 Surplus Applied to 2019</v>
      </c>
      <c r="C466" s="32"/>
      <c r="D466" s="124"/>
      <c r="E466" s="125"/>
      <c r="F466" s="125"/>
      <c r="G466" s="54">
        <v>0</v>
      </c>
      <c r="H466" s="46">
        <v>0</v>
      </c>
    </row>
    <row r="467" spans="1:8" x14ac:dyDescent="0.3">
      <c r="B467" s="129" t="s">
        <v>17</v>
      </c>
      <c r="D467" s="6">
        <f>D457-D458+D460-D459</f>
        <v>0</v>
      </c>
      <c r="E467" s="6">
        <f>E459+E462-E460-E461</f>
        <v>0</v>
      </c>
      <c r="F467" s="6">
        <f>F461+F464-F462-F463</f>
        <v>0</v>
      </c>
      <c r="G467" s="6">
        <f>G463+G466-G464-G465</f>
        <v>0</v>
      </c>
      <c r="H467" s="6">
        <f>H465-H466</f>
        <v>0</v>
      </c>
    </row>
    <row r="468" spans="1:8" x14ac:dyDescent="0.3">
      <c r="B468" s="128"/>
      <c r="C468" s="32"/>
      <c r="D468" s="6"/>
      <c r="E468" s="6"/>
      <c r="F468" s="6"/>
      <c r="G468" s="6"/>
      <c r="H468" s="6"/>
    </row>
    <row r="469" spans="1:8" x14ac:dyDescent="0.3">
      <c r="B469" s="5"/>
      <c r="D469" s="202">
        <v>0</v>
      </c>
      <c r="E469" s="120">
        <v>0</v>
      </c>
      <c r="F469" s="120">
        <v>0</v>
      </c>
      <c r="G469" s="120">
        <v>0</v>
      </c>
      <c r="H469" s="83">
        <v>0</v>
      </c>
    </row>
    <row r="470" spans="1:8" x14ac:dyDescent="0.3">
      <c r="B470" s="61" t="s">
        <v>12</v>
      </c>
      <c r="C470" s="32"/>
      <c r="D470" s="215"/>
      <c r="E470" s="6"/>
      <c r="F470" s="6"/>
      <c r="G470" s="6"/>
      <c r="H470" s="6"/>
    </row>
    <row r="471" spans="1:8" ht="18.2" x14ac:dyDescent="0.35">
      <c r="A471" s="41" t="s">
        <v>26</v>
      </c>
      <c r="C471" s="59"/>
      <c r="D471" s="216">
        <f xml:space="preserve"> D443 + D448 - D454 + D467 + D470</f>
        <v>0</v>
      </c>
      <c r="E471" s="121">
        <f xml:space="preserve"> E443 + E448 - E454 + E467 + E470</f>
        <v>968</v>
      </c>
      <c r="F471" s="121">
        <f xml:space="preserve"> F443 + F448 - F454 + F467 + F470</f>
        <v>0</v>
      </c>
      <c r="G471" s="121">
        <f xml:space="preserve"> G443 + G448 - G454 + G467 + G470</f>
        <v>0</v>
      </c>
      <c r="H471" s="192">
        <f xml:space="preserve"> H443 + H448 - H454 + H467 + H470</f>
        <v>0</v>
      </c>
    </row>
    <row r="472" spans="1:8" x14ac:dyDescent="0.3">
      <c r="C472" s="5" t="s">
        <v>169</v>
      </c>
      <c r="D472" s="6"/>
      <c r="E472" s="6">
        <v>968</v>
      </c>
      <c r="F472" s="31"/>
      <c r="G472" s="31"/>
      <c r="H472" s="31"/>
    </row>
    <row r="473" spans="1:8" x14ac:dyDescent="0.3">
      <c r="C473" s="134"/>
      <c r="D473" s="1"/>
    </row>
    <row r="474" spans="1:8" x14ac:dyDescent="0.3">
      <c r="A474" s="32"/>
      <c r="B474" s="32"/>
      <c r="C474" s="32"/>
      <c r="D474" s="32"/>
      <c r="E474" s="32"/>
      <c r="F474" s="32"/>
      <c r="G474" s="32"/>
      <c r="H474" s="32"/>
    </row>
    <row r="475" spans="1:8" x14ac:dyDescent="0.3">
      <c r="B475" s="32"/>
      <c r="C475" s="32"/>
      <c r="D475" s="32"/>
      <c r="E475" s="32"/>
      <c r="F475" s="32"/>
      <c r="G475" s="32"/>
      <c r="H475" s="32"/>
    </row>
    <row r="476" spans="1:8" ht="21.3" x14ac:dyDescent="0.4">
      <c r="A476" s="12" t="s">
        <v>4</v>
      </c>
      <c r="B476" s="12"/>
      <c r="C476" s="42" t="str">
        <f>B15</f>
        <v>Stateline WA Wind--REC Only **</v>
      </c>
      <c r="D476" s="22"/>
      <c r="E476" s="22"/>
    </row>
    <row r="477" spans="1:8" x14ac:dyDescent="0.3">
      <c r="C477" s="22" t="s">
        <v>173</v>
      </c>
      <c r="D477" s="1"/>
    </row>
    <row r="478" spans="1:8" ht="18.2" x14ac:dyDescent="0.35">
      <c r="A478" s="8" t="s">
        <v>21</v>
      </c>
      <c r="B478" s="8"/>
      <c r="D478" s="2">
        <f>D51</f>
        <v>2016</v>
      </c>
      <c r="E478" s="2">
        <f>D478+1</f>
        <v>2017</v>
      </c>
      <c r="F478" s="2">
        <f>E478+1</f>
        <v>2018</v>
      </c>
      <c r="G478" s="2">
        <f>F478+1</f>
        <v>2019</v>
      </c>
      <c r="H478" s="2">
        <f>G478+1</f>
        <v>2020</v>
      </c>
    </row>
    <row r="479" spans="1:8" x14ac:dyDescent="0.3">
      <c r="B479" s="64" t="str">
        <f>"Purchased from " &amp; C476</f>
        <v>Purchased from Stateline WA Wind--REC Only **</v>
      </c>
      <c r="C479" s="59"/>
      <c r="D479" s="3"/>
      <c r="E479" s="3">
        <v>3890</v>
      </c>
      <c r="F479" s="3"/>
      <c r="G479" s="3"/>
      <c r="H479" s="4"/>
    </row>
    <row r="480" spans="1:8" x14ac:dyDescent="0.3">
      <c r="B480" s="64" t="s">
        <v>25</v>
      </c>
      <c r="C480" s="59"/>
      <c r="D480" s="141"/>
      <c r="E480" s="141">
        <v>1</v>
      </c>
      <c r="F480" s="141"/>
      <c r="G480" s="141"/>
      <c r="H480" s="142"/>
    </row>
    <row r="481" spans="1:8" x14ac:dyDescent="0.3">
      <c r="B481" s="64" t="s">
        <v>20</v>
      </c>
      <c r="C481" s="59"/>
      <c r="D481" s="47"/>
      <c r="E481" s="47">
        <v>1</v>
      </c>
      <c r="F481" s="47"/>
      <c r="G481" s="47"/>
      <c r="H481" s="48"/>
    </row>
    <row r="482" spans="1:8" x14ac:dyDescent="0.3">
      <c r="B482" s="61" t="s">
        <v>22</v>
      </c>
      <c r="C482" s="62"/>
      <c r="D482" s="140">
        <f xml:space="preserve"> D479 * D480 * D481</f>
        <v>0</v>
      </c>
      <c r="E482" s="140">
        <f xml:space="preserve"> E479 * E480 * E481</f>
        <v>3890</v>
      </c>
      <c r="F482" s="140">
        <f t="shared" ref="F482" si="1" xml:space="preserve"> ROUNDDOWN(F479 * F480 * F481,0)</f>
        <v>0</v>
      </c>
      <c r="G482" s="140">
        <f t="shared" ref="G482" si="2" xml:space="preserve"> ROUNDDOWN(G479 * G480 * G481,0)</f>
        <v>0</v>
      </c>
      <c r="H482" s="140">
        <f t="shared" ref="H482" si="3" xml:space="preserve"> ROUNDDOWN(H479 * H480 * H481,0)</f>
        <v>0</v>
      </c>
    </row>
    <row r="483" spans="1:8" x14ac:dyDescent="0.3">
      <c r="B483" s="22"/>
      <c r="C483" s="32"/>
      <c r="D483" s="39"/>
      <c r="E483" s="39"/>
      <c r="F483" s="39"/>
      <c r="G483" s="176"/>
      <c r="H483" s="39"/>
    </row>
    <row r="484" spans="1:8" ht="18.2" x14ac:dyDescent="0.35">
      <c r="A484" s="44" t="s">
        <v>119</v>
      </c>
      <c r="C484" s="32"/>
      <c r="D484" s="2">
        <f>D478</f>
        <v>2016</v>
      </c>
      <c r="E484" s="2">
        <f>D484+1</f>
        <v>2017</v>
      </c>
      <c r="F484" s="2">
        <f>E484+1</f>
        <v>2018</v>
      </c>
      <c r="G484" s="2">
        <f>F484+1</f>
        <v>2019</v>
      </c>
      <c r="H484" s="2">
        <f>G484+1</f>
        <v>2020</v>
      </c>
    </row>
    <row r="485" spans="1:8" x14ac:dyDescent="0.3">
      <c r="B485" s="64" t="s">
        <v>10</v>
      </c>
      <c r="C485" s="59"/>
      <c r="D485" s="10">
        <f>IF( $E63 = "Eligible", D482 * 'Facility Detail'!$B$1614, 0 )</f>
        <v>0</v>
      </c>
      <c r="E485" s="118">
        <f>IF( $E63 = "Eligible", E482 * 'Facility Detail'!$B$1614, 0 )</f>
        <v>0</v>
      </c>
      <c r="F485" s="118">
        <f>IF( $E63 = "Eligible", F482 * 'Facility Detail'!$B$1614, 0 )</f>
        <v>0</v>
      </c>
      <c r="G485" s="118">
        <f>IF( $E63 = "Eligible", G482 * 'Facility Detail'!$B$1614, 0 )</f>
        <v>0</v>
      </c>
      <c r="H485" s="11">
        <f>IF( $E63 = "Eligible", H482 * 'Facility Detail'!$B$1614, 0 )</f>
        <v>0</v>
      </c>
    </row>
    <row r="486" spans="1:8" x14ac:dyDescent="0.3">
      <c r="B486" s="64" t="s">
        <v>6</v>
      </c>
      <c r="C486" s="59"/>
      <c r="D486" s="51">
        <f>IF( $F63 = "Eligible", D482, 0 )</f>
        <v>0</v>
      </c>
      <c r="E486" s="119">
        <f>IF( $F63 = "Eligible", E482, 0 )</f>
        <v>0</v>
      </c>
      <c r="F486" s="119">
        <f>IF( $F63 = "Eligible", F482, 0 )</f>
        <v>0</v>
      </c>
      <c r="G486" s="119">
        <f>IF( $F63 = "Eligible", G482, 0 )</f>
        <v>0</v>
      </c>
      <c r="H486" s="52">
        <f>IF( $F63 = "Eligible", H482, 0 )</f>
        <v>0</v>
      </c>
    </row>
    <row r="487" spans="1:8" x14ac:dyDescent="0.3">
      <c r="B487" s="63" t="s">
        <v>121</v>
      </c>
      <c r="C487" s="62"/>
      <c r="D487" s="40">
        <f>SUM(D485:D486)</f>
        <v>0</v>
      </c>
      <c r="E487" s="40">
        <f>SUM(E485:E486)</f>
        <v>0</v>
      </c>
      <c r="F487" s="40">
        <f>SUM(F485:F486)</f>
        <v>0</v>
      </c>
      <c r="G487" s="40">
        <f>SUM(G485:G486)</f>
        <v>0</v>
      </c>
      <c r="H487" s="40">
        <f>SUM(H485:H486)</f>
        <v>0</v>
      </c>
    </row>
    <row r="488" spans="1:8" x14ac:dyDescent="0.3">
      <c r="B488" s="32"/>
      <c r="C488" s="32"/>
      <c r="D488" s="33"/>
      <c r="E488" s="33"/>
      <c r="F488" s="33"/>
      <c r="G488" s="178"/>
      <c r="H488" s="33"/>
    </row>
    <row r="489" spans="1:8" ht="18.2" x14ac:dyDescent="0.35">
      <c r="A489" s="41" t="s">
        <v>30</v>
      </c>
      <c r="C489" s="32"/>
      <c r="D489" s="2">
        <f>D478</f>
        <v>2016</v>
      </c>
      <c r="E489" s="2">
        <f>D489+1</f>
        <v>2017</v>
      </c>
      <c r="F489" s="2">
        <f>E489+1</f>
        <v>2018</v>
      </c>
      <c r="G489" s="2">
        <f>F489+1</f>
        <v>2019</v>
      </c>
      <c r="H489" s="2">
        <f>G489+1</f>
        <v>2020</v>
      </c>
    </row>
    <row r="490" spans="1:8" x14ac:dyDescent="0.3">
      <c r="B490" s="64" t="s">
        <v>47</v>
      </c>
      <c r="C490" s="59"/>
      <c r="D490" s="3">
        <v>0</v>
      </c>
      <c r="E490" s="3">
        <v>0</v>
      </c>
      <c r="F490" s="3">
        <v>0</v>
      </c>
      <c r="G490" s="3">
        <v>0</v>
      </c>
      <c r="H490" s="4">
        <v>0</v>
      </c>
    </row>
    <row r="491" spans="1:8" x14ac:dyDescent="0.3">
      <c r="B491" s="65" t="s">
        <v>23</v>
      </c>
      <c r="C491" s="66"/>
      <c r="D491" s="146">
        <v>0</v>
      </c>
      <c r="E491" s="146">
        <v>0</v>
      </c>
      <c r="F491" s="146">
        <v>0</v>
      </c>
      <c r="G491" s="146">
        <v>0</v>
      </c>
      <c r="H491" s="147">
        <v>0</v>
      </c>
    </row>
    <row r="492" spans="1:8" x14ac:dyDescent="0.3">
      <c r="B492" s="75" t="s">
        <v>89</v>
      </c>
      <c r="C492" s="74"/>
      <c r="D492" s="213">
        <v>0</v>
      </c>
      <c r="E492" s="148">
        <v>0</v>
      </c>
      <c r="F492" s="148">
        <v>0</v>
      </c>
      <c r="G492" s="148">
        <v>0</v>
      </c>
      <c r="H492" s="149">
        <v>0</v>
      </c>
    </row>
    <row r="493" spans="1:8" x14ac:dyDescent="0.3">
      <c r="B493" s="35" t="s">
        <v>90</v>
      </c>
      <c r="D493" s="6">
        <f>SUM(D490:D492)</f>
        <v>0</v>
      </c>
      <c r="E493" s="6">
        <f>SUM(E490:E492)</f>
        <v>0</v>
      </c>
      <c r="F493" s="6">
        <f>SUM(F490:F492)</f>
        <v>0</v>
      </c>
      <c r="G493" s="6">
        <f>SUM(G490:G492)</f>
        <v>0</v>
      </c>
      <c r="H493" s="6">
        <f>SUM(H490:H492)</f>
        <v>0</v>
      </c>
    </row>
    <row r="494" spans="1:8" x14ac:dyDescent="0.3">
      <c r="B494" s="5"/>
      <c r="D494" s="6"/>
      <c r="E494" s="6"/>
      <c r="F494" s="6"/>
      <c r="G494" s="176"/>
      <c r="H494" s="6"/>
    </row>
    <row r="495" spans="1:8" ht="18.2" x14ac:dyDescent="0.35">
      <c r="A495" s="8" t="s">
        <v>100</v>
      </c>
      <c r="D495" s="2">
        <f>D478</f>
        <v>2016</v>
      </c>
      <c r="E495" s="2">
        <f>D495+1</f>
        <v>2017</v>
      </c>
      <c r="F495" s="2">
        <f>E495+1</f>
        <v>2018</v>
      </c>
      <c r="G495" s="2">
        <f>F495+1</f>
        <v>2019</v>
      </c>
      <c r="H495" s="2">
        <f>G495+1</f>
        <v>2020</v>
      </c>
    </row>
    <row r="496" spans="1:8" x14ac:dyDescent="0.3">
      <c r="B496" s="64" t="str">
        <f>(StartYear-1) &amp; " Surplus Applied to " &amp; StartYear</f>
        <v>2015 Surplus Applied to 2016</v>
      </c>
      <c r="C496" s="32"/>
      <c r="D496" s="205">
        <v>0</v>
      </c>
      <c r="E496" s="206"/>
      <c r="F496" s="206"/>
      <c r="G496" s="206"/>
      <c r="H496" s="207"/>
    </row>
    <row r="497" spans="1:8" x14ac:dyDescent="0.3">
      <c r="B497" s="64" t="str">
        <f>StartYear &amp; " Surplus Applied to " &amp; (StartYear-1)</f>
        <v>2016 Surplus Applied to 2015</v>
      </c>
      <c r="C497" s="32"/>
      <c r="D497" s="208">
        <v>0</v>
      </c>
      <c r="E497" s="122"/>
      <c r="F497" s="122"/>
      <c r="G497" s="122"/>
      <c r="H497" s="126"/>
    </row>
    <row r="498" spans="1:8" x14ac:dyDescent="0.3">
      <c r="B498" s="64" t="str">
        <f>( StartYear) &amp; " Surplus Applied to " &amp; ( StartYear + 1 )</f>
        <v>2016 Surplus Applied to 2017</v>
      </c>
      <c r="C498" s="32"/>
      <c r="D498" s="203">
        <f>D482+D487-D493</f>
        <v>0</v>
      </c>
      <c r="E498" s="204">
        <f>D498</f>
        <v>0</v>
      </c>
      <c r="F498" s="199"/>
      <c r="G498" s="199"/>
      <c r="H498" s="200"/>
    </row>
    <row r="499" spans="1:8" x14ac:dyDescent="0.3">
      <c r="B499" s="64" t="str">
        <f xml:space="preserve"> ( StartYear + 1 ) &amp; " Surplus Applied to " &amp; ( StartYear )</f>
        <v>2017 Surplus Applied to 2016</v>
      </c>
      <c r="C499" s="59"/>
      <c r="D499" s="143">
        <v>0</v>
      </c>
      <c r="E499" s="9">
        <v>0</v>
      </c>
      <c r="F499" s="122"/>
      <c r="G499" s="122"/>
      <c r="H499" s="126"/>
    </row>
    <row r="500" spans="1:8" x14ac:dyDescent="0.3">
      <c r="B500" s="128" t="str">
        <f xml:space="preserve"> ( StartYear + 1 ) &amp; " Surplus Applied to " &amp; ( StartYear + 2 )</f>
        <v>2017 Surplus Applied to 2018</v>
      </c>
      <c r="C500" s="59"/>
      <c r="D500" s="123"/>
      <c r="E500" s="9">
        <v>0</v>
      </c>
      <c r="F500" s="58">
        <f>E500</f>
        <v>0</v>
      </c>
      <c r="G500" s="122"/>
      <c r="H500" s="126"/>
    </row>
    <row r="501" spans="1:8" x14ac:dyDescent="0.3">
      <c r="B501" s="128" t="str">
        <f xml:space="preserve"> ( StartYear + 2 ) &amp; " Surplus Applied to " &amp; ( StartYear + 1 )</f>
        <v>2018 Surplus Applied to 2017</v>
      </c>
      <c r="C501" s="59"/>
      <c r="D501" s="123"/>
      <c r="E501" s="58">
        <v>0</v>
      </c>
      <c r="F501" s="9">
        <v>0</v>
      </c>
      <c r="G501" s="122"/>
      <c r="H501" s="126"/>
    </row>
    <row r="502" spans="1:8" x14ac:dyDescent="0.3">
      <c r="B502" s="174" t="str">
        <f xml:space="preserve"> ( StartYear + 2 ) &amp; " Surplus Applied to " &amp; ( StartYear + 3 )</f>
        <v>2018 Surplus Applied to 2019</v>
      </c>
      <c r="C502" s="32"/>
      <c r="D502" s="123"/>
      <c r="E502" s="122"/>
      <c r="F502" s="9">
        <v>0</v>
      </c>
      <c r="G502" s="58">
        <f>F502</f>
        <v>0</v>
      </c>
      <c r="H502" s="126"/>
    </row>
    <row r="503" spans="1:8" x14ac:dyDescent="0.3">
      <c r="B503" s="174" t="str">
        <f xml:space="preserve"> ( StartYear + 3 ) &amp; " Surplus Applied to " &amp; ( StartYear + 2 )</f>
        <v>2019 Surplus Applied to 2018</v>
      </c>
      <c r="C503" s="32"/>
      <c r="D503" s="123"/>
      <c r="E503" s="122"/>
      <c r="F503" s="58">
        <v>0</v>
      </c>
      <c r="G503" s="9">
        <v>0</v>
      </c>
      <c r="H503" s="126"/>
    </row>
    <row r="504" spans="1:8" x14ac:dyDescent="0.3">
      <c r="B504" s="174" t="str">
        <f xml:space="preserve"> ( StartYear + 3 ) &amp; " Surplus Applied to " &amp; ( StartYear + 4 )</f>
        <v>2019 Surplus Applied to 2020</v>
      </c>
      <c r="C504" s="32"/>
      <c r="D504" s="123"/>
      <c r="E504" s="122"/>
      <c r="F504" s="122"/>
      <c r="G504" s="9">
        <f>G482+G487-G493</f>
        <v>0</v>
      </c>
      <c r="H504" s="53">
        <f>G504</f>
        <v>0</v>
      </c>
    </row>
    <row r="505" spans="1:8" x14ac:dyDescent="0.3">
      <c r="B505" s="174" t="str">
        <f xml:space="preserve"> ( StartYear + 4 ) &amp; " Surplus Applied to " &amp; ( StartYear + 3 )</f>
        <v>2020 Surplus Applied to 2019</v>
      </c>
      <c r="C505" s="32"/>
      <c r="D505" s="124"/>
      <c r="E505" s="125"/>
      <c r="F505" s="125"/>
      <c r="G505" s="54">
        <v>0</v>
      </c>
      <c r="H505" s="46">
        <v>0</v>
      </c>
    </row>
    <row r="506" spans="1:8" x14ac:dyDescent="0.3">
      <c r="B506" s="35" t="s">
        <v>17</v>
      </c>
      <c r="D506" s="6">
        <f>D496-D497+D499-D498</f>
        <v>0</v>
      </c>
      <c r="E506" s="6">
        <f>E498+E501-E499-E500</f>
        <v>0</v>
      </c>
      <c r="F506" s="6">
        <f>F500+F503-F501-F502</f>
        <v>0</v>
      </c>
      <c r="G506" s="6">
        <f>G502+G505-G503-G504</f>
        <v>0</v>
      </c>
      <c r="H506" s="6">
        <f>H504 - H505</f>
        <v>0</v>
      </c>
    </row>
    <row r="507" spans="1:8" x14ac:dyDescent="0.3">
      <c r="B507" s="5"/>
      <c r="D507" s="6"/>
      <c r="E507" s="6"/>
      <c r="F507" s="6"/>
      <c r="G507" s="6"/>
      <c r="H507" s="6"/>
    </row>
    <row r="508" spans="1:8" x14ac:dyDescent="0.3">
      <c r="B508" s="61" t="s">
        <v>12</v>
      </c>
      <c r="C508" s="59"/>
      <c r="D508" s="82">
        <v>0</v>
      </c>
      <c r="E508" s="120">
        <v>0</v>
      </c>
      <c r="F508" s="120">
        <v>0</v>
      </c>
      <c r="G508" s="120">
        <v>0</v>
      </c>
      <c r="H508" s="83">
        <v>0</v>
      </c>
    </row>
    <row r="509" spans="1:8" x14ac:dyDescent="0.3">
      <c r="B509" s="5"/>
      <c r="D509" s="6"/>
      <c r="E509" s="6"/>
      <c r="F509" s="6"/>
      <c r="G509" s="6"/>
      <c r="H509" s="6"/>
    </row>
    <row r="510" spans="1:8" ht="18.2" x14ac:dyDescent="0.35">
      <c r="A510" s="41" t="s">
        <v>26</v>
      </c>
      <c r="C510" s="59"/>
      <c r="D510" s="121">
        <f xml:space="preserve"> D482 + D487 - D493 + D506 + D508</f>
        <v>0</v>
      </c>
      <c r="E510" s="121">
        <f xml:space="preserve"> E482 + E487 - E493 + E506 + E508</f>
        <v>3890</v>
      </c>
      <c r="F510" s="121">
        <f xml:space="preserve"> F482 + F487 - F493 + F506 + F508</f>
        <v>0</v>
      </c>
      <c r="G510" s="121">
        <f xml:space="preserve"> G482 + G487 - G493 + G506 + G508</f>
        <v>0</v>
      </c>
      <c r="H510" s="192">
        <f xml:space="preserve"> H482 + H487 - H493 + H506 + H508</f>
        <v>0</v>
      </c>
    </row>
    <row r="511" spans="1:8" x14ac:dyDescent="0.3">
      <c r="C511" s="5" t="s">
        <v>169</v>
      </c>
      <c r="D511" s="6"/>
      <c r="E511" s="6">
        <v>3890</v>
      </c>
      <c r="F511" s="31"/>
      <c r="G511" s="31"/>
      <c r="H511" s="31"/>
    </row>
    <row r="512" spans="1:8" x14ac:dyDescent="0.3">
      <c r="C512" s="134"/>
      <c r="D512" s="32"/>
      <c r="E512" s="32"/>
      <c r="F512" s="32"/>
      <c r="G512" s="32"/>
      <c r="H512" s="32"/>
    </row>
    <row r="513" spans="1:8" x14ac:dyDescent="0.3">
      <c r="A513" s="32"/>
      <c r="B513" s="32"/>
      <c r="C513" s="32"/>
      <c r="D513" s="32"/>
      <c r="E513" s="32"/>
      <c r="F513" s="32"/>
      <c r="G513" s="32"/>
      <c r="H513" s="32"/>
    </row>
    <row r="514" spans="1:8" x14ac:dyDescent="0.3">
      <c r="B514" s="32"/>
      <c r="C514" s="32"/>
      <c r="D514" s="32"/>
      <c r="E514" s="32"/>
      <c r="F514" s="32"/>
      <c r="G514" s="32"/>
      <c r="H514" s="32"/>
    </row>
    <row r="515" spans="1:8" ht="21.3" x14ac:dyDescent="0.4">
      <c r="A515" s="12" t="s">
        <v>4</v>
      </c>
      <c r="B515" s="12"/>
      <c r="C515" s="42" t="str">
        <f>B16</f>
        <v>Horse Butte Wind--REC only **</v>
      </c>
      <c r="D515" s="22"/>
      <c r="E515" s="22"/>
    </row>
    <row r="516" spans="1:8" x14ac:dyDescent="0.3">
      <c r="C516" s="22" t="s">
        <v>173</v>
      </c>
      <c r="D516" s="1"/>
    </row>
    <row r="517" spans="1:8" ht="18.2" x14ac:dyDescent="0.35">
      <c r="A517" s="8" t="s">
        <v>21</v>
      </c>
      <c r="B517" s="8"/>
      <c r="D517" s="2">
        <f>D51</f>
        <v>2016</v>
      </c>
      <c r="E517" s="2">
        <f>D517+1</f>
        <v>2017</v>
      </c>
      <c r="F517" s="2">
        <f>E517+1</f>
        <v>2018</v>
      </c>
      <c r="G517" s="2">
        <f>F517+1</f>
        <v>2019</v>
      </c>
      <c r="H517" s="2">
        <f>G517+1</f>
        <v>2020</v>
      </c>
    </row>
    <row r="518" spans="1:8" x14ac:dyDescent="0.3">
      <c r="B518" s="64" t="str">
        <f>"Purchased from " &amp; C515</f>
        <v>Purchased from Horse Butte Wind--REC only **</v>
      </c>
      <c r="C518" s="59"/>
      <c r="D518" s="3"/>
      <c r="E518" s="3">
        <v>27</v>
      </c>
      <c r="F518" s="3"/>
      <c r="G518" s="3"/>
      <c r="H518" s="4"/>
    </row>
    <row r="519" spans="1:8" x14ac:dyDescent="0.3">
      <c r="B519" s="64" t="s">
        <v>25</v>
      </c>
      <c r="C519" s="59"/>
      <c r="D519" s="141"/>
      <c r="E519" s="141">
        <v>1</v>
      </c>
      <c r="F519" s="141"/>
      <c r="G519" s="141"/>
      <c r="H519" s="142"/>
    </row>
    <row r="520" spans="1:8" x14ac:dyDescent="0.3">
      <c r="B520" s="64" t="s">
        <v>20</v>
      </c>
      <c r="C520" s="59"/>
      <c r="D520" s="47"/>
      <c r="E520" s="47">
        <v>1</v>
      </c>
      <c r="F520" s="47"/>
      <c r="G520" s="47"/>
      <c r="H520" s="48"/>
    </row>
    <row r="521" spans="1:8" x14ac:dyDescent="0.3">
      <c r="B521" s="61" t="s">
        <v>22</v>
      </c>
      <c r="C521" s="62"/>
      <c r="D521" s="140">
        <f xml:space="preserve"> D518 * D519 * D520</f>
        <v>0</v>
      </c>
      <c r="E521" s="140">
        <f xml:space="preserve"> E518 * E519 * E520</f>
        <v>27</v>
      </c>
      <c r="F521" s="140">
        <f t="shared" ref="F521" si="4" xml:space="preserve"> ROUNDDOWN(F518 * F519 * F520,0)</f>
        <v>0</v>
      </c>
      <c r="G521" s="140">
        <f t="shared" ref="G521" si="5" xml:space="preserve"> ROUNDDOWN(G518 * G519 * G520,0)</f>
        <v>0</v>
      </c>
      <c r="H521" s="140">
        <f t="shared" ref="H521" si="6" xml:space="preserve"> ROUNDDOWN(H518 * H519 * H520,0)</f>
        <v>0</v>
      </c>
    </row>
    <row r="522" spans="1:8" x14ac:dyDescent="0.3">
      <c r="B522" s="22"/>
      <c r="C522" s="32"/>
      <c r="D522" s="39"/>
      <c r="E522" s="39"/>
      <c r="F522" s="39"/>
      <c r="G522" s="176"/>
      <c r="H522" s="39"/>
    </row>
    <row r="523" spans="1:8" ht="18.2" x14ac:dyDescent="0.35">
      <c r="A523" s="44" t="s">
        <v>119</v>
      </c>
      <c r="C523" s="32"/>
      <c r="D523" s="2">
        <f>D517</f>
        <v>2016</v>
      </c>
      <c r="E523" s="2">
        <f>D523+1</f>
        <v>2017</v>
      </c>
      <c r="F523" s="2">
        <f>E523+1</f>
        <v>2018</v>
      </c>
      <c r="G523" s="2">
        <f>F523+1</f>
        <v>2019</v>
      </c>
      <c r="H523" s="2">
        <f>G523+1</f>
        <v>2020</v>
      </c>
    </row>
    <row r="524" spans="1:8" x14ac:dyDescent="0.3">
      <c r="B524" s="64" t="s">
        <v>10</v>
      </c>
      <c r="C524" s="59"/>
      <c r="D524" s="10">
        <f>IF( $E102 = "Eligible", D521 * 'Facility Detail'!$B$1614, 0 )</f>
        <v>0</v>
      </c>
      <c r="E524" s="118">
        <f>IF( $E102 = "Eligible", E521 * 'Facility Detail'!$B$1614, 0 )</f>
        <v>0</v>
      </c>
      <c r="F524" s="118">
        <f>IF( $E102 = "Eligible", F521 * 'Facility Detail'!$B$1614, 0 )</f>
        <v>0</v>
      </c>
      <c r="G524" s="118">
        <f>IF( $E102 = "Eligible", G521 * 'Facility Detail'!$B$1614, 0 )</f>
        <v>0</v>
      </c>
      <c r="H524" s="11">
        <f>IF( $E102 = "Eligible", H521 * 'Facility Detail'!$B$1614, 0 )</f>
        <v>0</v>
      </c>
    </row>
    <row r="525" spans="1:8" x14ac:dyDescent="0.3">
      <c r="B525" s="64" t="s">
        <v>6</v>
      </c>
      <c r="C525" s="59"/>
      <c r="D525" s="51">
        <f>IF( $F102 = "Eligible", D521, 0 )</f>
        <v>0</v>
      </c>
      <c r="E525" s="119">
        <f>IF( $F102 = "Eligible", E521, 0 )</f>
        <v>0</v>
      </c>
      <c r="F525" s="119">
        <f>IF( $F102 = "Eligible", F521, 0 )</f>
        <v>0</v>
      </c>
      <c r="G525" s="119">
        <f>IF( $F102 = "Eligible", G521, 0 )</f>
        <v>0</v>
      </c>
      <c r="H525" s="52">
        <f>IF( $F102 = "Eligible", H521, 0 )</f>
        <v>0</v>
      </c>
    </row>
    <row r="526" spans="1:8" x14ac:dyDescent="0.3">
      <c r="B526" s="63" t="s">
        <v>121</v>
      </c>
      <c r="C526" s="62"/>
      <c r="D526" s="40">
        <f>SUM(D524:D525)</f>
        <v>0</v>
      </c>
      <c r="E526" s="40">
        <f>SUM(E524:E525)</f>
        <v>0</v>
      </c>
      <c r="F526" s="40">
        <f>SUM(F524:F525)</f>
        <v>0</v>
      </c>
      <c r="G526" s="40">
        <f>SUM(G524:G525)</f>
        <v>0</v>
      </c>
      <c r="H526" s="40">
        <f>SUM(H524:H525)</f>
        <v>0</v>
      </c>
    </row>
    <row r="527" spans="1:8" x14ac:dyDescent="0.3">
      <c r="B527" s="32"/>
      <c r="C527" s="32"/>
      <c r="D527" s="33"/>
      <c r="E527" s="33"/>
      <c r="F527" s="33"/>
      <c r="G527" s="178"/>
      <c r="H527" s="33"/>
    </row>
    <row r="528" spans="1:8" ht="18.2" x14ac:dyDescent="0.35">
      <c r="A528" s="41" t="s">
        <v>30</v>
      </c>
      <c r="C528" s="32"/>
      <c r="D528" s="2">
        <f>D517</f>
        <v>2016</v>
      </c>
      <c r="E528" s="2">
        <f>D528+1</f>
        <v>2017</v>
      </c>
      <c r="F528" s="2">
        <f>E528+1</f>
        <v>2018</v>
      </c>
      <c r="G528" s="2">
        <f>F528+1</f>
        <v>2019</v>
      </c>
      <c r="H528" s="2">
        <f>G528+1</f>
        <v>2020</v>
      </c>
    </row>
    <row r="529" spans="1:8" x14ac:dyDescent="0.3">
      <c r="B529" s="64" t="s">
        <v>47</v>
      </c>
      <c r="C529" s="59"/>
      <c r="D529" s="3">
        <v>0</v>
      </c>
      <c r="E529" s="3">
        <v>0</v>
      </c>
      <c r="F529" s="3">
        <v>0</v>
      </c>
      <c r="G529" s="3">
        <v>0</v>
      </c>
      <c r="H529" s="4">
        <v>0</v>
      </c>
    </row>
    <row r="530" spans="1:8" x14ac:dyDescent="0.3">
      <c r="B530" s="65" t="s">
        <v>23</v>
      </c>
      <c r="C530" s="66"/>
      <c r="D530" s="146">
        <v>0</v>
      </c>
      <c r="E530" s="146">
        <v>0</v>
      </c>
      <c r="F530" s="146">
        <v>0</v>
      </c>
      <c r="G530" s="146">
        <v>0</v>
      </c>
      <c r="H530" s="147">
        <v>0</v>
      </c>
    </row>
    <row r="531" spans="1:8" x14ac:dyDescent="0.3">
      <c r="B531" s="75" t="s">
        <v>89</v>
      </c>
      <c r="C531" s="74"/>
      <c r="D531" s="213">
        <v>0</v>
      </c>
      <c r="E531" s="148">
        <v>0</v>
      </c>
      <c r="F531" s="148">
        <v>0</v>
      </c>
      <c r="G531" s="148">
        <v>0</v>
      </c>
      <c r="H531" s="149">
        <v>0</v>
      </c>
    </row>
    <row r="532" spans="1:8" x14ac:dyDescent="0.3">
      <c r="B532" s="35" t="s">
        <v>90</v>
      </c>
      <c r="D532" s="6">
        <f>SUM(D529:D531)</f>
        <v>0</v>
      </c>
      <c r="E532" s="6">
        <f>SUM(E529:E531)</f>
        <v>0</v>
      </c>
      <c r="F532" s="6">
        <f>SUM(F529:F531)</f>
        <v>0</v>
      </c>
      <c r="G532" s="6">
        <f>SUM(G529:G531)</f>
        <v>0</v>
      </c>
      <c r="H532" s="6">
        <f>SUM(H529:H531)</f>
        <v>0</v>
      </c>
    </row>
    <row r="533" spans="1:8" x14ac:dyDescent="0.3">
      <c r="B533" s="5"/>
      <c r="D533" s="6"/>
      <c r="E533" s="6"/>
      <c r="F533" s="6"/>
      <c r="G533" s="176"/>
      <c r="H533" s="6"/>
    </row>
    <row r="534" spans="1:8" ht="18.2" x14ac:dyDescent="0.35">
      <c r="A534" s="8" t="s">
        <v>100</v>
      </c>
      <c r="D534" s="2">
        <f>D517</f>
        <v>2016</v>
      </c>
      <c r="E534" s="2">
        <f>D534+1</f>
        <v>2017</v>
      </c>
      <c r="F534" s="2">
        <f>E534+1</f>
        <v>2018</v>
      </c>
      <c r="G534" s="2">
        <f>F534+1</f>
        <v>2019</v>
      </c>
      <c r="H534" s="2">
        <f>G534+1</f>
        <v>2020</v>
      </c>
    </row>
    <row r="535" spans="1:8" x14ac:dyDescent="0.3">
      <c r="B535" s="64" t="str">
        <f>(StartYear-1) &amp; " Surplus Applied to " &amp; StartYear</f>
        <v>2015 Surplus Applied to 2016</v>
      </c>
      <c r="C535" s="32"/>
      <c r="D535" s="205">
        <v>0</v>
      </c>
      <c r="E535" s="206"/>
      <c r="F535" s="206"/>
      <c r="G535" s="206"/>
      <c r="H535" s="207"/>
    </row>
    <row r="536" spans="1:8" x14ac:dyDescent="0.3">
      <c r="B536" s="64" t="str">
        <f>StartYear &amp; " Surplus Applied to " &amp; (StartYear-1)</f>
        <v>2016 Surplus Applied to 2015</v>
      </c>
      <c r="C536" s="32"/>
      <c r="D536" s="208">
        <v>0</v>
      </c>
      <c r="E536" s="122"/>
      <c r="F536" s="122"/>
      <c r="G536" s="122"/>
      <c r="H536" s="126"/>
    </row>
    <row r="537" spans="1:8" x14ac:dyDescent="0.3">
      <c r="B537" s="64" t="str">
        <f>( StartYear) &amp; " Surplus Applied to " &amp; ( StartYear + 1 )</f>
        <v>2016 Surplus Applied to 2017</v>
      </c>
      <c r="C537" s="32"/>
      <c r="D537" s="203">
        <f>D521+D526-D532</f>
        <v>0</v>
      </c>
      <c r="E537" s="204">
        <f>D537</f>
        <v>0</v>
      </c>
      <c r="F537" s="199"/>
      <c r="G537" s="199"/>
      <c r="H537" s="200"/>
    </row>
    <row r="538" spans="1:8" x14ac:dyDescent="0.3">
      <c r="B538" s="64" t="str">
        <f xml:space="preserve"> ( StartYear + 1 ) &amp; " Surplus Applied to " &amp; ( StartYear )</f>
        <v>2017 Surplus Applied to 2016</v>
      </c>
      <c r="C538" s="59"/>
      <c r="D538" s="143">
        <v>0</v>
      </c>
      <c r="E538" s="9">
        <v>0</v>
      </c>
      <c r="F538" s="122"/>
      <c r="G538" s="122"/>
      <c r="H538" s="126"/>
    </row>
    <row r="539" spans="1:8" x14ac:dyDescent="0.3">
      <c r="B539" s="128" t="str">
        <f xml:space="preserve"> ( StartYear + 1 ) &amp; " Surplus Applied to " &amp; ( StartYear + 2 )</f>
        <v>2017 Surplus Applied to 2018</v>
      </c>
      <c r="C539" s="59"/>
      <c r="D539" s="123">
        <f>D521+D526-D532</f>
        <v>0</v>
      </c>
      <c r="E539" s="9">
        <v>0</v>
      </c>
      <c r="F539" s="58">
        <f>E539</f>
        <v>0</v>
      </c>
      <c r="G539" s="122"/>
      <c r="H539" s="126"/>
    </row>
    <row r="540" spans="1:8" x14ac:dyDescent="0.3">
      <c r="B540" s="128" t="str">
        <f xml:space="preserve"> ( StartYear + 2 ) &amp; " Surplus Applied to " &amp; ( StartYear + 1 )</f>
        <v>2018 Surplus Applied to 2017</v>
      </c>
      <c r="C540" s="59"/>
      <c r="D540" s="123">
        <f>E540</f>
        <v>0</v>
      </c>
      <c r="E540" s="58">
        <v>0</v>
      </c>
      <c r="F540" s="9">
        <v>0</v>
      </c>
      <c r="G540" s="122"/>
      <c r="H540" s="126"/>
    </row>
    <row r="541" spans="1:8" x14ac:dyDescent="0.3">
      <c r="B541" s="174" t="str">
        <f xml:space="preserve"> ( StartYear + 2 ) &amp; " Surplus Applied to " &amp; ( StartYear + 3 )</f>
        <v>2018 Surplus Applied to 2019</v>
      </c>
      <c r="C541" s="32"/>
      <c r="D541" s="123"/>
      <c r="E541" s="122">
        <v>0</v>
      </c>
      <c r="F541" s="9">
        <v>0</v>
      </c>
      <c r="G541" s="58">
        <f>F541</f>
        <v>0</v>
      </c>
      <c r="H541" s="126"/>
    </row>
    <row r="542" spans="1:8" x14ac:dyDescent="0.3">
      <c r="B542" s="174" t="str">
        <f xml:space="preserve"> ( StartYear + 3 ) &amp; " Surplus Applied to " &amp; ( StartYear + 2 )</f>
        <v>2019 Surplus Applied to 2018</v>
      </c>
      <c r="C542" s="32"/>
      <c r="D542" s="123"/>
      <c r="E542" s="122">
        <f>F542</f>
        <v>0</v>
      </c>
      <c r="F542" s="58">
        <v>0</v>
      </c>
      <c r="G542" s="9"/>
      <c r="H542" s="126"/>
    </row>
    <row r="543" spans="1:8" x14ac:dyDescent="0.3">
      <c r="B543" s="174" t="str">
        <f xml:space="preserve"> ( StartYear + 3 ) &amp; " Surplus Applied to " &amp; ( StartYear + 4 )</f>
        <v>2019 Surplus Applied to 2020</v>
      </c>
      <c r="C543" s="32"/>
      <c r="D543" s="123"/>
      <c r="E543" s="122"/>
      <c r="F543" s="122"/>
      <c r="G543" s="9">
        <f>G521+G526-G532</f>
        <v>0</v>
      </c>
      <c r="H543" s="53">
        <f>G543</f>
        <v>0</v>
      </c>
    </row>
    <row r="544" spans="1:8" x14ac:dyDescent="0.3">
      <c r="B544" s="174" t="str">
        <f xml:space="preserve"> ( StartYear + 4 ) &amp; " Surplus Applied to " &amp; ( StartYear + 3 )</f>
        <v>2020 Surplus Applied to 2019</v>
      </c>
      <c r="C544" s="32"/>
      <c r="D544" s="124"/>
      <c r="E544" s="125"/>
      <c r="F544" s="125"/>
      <c r="G544" s="54">
        <v>0</v>
      </c>
      <c r="H544" s="46">
        <v>0</v>
      </c>
    </row>
    <row r="545" spans="1:8" x14ac:dyDescent="0.3">
      <c r="B545" s="35" t="s">
        <v>17</v>
      </c>
      <c r="D545" s="6">
        <f>D535-D536+D538-D537</f>
        <v>0</v>
      </c>
      <c r="E545" s="6">
        <f>E537+E540-E538-E539</f>
        <v>0</v>
      </c>
      <c r="F545" s="6">
        <f>F539+F542-F540-F541</f>
        <v>0</v>
      </c>
      <c r="G545" s="6">
        <f>G541+G544-G542-G543</f>
        <v>0</v>
      </c>
      <c r="H545" s="6">
        <f>H543 - H544</f>
        <v>0</v>
      </c>
    </row>
    <row r="546" spans="1:8" x14ac:dyDescent="0.3">
      <c r="B546" s="5"/>
      <c r="D546" s="6"/>
      <c r="E546" s="6"/>
      <c r="F546" s="6"/>
      <c r="G546" s="6"/>
      <c r="H546" s="6"/>
    </row>
    <row r="547" spans="1:8" x14ac:dyDescent="0.3">
      <c r="B547" s="61" t="s">
        <v>12</v>
      </c>
      <c r="C547" s="59"/>
      <c r="D547" s="82">
        <v>0</v>
      </c>
      <c r="E547" s="120">
        <v>0</v>
      </c>
      <c r="F547" s="120">
        <v>0</v>
      </c>
      <c r="G547" s="120">
        <v>0</v>
      </c>
      <c r="H547" s="83">
        <v>0</v>
      </c>
    </row>
    <row r="548" spans="1:8" x14ac:dyDescent="0.3">
      <c r="B548" s="5"/>
      <c r="D548" s="6"/>
      <c r="E548" s="6"/>
      <c r="F548" s="6"/>
      <c r="G548" s="6"/>
      <c r="H548" s="6"/>
    </row>
    <row r="549" spans="1:8" ht="18.2" x14ac:dyDescent="0.35">
      <c r="A549" s="41" t="s">
        <v>26</v>
      </c>
      <c r="C549" s="59"/>
      <c r="D549" s="121">
        <f xml:space="preserve"> D521 + D526 - D532 + D545 + D547</f>
        <v>0</v>
      </c>
      <c r="E549" s="121">
        <f xml:space="preserve"> E521 + E526 - E532 + E545 + E547</f>
        <v>27</v>
      </c>
      <c r="F549" s="121">
        <f xml:space="preserve"> F521 + F526 - F532 + F545 + F547</f>
        <v>0</v>
      </c>
      <c r="G549" s="121">
        <f xml:space="preserve"> G521 + G526 - G532 + G545 + G547</f>
        <v>0</v>
      </c>
      <c r="H549" s="192">
        <f xml:space="preserve"> H521 + H526 - H532 + H545 + H547</f>
        <v>0</v>
      </c>
    </row>
    <row r="550" spans="1:8" x14ac:dyDescent="0.3">
      <c r="C550" s="5" t="s">
        <v>169</v>
      </c>
      <c r="D550" s="6"/>
      <c r="E550" s="6">
        <v>27</v>
      </c>
      <c r="F550" s="31"/>
      <c r="G550" s="31"/>
      <c r="H550" s="31"/>
    </row>
    <row r="551" spans="1:8" x14ac:dyDescent="0.3">
      <c r="C551" s="134"/>
      <c r="D551" s="32"/>
      <c r="E551" s="32"/>
      <c r="F551" s="32"/>
      <c r="G551" s="32"/>
      <c r="H551" s="32"/>
    </row>
    <row r="552" spans="1:8" x14ac:dyDescent="0.3">
      <c r="A552" s="32"/>
      <c r="B552" s="32"/>
      <c r="C552" s="32"/>
      <c r="D552" s="32"/>
      <c r="E552" s="32"/>
      <c r="F552" s="32"/>
      <c r="G552" s="32"/>
      <c r="H552" s="32"/>
    </row>
    <row r="553" spans="1:8" x14ac:dyDescent="0.3">
      <c r="B553" s="32"/>
      <c r="C553" s="32"/>
      <c r="D553" s="32"/>
      <c r="E553" s="32"/>
      <c r="F553" s="32"/>
      <c r="G553" s="32"/>
      <c r="H553" s="32"/>
    </row>
    <row r="554" spans="1:8" ht="21.3" x14ac:dyDescent="0.4">
      <c r="A554" s="12" t="s">
        <v>4</v>
      </c>
      <c r="B554" s="12"/>
      <c r="C554" s="42" t="str">
        <f>B17</f>
        <v>Grand View 5 East--REC Only**</v>
      </c>
      <c r="D554" s="22"/>
      <c r="E554" s="22"/>
    </row>
    <row r="555" spans="1:8" x14ac:dyDescent="0.3">
      <c r="C555" s="22" t="s">
        <v>173</v>
      </c>
      <c r="D555" s="1"/>
    </row>
    <row r="556" spans="1:8" ht="18.2" x14ac:dyDescent="0.35">
      <c r="A556" s="8" t="s">
        <v>21</v>
      </c>
      <c r="B556" s="8"/>
      <c r="D556" s="2">
        <f>D51</f>
        <v>2016</v>
      </c>
      <c r="E556" s="2">
        <f>D556+1</f>
        <v>2017</v>
      </c>
      <c r="F556" s="2">
        <f>E556+1</f>
        <v>2018</v>
      </c>
      <c r="G556" s="2">
        <f>F556+1</f>
        <v>2019</v>
      </c>
      <c r="H556" s="2">
        <f>G556+1</f>
        <v>2020</v>
      </c>
    </row>
    <row r="557" spans="1:8" x14ac:dyDescent="0.3">
      <c r="B557" s="64" t="str">
        <f>"Purchased from " &amp; C554</f>
        <v>Purchased from Grand View 5 East--REC Only**</v>
      </c>
      <c r="C557" s="59"/>
      <c r="D557" s="3"/>
      <c r="E557" s="3">
        <v>6741</v>
      </c>
      <c r="F557" s="3"/>
      <c r="G557" s="3"/>
      <c r="H557" s="4"/>
    </row>
    <row r="558" spans="1:8" x14ac:dyDescent="0.3">
      <c r="B558" s="64" t="s">
        <v>25</v>
      </c>
      <c r="C558" s="59"/>
      <c r="D558" s="141"/>
      <c r="E558" s="141">
        <v>1</v>
      </c>
      <c r="F558" s="141"/>
      <c r="G558" s="141"/>
      <c r="H558" s="142"/>
    </row>
    <row r="559" spans="1:8" x14ac:dyDescent="0.3">
      <c r="B559" s="64" t="s">
        <v>20</v>
      </c>
      <c r="C559" s="59"/>
      <c r="D559" s="47"/>
      <c r="E559" s="47">
        <v>1</v>
      </c>
      <c r="F559" s="47"/>
      <c r="G559" s="47"/>
      <c r="H559" s="48"/>
    </row>
    <row r="560" spans="1:8" x14ac:dyDescent="0.3">
      <c r="B560" s="61" t="s">
        <v>22</v>
      </c>
      <c r="C560" s="62"/>
      <c r="D560" s="140">
        <f xml:space="preserve"> D557 * D558 * D559</f>
        <v>0</v>
      </c>
      <c r="E560" s="140">
        <f xml:space="preserve"> E557 * E558 * E559</f>
        <v>6741</v>
      </c>
      <c r="F560" s="140">
        <f t="shared" ref="F560" si="7" xml:space="preserve"> ROUNDDOWN(F557 * F558 * F559,0)</f>
        <v>0</v>
      </c>
      <c r="G560" s="140">
        <f t="shared" ref="G560" si="8" xml:space="preserve"> ROUNDDOWN(G557 * G558 * G559,0)</f>
        <v>0</v>
      </c>
      <c r="H560" s="140">
        <f t="shared" ref="H560" si="9" xml:space="preserve"> ROUNDDOWN(H557 * H558 * H559,0)</f>
        <v>0</v>
      </c>
    </row>
    <row r="561" spans="1:8" x14ac:dyDescent="0.3">
      <c r="B561" s="22"/>
      <c r="C561" s="32"/>
      <c r="D561" s="39"/>
      <c r="E561" s="39"/>
      <c r="F561" s="39"/>
      <c r="G561" s="176"/>
      <c r="H561" s="39"/>
    </row>
    <row r="562" spans="1:8" ht="18.2" x14ac:dyDescent="0.35">
      <c r="A562" s="44" t="s">
        <v>119</v>
      </c>
      <c r="C562" s="32"/>
      <c r="D562" s="2">
        <f>D556</f>
        <v>2016</v>
      </c>
      <c r="E562" s="2">
        <f>D562+1</f>
        <v>2017</v>
      </c>
      <c r="F562" s="2">
        <f>E562+1</f>
        <v>2018</v>
      </c>
      <c r="G562" s="2">
        <f>F562+1</f>
        <v>2019</v>
      </c>
      <c r="H562" s="2">
        <f>G562+1</f>
        <v>2020</v>
      </c>
    </row>
    <row r="563" spans="1:8" x14ac:dyDescent="0.3">
      <c r="B563" s="64" t="s">
        <v>10</v>
      </c>
      <c r="C563" s="59"/>
      <c r="D563" s="10">
        <f>IF( $E141 = "Eligible", D560 * 'Facility Detail'!$B$1614, 0 )</f>
        <v>0</v>
      </c>
      <c r="E563" s="118">
        <f>IF( $E141 = "Eligible", E560 * 'Facility Detail'!$B$1614, 0 )</f>
        <v>0</v>
      </c>
      <c r="F563" s="118">
        <f>IF( $E141 = "Eligible", F560 * 'Facility Detail'!$B$1614, 0 )</f>
        <v>0</v>
      </c>
      <c r="G563" s="118">
        <f>IF( $E141 = "Eligible", G560 * 'Facility Detail'!$B$1614, 0 )</f>
        <v>0</v>
      </c>
      <c r="H563" s="11">
        <f>IF( $E141 = "Eligible", H560 * 'Facility Detail'!$B$1614, 0 )</f>
        <v>0</v>
      </c>
    </row>
    <row r="564" spans="1:8" x14ac:dyDescent="0.3">
      <c r="B564" s="64" t="s">
        <v>6</v>
      </c>
      <c r="C564" s="59"/>
      <c r="D564" s="51">
        <f>IF( $F141 = "Eligible", D560, 0 )</f>
        <v>0</v>
      </c>
      <c r="E564" s="119">
        <f>IF( $F141 = "Eligible", E560, 0 )</f>
        <v>0</v>
      </c>
      <c r="F564" s="119">
        <f>IF( $F141 = "Eligible", F560, 0 )</f>
        <v>0</v>
      </c>
      <c r="G564" s="119">
        <f>IF( $F141 = "Eligible", G560, 0 )</f>
        <v>0</v>
      </c>
      <c r="H564" s="52">
        <f>IF( $F141 = "Eligible", H560, 0 )</f>
        <v>0</v>
      </c>
    </row>
    <row r="565" spans="1:8" x14ac:dyDescent="0.3">
      <c r="B565" s="63" t="s">
        <v>121</v>
      </c>
      <c r="C565" s="62"/>
      <c r="D565" s="40">
        <f>SUM(D563:D564)</f>
        <v>0</v>
      </c>
      <c r="E565" s="40">
        <f>SUM(E563:E564)</f>
        <v>0</v>
      </c>
      <c r="F565" s="40">
        <f>SUM(F563:F564)</f>
        <v>0</v>
      </c>
      <c r="G565" s="40">
        <f>SUM(G563:G564)</f>
        <v>0</v>
      </c>
      <c r="H565" s="40">
        <f>SUM(H563:H564)</f>
        <v>0</v>
      </c>
    </row>
    <row r="566" spans="1:8" x14ac:dyDescent="0.3">
      <c r="B566" s="32"/>
      <c r="C566" s="32"/>
      <c r="D566" s="33"/>
      <c r="E566" s="33"/>
      <c r="F566" s="33"/>
      <c r="G566" s="178"/>
      <c r="H566" s="33"/>
    </row>
    <row r="567" spans="1:8" ht="18.2" x14ac:dyDescent="0.35">
      <c r="A567" s="41" t="s">
        <v>30</v>
      </c>
      <c r="C567" s="32"/>
      <c r="D567" s="2">
        <f>D556</f>
        <v>2016</v>
      </c>
      <c r="E567" s="2">
        <f>D567+1</f>
        <v>2017</v>
      </c>
      <c r="F567" s="2">
        <f>E567+1</f>
        <v>2018</v>
      </c>
      <c r="G567" s="2">
        <f>F567+1</f>
        <v>2019</v>
      </c>
      <c r="H567" s="2">
        <f>G567+1</f>
        <v>2020</v>
      </c>
    </row>
    <row r="568" spans="1:8" x14ac:dyDescent="0.3">
      <c r="B568" s="64" t="s">
        <v>47</v>
      </c>
      <c r="C568" s="59"/>
      <c r="D568" s="3">
        <v>0</v>
      </c>
      <c r="E568" s="3">
        <v>0</v>
      </c>
      <c r="F568" s="3">
        <v>0</v>
      </c>
      <c r="G568" s="3">
        <v>0</v>
      </c>
      <c r="H568" s="4">
        <v>0</v>
      </c>
    </row>
    <row r="569" spans="1:8" x14ac:dyDescent="0.3">
      <c r="B569" s="65" t="s">
        <v>23</v>
      </c>
      <c r="C569" s="66"/>
      <c r="D569" s="146">
        <v>0</v>
      </c>
      <c r="E569" s="146">
        <v>0</v>
      </c>
      <c r="F569" s="146">
        <v>0</v>
      </c>
      <c r="G569" s="146">
        <v>0</v>
      </c>
      <c r="H569" s="147">
        <v>0</v>
      </c>
    </row>
    <row r="570" spans="1:8" x14ac:dyDescent="0.3">
      <c r="B570" s="75" t="s">
        <v>89</v>
      </c>
      <c r="C570" s="74"/>
      <c r="D570" s="213">
        <v>0</v>
      </c>
      <c r="E570" s="148">
        <v>0</v>
      </c>
      <c r="F570" s="148">
        <v>0</v>
      </c>
      <c r="G570" s="148">
        <v>0</v>
      </c>
      <c r="H570" s="149">
        <v>0</v>
      </c>
    </row>
    <row r="571" spans="1:8" x14ac:dyDescent="0.3">
      <c r="B571" s="35" t="s">
        <v>90</v>
      </c>
      <c r="D571" s="6">
        <f>SUM(D568:D570)</f>
        <v>0</v>
      </c>
      <c r="E571" s="6">
        <f>SUM(E568:E570)</f>
        <v>0</v>
      </c>
      <c r="F571" s="6">
        <f>SUM(F568:F570)</f>
        <v>0</v>
      </c>
      <c r="G571" s="6">
        <f>SUM(G568:G570)</f>
        <v>0</v>
      </c>
      <c r="H571" s="6">
        <f>SUM(H568:H570)</f>
        <v>0</v>
      </c>
    </row>
    <row r="572" spans="1:8" x14ac:dyDescent="0.3">
      <c r="B572" s="5"/>
      <c r="D572" s="6"/>
      <c r="E572" s="6"/>
      <c r="F572" s="6"/>
      <c r="G572" s="176"/>
      <c r="H572" s="6"/>
    </row>
    <row r="573" spans="1:8" ht="18.2" x14ac:dyDescent="0.35">
      <c r="A573" s="8" t="s">
        <v>100</v>
      </c>
      <c r="D573" s="2">
        <f>D556</f>
        <v>2016</v>
      </c>
      <c r="E573" s="2">
        <f>D573+1</f>
        <v>2017</v>
      </c>
      <c r="F573" s="2">
        <f>E573+1</f>
        <v>2018</v>
      </c>
      <c r="G573" s="2">
        <f>F573+1</f>
        <v>2019</v>
      </c>
      <c r="H573" s="2">
        <f>G573+1</f>
        <v>2020</v>
      </c>
    </row>
    <row r="574" spans="1:8" x14ac:dyDescent="0.3">
      <c r="B574" s="64" t="str">
        <f>(StartYear-1) &amp; " Surplus Applied to " &amp; StartYear</f>
        <v>2015 Surplus Applied to 2016</v>
      </c>
      <c r="C574" s="32"/>
      <c r="D574" s="205">
        <v>0</v>
      </c>
      <c r="E574" s="206"/>
      <c r="F574" s="206"/>
      <c r="G574" s="206"/>
      <c r="H574" s="207"/>
    </row>
    <row r="575" spans="1:8" x14ac:dyDescent="0.3">
      <c r="B575" s="64" t="str">
        <f>StartYear &amp; " Surplus Applied to " &amp; (StartYear-1)</f>
        <v>2016 Surplus Applied to 2015</v>
      </c>
      <c r="C575" s="32"/>
      <c r="D575" s="208">
        <v>0</v>
      </c>
      <c r="E575" s="122"/>
      <c r="F575" s="122"/>
      <c r="G575" s="122"/>
      <c r="H575" s="126"/>
    </row>
    <row r="576" spans="1:8" x14ac:dyDescent="0.3">
      <c r="B576" s="64" t="str">
        <f>( StartYear) &amp; " Surplus Applied to " &amp; ( StartYear + 1 )</f>
        <v>2016 Surplus Applied to 2017</v>
      </c>
      <c r="C576" s="32"/>
      <c r="D576" s="203">
        <f>D560+D565-D571</f>
        <v>0</v>
      </c>
      <c r="E576" s="204">
        <f>D576</f>
        <v>0</v>
      </c>
      <c r="F576" s="199"/>
      <c r="G576" s="199"/>
      <c r="H576" s="200"/>
    </row>
    <row r="577" spans="1:8" x14ac:dyDescent="0.3">
      <c r="B577" s="64" t="str">
        <f xml:space="preserve"> ( StartYear + 1 ) &amp; " Surplus Applied to " &amp; ( StartYear )</f>
        <v>2017 Surplus Applied to 2016</v>
      </c>
      <c r="C577" s="59"/>
      <c r="D577" s="143">
        <v>0</v>
      </c>
      <c r="E577" s="9">
        <v>0</v>
      </c>
      <c r="F577" s="122"/>
      <c r="G577" s="122"/>
      <c r="H577" s="126"/>
    </row>
    <row r="578" spans="1:8" x14ac:dyDescent="0.3">
      <c r="B578" s="128" t="str">
        <f xml:space="preserve"> ( StartYear + 1 ) &amp; " Surplus Applied to " &amp; ( StartYear + 2 )</f>
        <v>2017 Surplus Applied to 2018</v>
      </c>
      <c r="C578" s="59"/>
      <c r="D578" s="123"/>
      <c r="E578" s="9">
        <v>0</v>
      </c>
      <c r="F578" s="58">
        <f>E578</f>
        <v>0</v>
      </c>
      <c r="G578" s="122"/>
      <c r="H578" s="126"/>
    </row>
    <row r="579" spans="1:8" x14ac:dyDescent="0.3">
      <c r="B579" s="128" t="str">
        <f xml:space="preserve"> ( StartYear + 2 ) &amp; " Surplus Applied to " &amp; ( StartYear + 1 )</f>
        <v>2018 Surplus Applied to 2017</v>
      </c>
      <c r="C579" s="59"/>
      <c r="D579" s="123"/>
      <c r="E579" s="58">
        <v>0</v>
      </c>
      <c r="F579" s="9">
        <v>0</v>
      </c>
      <c r="G579" s="122"/>
      <c r="H579" s="126"/>
    </row>
    <row r="580" spans="1:8" x14ac:dyDescent="0.3">
      <c r="B580" s="174" t="str">
        <f xml:space="preserve"> ( StartYear + 2 ) &amp; " Surplus Applied to " &amp; ( StartYear + 3 )</f>
        <v>2018 Surplus Applied to 2019</v>
      </c>
      <c r="C580" s="32"/>
      <c r="D580" s="123"/>
      <c r="E580" s="122"/>
      <c r="F580" s="9">
        <v>0</v>
      </c>
      <c r="G580" s="58">
        <f>F580</f>
        <v>0</v>
      </c>
      <c r="H580" s="126"/>
    </row>
    <row r="581" spans="1:8" x14ac:dyDescent="0.3">
      <c r="B581" s="174" t="str">
        <f xml:space="preserve"> ( StartYear + 3 ) &amp; " Surplus Applied to " &amp; ( StartYear + 2 )</f>
        <v>2019 Surplus Applied to 2018</v>
      </c>
      <c r="C581" s="32"/>
      <c r="D581" s="123"/>
      <c r="E581" s="122"/>
      <c r="F581" s="58">
        <v>0</v>
      </c>
      <c r="G581" s="9">
        <v>0</v>
      </c>
      <c r="H581" s="126"/>
    </row>
    <row r="582" spans="1:8" x14ac:dyDescent="0.3">
      <c r="B582" s="174" t="str">
        <f xml:space="preserve"> ( StartYear + 3 ) &amp; " Surplus Applied to " &amp; ( StartYear + 4 )</f>
        <v>2019 Surplus Applied to 2020</v>
      </c>
      <c r="C582" s="32"/>
      <c r="D582" s="123"/>
      <c r="E582" s="122"/>
      <c r="F582" s="122"/>
      <c r="G582" s="9">
        <f>G560+G565-G571</f>
        <v>0</v>
      </c>
      <c r="H582" s="53">
        <f>G582</f>
        <v>0</v>
      </c>
    </row>
    <row r="583" spans="1:8" x14ac:dyDescent="0.3">
      <c r="B583" s="174" t="str">
        <f xml:space="preserve"> ( StartYear + 4 ) &amp; " Surplus Applied to " &amp; ( StartYear + 3 )</f>
        <v>2020 Surplus Applied to 2019</v>
      </c>
      <c r="C583" s="32"/>
      <c r="D583" s="124"/>
      <c r="E583" s="125"/>
      <c r="F583" s="125"/>
      <c r="G583" s="54">
        <v>0</v>
      </c>
      <c r="H583" s="46">
        <v>0</v>
      </c>
    </row>
    <row r="584" spans="1:8" x14ac:dyDescent="0.3">
      <c r="B584" s="35" t="s">
        <v>17</v>
      </c>
      <c r="D584" s="6">
        <f>D574-D575+D577-D576</f>
        <v>0</v>
      </c>
      <c r="E584" s="6">
        <f>E576+E579-E577-E578</f>
        <v>0</v>
      </c>
      <c r="F584" s="6">
        <f>F578+F581-F579-F580</f>
        <v>0</v>
      </c>
      <c r="G584" s="6">
        <f>G580+G583-G581-G582</f>
        <v>0</v>
      </c>
      <c r="H584" s="6">
        <f>H582 - H583</f>
        <v>0</v>
      </c>
    </row>
    <row r="585" spans="1:8" x14ac:dyDescent="0.3">
      <c r="B585" s="5"/>
      <c r="D585" s="6"/>
      <c r="E585" s="6"/>
      <c r="F585" s="6"/>
      <c r="G585" s="6"/>
      <c r="H585" s="6"/>
    </row>
    <row r="586" spans="1:8" x14ac:dyDescent="0.3">
      <c r="B586" s="61" t="s">
        <v>12</v>
      </c>
      <c r="C586" s="59"/>
      <c r="D586" s="82">
        <v>0</v>
      </c>
      <c r="E586" s="120">
        <v>0</v>
      </c>
      <c r="F586" s="120">
        <v>0</v>
      </c>
      <c r="G586" s="120">
        <v>0</v>
      </c>
      <c r="H586" s="83">
        <v>0</v>
      </c>
    </row>
    <row r="587" spans="1:8" x14ac:dyDescent="0.3">
      <c r="B587" s="5"/>
      <c r="D587" s="6"/>
      <c r="E587" s="6"/>
      <c r="F587" s="6"/>
      <c r="G587" s="6"/>
      <c r="H587" s="6"/>
    </row>
    <row r="588" spans="1:8" ht="18.2" x14ac:dyDescent="0.35">
      <c r="A588" s="41" t="s">
        <v>26</v>
      </c>
      <c r="C588" s="59"/>
      <c r="D588" s="121">
        <f xml:space="preserve"> D560 + D565 - D571 + D584 + D586</f>
        <v>0</v>
      </c>
      <c r="E588" s="121">
        <f xml:space="preserve"> E560 + E565 - E571 + E584 + E586</f>
        <v>6741</v>
      </c>
      <c r="F588" s="121">
        <f xml:space="preserve"> F560 + F565 - F571 + F584 + F586</f>
        <v>0</v>
      </c>
      <c r="G588" s="121">
        <f xml:space="preserve"> G560 + G565 - G571 + G584 + G586</f>
        <v>0</v>
      </c>
      <c r="H588" s="192">
        <f xml:space="preserve"> H560 + H565 - H571 + H584 + H586</f>
        <v>0</v>
      </c>
    </row>
    <row r="589" spans="1:8" x14ac:dyDescent="0.3">
      <c r="C589" s="5" t="s">
        <v>169</v>
      </c>
      <c r="D589" s="6"/>
      <c r="E589" s="6">
        <v>6741</v>
      </c>
      <c r="F589" s="31"/>
      <c r="G589" s="31"/>
      <c r="H589" s="31"/>
    </row>
    <row r="590" spans="1:8" x14ac:dyDescent="0.3">
      <c r="C590" s="134"/>
      <c r="D590" s="6"/>
      <c r="E590" s="6"/>
      <c r="F590" s="31"/>
      <c r="G590" s="31"/>
      <c r="H590" s="31"/>
    </row>
    <row r="591" spans="1:8" x14ac:dyDescent="0.3">
      <c r="A591" s="32"/>
      <c r="B591" s="32"/>
      <c r="C591" s="32"/>
      <c r="D591" s="32"/>
      <c r="E591" s="32"/>
      <c r="F591" s="32"/>
      <c r="G591" s="32"/>
      <c r="H591" s="32"/>
    </row>
    <row r="592" spans="1:8" x14ac:dyDescent="0.3">
      <c r="A592" s="32"/>
      <c r="B592" s="32"/>
      <c r="C592" s="32"/>
      <c r="D592" s="32"/>
      <c r="E592" s="32"/>
      <c r="F592" s="32"/>
      <c r="G592" s="32"/>
      <c r="H592" s="32"/>
    </row>
    <row r="593" spans="1:8" ht="21.3" x14ac:dyDescent="0.4">
      <c r="A593" s="12" t="s">
        <v>4</v>
      </c>
      <c r="B593" s="12"/>
      <c r="C593" s="42" t="str">
        <f>B18</f>
        <v>Grand View 2 West--REC Only **</v>
      </c>
      <c r="D593" s="22"/>
      <c r="E593" s="22"/>
    </row>
    <row r="594" spans="1:8" x14ac:dyDescent="0.3">
      <c r="C594" s="22" t="s">
        <v>173</v>
      </c>
      <c r="D594" s="1"/>
    </row>
    <row r="595" spans="1:8" ht="18.2" x14ac:dyDescent="0.35">
      <c r="A595" s="8" t="s">
        <v>21</v>
      </c>
      <c r="B595" s="8"/>
      <c r="D595" s="2">
        <f>D51</f>
        <v>2016</v>
      </c>
      <c r="E595" s="2">
        <f>D595+1</f>
        <v>2017</v>
      </c>
      <c r="F595" s="2">
        <f>E595+1</f>
        <v>2018</v>
      </c>
      <c r="G595" s="2">
        <f>F595+1</f>
        <v>2019</v>
      </c>
      <c r="H595" s="2">
        <f>G595+1</f>
        <v>2020</v>
      </c>
    </row>
    <row r="596" spans="1:8" x14ac:dyDescent="0.3">
      <c r="B596" s="64" t="str">
        <f>"Purchased from " &amp; C593</f>
        <v>Purchased from Grand View 2 West--REC Only **</v>
      </c>
      <c r="C596" s="59"/>
      <c r="D596" s="3"/>
      <c r="E596" s="3">
        <v>18511</v>
      </c>
      <c r="F596" s="3"/>
      <c r="G596" s="3"/>
      <c r="H596" s="4"/>
    </row>
    <row r="597" spans="1:8" x14ac:dyDescent="0.3">
      <c r="B597" s="64" t="s">
        <v>25</v>
      </c>
      <c r="C597" s="59"/>
      <c r="D597" s="141"/>
      <c r="E597" s="141">
        <v>1</v>
      </c>
      <c r="F597" s="141"/>
      <c r="G597" s="141"/>
      <c r="H597" s="142"/>
    </row>
    <row r="598" spans="1:8" x14ac:dyDescent="0.3">
      <c r="B598" s="64" t="s">
        <v>20</v>
      </c>
      <c r="C598" s="59"/>
      <c r="D598" s="47"/>
      <c r="E598" s="47">
        <v>1</v>
      </c>
      <c r="F598" s="47"/>
      <c r="G598" s="47"/>
      <c r="H598" s="48"/>
    </row>
    <row r="599" spans="1:8" x14ac:dyDescent="0.3">
      <c r="B599" s="61" t="s">
        <v>22</v>
      </c>
      <c r="C599" s="62"/>
      <c r="D599" s="140">
        <f xml:space="preserve"> D596 * D597 * D598</f>
        <v>0</v>
      </c>
      <c r="E599" s="140">
        <f xml:space="preserve"> E596 * E597 * E598</f>
        <v>18511</v>
      </c>
      <c r="F599" s="140">
        <f t="shared" ref="F599" si="10" xml:space="preserve"> ROUNDDOWN(F596 * F597 * F598,0)</f>
        <v>0</v>
      </c>
      <c r="G599" s="140">
        <f t="shared" ref="G599" si="11" xml:space="preserve"> ROUNDDOWN(G596 * G597 * G598,0)</f>
        <v>0</v>
      </c>
      <c r="H599" s="140">
        <f t="shared" ref="H599" si="12" xml:space="preserve"> ROUNDDOWN(H596 * H597 * H598,0)</f>
        <v>0</v>
      </c>
    </row>
    <row r="600" spans="1:8" x14ac:dyDescent="0.3">
      <c r="B600" s="22"/>
      <c r="C600" s="32"/>
      <c r="D600" s="39"/>
      <c r="E600" s="39"/>
      <c r="F600" s="39"/>
      <c r="G600" s="176"/>
      <c r="H600" s="39"/>
    </row>
    <row r="601" spans="1:8" ht="18.2" x14ac:dyDescent="0.35">
      <c r="A601" s="44" t="s">
        <v>119</v>
      </c>
      <c r="C601" s="32"/>
      <c r="D601" s="2">
        <f>D595</f>
        <v>2016</v>
      </c>
      <c r="E601" s="2">
        <f>D601+1</f>
        <v>2017</v>
      </c>
      <c r="F601" s="2">
        <f>E601+1</f>
        <v>2018</v>
      </c>
      <c r="G601" s="2">
        <f>F601+1</f>
        <v>2019</v>
      </c>
      <c r="H601" s="2">
        <f>G601+1</f>
        <v>2020</v>
      </c>
    </row>
    <row r="602" spans="1:8" x14ac:dyDescent="0.3">
      <c r="B602" s="64" t="s">
        <v>10</v>
      </c>
      <c r="C602" s="59"/>
      <c r="D602" s="10">
        <f>IF( $E180 = "Eligible", D599 * 'Facility Detail'!$B$1614, 0 )</f>
        <v>0</v>
      </c>
      <c r="E602" s="118">
        <f>IF( $E180 = "Eligible", E599 * 'Facility Detail'!$B$1614, 0 )</f>
        <v>0</v>
      </c>
      <c r="F602" s="118">
        <f>IF( $E180 = "Eligible", F599 * 'Facility Detail'!$B$1614, 0 )</f>
        <v>0</v>
      </c>
      <c r="G602" s="118">
        <f>IF( $E180 = "Eligible", G599 * 'Facility Detail'!$B$1614, 0 )</f>
        <v>0</v>
      </c>
      <c r="H602" s="11">
        <f>IF( $E180 = "Eligible", H599 * 'Facility Detail'!$B$1614, 0 )</f>
        <v>0</v>
      </c>
    </row>
    <row r="603" spans="1:8" x14ac:dyDescent="0.3">
      <c r="B603" s="64" t="s">
        <v>6</v>
      </c>
      <c r="C603" s="59"/>
      <c r="D603" s="51">
        <f>IF( $F180 = "Eligible", D599, 0 )</f>
        <v>0</v>
      </c>
      <c r="E603" s="119">
        <f>IF( $F180 = "Eligible", E599, 0 )</f>
        <v>0</v>
      </c>
      <c r="F603" s="119">
        <f>IF( $F180 = "Eligible", F599, 0 )</f>
        <v>0</v>
      </c>
      <c r="G603" s="119">
        <f>IF( $F180 = "Eligible", G599, 0 )</f>
        <v>0</v>
      </c>
      <c r="H603" s="52">
        <f>IF( $F180 = "Eligible", H599, 0 )</f>
        <v>0</v>
      </c>
    </row>
    <row r="604" spans="1:8" x14ac:dyDescent="0.3">
      <c r="B604" s="63" t="s">
        <v>121</v>
      </c>
      <c r="C604" s="62"/>
      <c r="D604" s="40">
        <f>SUM(D602:D603)</f>
        <v>0</v>
      </c>
      <c r="E604" s="40">
        <f>SUM(E602:E603)</f>
        <v>0</v>
      </c>
      <c r="F604" s="40">
        <f>SUM(F602:F603)</f>
        <v>0</v>
      </c>
      <c r="G604" s="40">
        <f>SUM(G602:G603)</f>
        <v>0</v>
      </c>
      <c r="H604" s="40">
        <f>SUM(H602:H603)</f>
        <v>0</v>
      </c>
    </row>
    <row r="605" spans="1:8" x14ac:dyDescent="0.3">
      <c r="B605" s="32"/>
      <c r="C605" s="32"/>
      <c r="D605" s="33"/>
      <c r="E605" s="33"/>
      <c r="F605" s="33"/>
      <c r="G605" s="178"/>
      <c r="H605" s="33"/>
    </row>
    <row r="606" spans="1:8" ht="18.2" x14ac:dyDescent="0.35">
      <c r="A606" s="41" t="s">
        <v>30</v>
      </c>
      <c r="C606" s="32"/>
      <c r="D606" s="2">
        <f>D595</f>
        <v>2016</v>
      </c>
      <c r="E606" s="2">
        <f>D606+1</f>
        <v>2017</v>
      </c>
      <c r="F606" s="2">
        <f>E606+1</f>
        <v>2018</v>
      </c>
      <c r="G606" s="2">
        <f>F606+1</f>
        <v>2019</v>
      </c>
      <c r="H606" s="2">
        <f>G606+1</f>
        <v>2020</v>
      </c>
    </row>
    <row r="607" spans="1:8" x14ac:dyDescent="0.3">
      <c r="B607" s="64" t="s">
        <v>47</v>
      </c>
      <c r="C607" s="59"/>
      <c r="D607" s="3">
        <v>0</v>
      </c>
      <c r="E607" s="3">
        <v>0</v>
      </c>
      <c r="F607" s="3">
        <v>0</v>
      </c>
      <c r="G607" s="3">
        <v>0</v>
      </c>
      <c r="H607" s="4">
        <v>0</v>
      </c>
    </row>
    <row r="608" spans="1:8" x14ac:dyDescent="0.3">
      <c r="B608" s="65" t="s">
        <v>23</v>
      </c>
      <c r="C608" s="66"/>
      <c r="D608" s="146">
        <v>0</v>
      </c>
      <c r="E608" s="146">
        <v>0</v>
      </c>
      <c r="F608" s="146">
        <v>0</v>
      </c>
      <c r="G608" s="146">
        <v>0</v>
      </c>
      <c r="H608" s="147">
        <v>0</v>
      </c>
    </row>
    <row r="609" spans="1:8" x14ac:dyDescent="0.3">
      <c r="B609" s="75" t="s">
        <v>89</v>
      </c>
      <c r="C609" s="74"/>
      <c r="D609" s="213">
        <v>0</v>
      </c>
      <c r="E609" s="148">
        <v>0</v>
      </c>
      <c r="F609" s="148">
        <v>0</v>
      </c>
      <c r="G609" s="148">
        <v>0</v>
      </c>
      <c r="H609" s="149">
        <v>0</v>
      </c>
    </row>
    <row r="610" spans="1:8" x14ac:dyDescent="0.3">
      <c r="B610" s="35" t="s">
        <v>90</v>
      </c>
      <c r="D610" s="6">
        <f>SUM(D607:D609)</f>
        <v>0</v>
      </c>
      <c r="E610" s="6">
        <f>SUM(E607:E609)</f>
        <v>0</v>
      </c>
      <c r="F610" s="6">
        <f>SUM(F607:F609)</f>
        <v>0</v>
      </c>
      <c r="G610" s="6">
        <f>SUM(G607:G609)</f>
        <v>0</v>
      </c>
      <c r="H610" s="6">
        <f>SUM(H607:H609)</f>
        <v>0</v>
      </c>
    </row>
    <row r="611" spans="1:8" x14ac:dyDescent="0.3">
      <c r="B611" s="5"/>
      <c r="D611" s="6"/>
      <c r="E611" s="6"/>
      <c r="F611" s="6"/>
      <c r="G611" s="176"/>
      <c r="H611" s="6"/>
    </row>
    <row r="612" spans="1:8" ht="18.2" x14ac:dyDescent="0.35">
      <c r="A612" s="8" t="s">
        <v>100</v>
      </c>
      <c r="D612" s="2">
        <f>D595</f>
        <v>2016</v>
      </c>
      <c r="E612" s="2">
        <f>D612+1</f>
        <v>2017</v>
      </c>
      <c r="F612" s="2">
        <f>E612+1</f>
        <v>2018</v>
      </c>
      <c r="G612" s="2">
        <f>F612+1</f>
        <v>2019</v>
      </c>
      <c r="H612" s="2">
        <f>G612+1</f>
        <v>2020</v>
      </c>
    </row>
    <row r="613" spans="1:8" x14ac:dyDescent="0.3">
      <c r="B613" s="64" t="str">
        <f>(StartYear-1) &amp; " Surplus Applied to " &amp; StartYear</f>
        <v>2015 Surplus Applied to 2016</v>
      </c>
      <c r="C613" s="32"/>
      <c r="D613" s="205">
        <v>0</v>
      </c>
      <c r="E613" s="206"/>
      <c r="F613" s="206"/>
      <c r="G613" s="206"/>
      <c r="H613" s="207"/>
    </row>
    <row r="614" spans="1:8" x14ac:dyDescent="0.3">
      <c r="B614" s="64" t="str">
        <f>StartYear &amp; " Surplus Applied to " &amp; (StartYear-1)</f>
        <v>2016 Surplus Applied to 2015</v>
      </c>
      <c r="C614" s="32"/>
      <c r="D614" s="208">
        <v>0</v>
      </c>
      <c r="E614" s="122"/>
      <c r="F614" s="122"/>
      <c r="G614" s="122"/>
      <c r="H614" s="126"/>
    </row>
    <row r="615" spans="1:8" x14ac:dyDescent="0.3">
      <c r="B615" s="64" t="str">
        <f>( StartYear) &amp; " Surplus Applied to " &amp; ( StartYear + 1 )</f>
        <v>2016 Surplus Applied to 2017</v>
      </c>
      <c r="C615" s="32"/>
      <c r="D615" s="203">
        <f>D599+D604-D610</f>
        <v>0</v>
      </c>
      <c r="E615" s="204">
        <f>D615</f>
        <v>0</v>
      </c>
      <c r="F615" s="199"/>
      <c r="G615" s="199"/>
      <c r="H615" s="200"/>
    </row>
    <row r="616" spans="1:8" x14ac:dyDescent="0.3">
      <c r="B616" s="64" t="str">
        <f xml:space="preserve"> ( StartYear + 1 ) &amp; " Surplus Applied to " &amp; ( StartYear )</f>
        <v>2017 Surplus Applied to 2016</v>
      </c>
      <c r="C616" s="59"/>
      <c r="D616" s="143">
        <v>0</v>
      </c>
      <c r="E616" s="9">
        <v>0</v>
      </c>
      <c r="F616" s="122"/>
      <c r="G616" s="122"/>
      <c r="H616" s="126"/>
    </row>
    <row r="617" spans="1:8" x14ac:dyDescent="0.3">
      <c r="B617" s="128" t="str">
        <f xml:space="preserve"> ( StartYear + 1 ) &amp; " Surplus Applied to " &amp; ( StartYear + 2 )</f>
        <v>2017 Surplus Applied to 2018</v>
      </c>
      <c r="C617" s="59"/>
      <c r="D617" s="123"/>
      <c r="E617" s="9">
        <v>0</v>
      </c>
      <c r="F617" s="58">
        <f>E617</f>
        <v>0</v>
      </c>
      <c r="G617" s="122"/>
      <c r="H617" s="126"/>
    </row>
    <row r="618" spans="1:8" x14ac:dyDescent="0.3">
      <c r="B618" s="128" t="str">
        <f xml:space="preserve"> ( StartYear + 2 ) &amp; " Surplus Applied to " &amp; ( StartYear + 1 )</f>
        <v>2018 Surplus Applied to 2017</v>
      </c>
      <c r="C618" s="59"/>
      <c r="D618" s="123"/>
      <c r="E618" s="58">
        <v>0</v>
      </c>
      <c r="F618" s="9">
        <v>0</v>
      </c>
      <c r="G618" s="122"/>
      <c r="H618" s="126"/>
    </row>
    <row r="619" spans="1:8" x14ac:dyDescent="0.3">
      <c r="B619" s="174" t="str">
        <f xml:space="preserve"> ( StartYear + 2 ) &amp; " Surplus Applied to " &amp; ( StartYear + 3 )</f>
        <v>2018 Surplus Applied to 2019</v>
      </c>
      <c r="C619" s="32"/>
      <c r="D619" s="123"/>
      <c r="E619" s="122"/>
      <c r="F619" s="9">
        <v>0</v>
      </c>
      <c r="G619" s="58">
        <f>F619</f>
        <v>0</v>
      </c>
      <c r="H619" s="126"/>
    </row>
    <row r="620" spans="1:8" x14ac:dyDescent="0.3">
      <c r="B620" s="174" t="str">
        <f xml:space="preserve"> ( StartYear + 3 ) &amp; " Surplus Applied to " &amp; ( StartYear + 2 )</f>
        <v>2019 Surplus Applied to 2018</v>
      </c>
      <c r="C620" s="32"/>
      <c r="D620" s="123"/>
      <c r="E620" s="122"/>
      <c r="F620" s="58">
        <v>0</v>
      </c>
      <c r="G620" s="9">
        <v>0</v>
      </c>
      <c r="H620" s="126"/>
    </row>
    <row r="621" spans="1:8" x14ac:dyDescent="0.3">
      <c r="B621" s="174" t="str">
        <f xml:space="preserve"> ( StartYear + 3 ) &amp; " Surplus Applied to " &amp; ( StartYear + 4 )</f>
        <v>2019 Surplus Applied to 2020</v>
      </c>
      <c r="C621" s="32"/>
      <c r="D621" s="123"/>
      <c r="E621" s="122"/>
      <c r="F621" s="122"/>
      <c r="G621" s="9">
        <f>G599+G604-G610</f>
        <v>0</v>
      </c>
      <c r="H621" s="53">
        <f>G621</f>
        <v>0</v>
      </c>
    </row>
    <row r="622" spans="1:8" x14ac:dyDescent="0.3">
      <c r="B622" s="174" t="str">
        <f xml:space="preserve"> ( StartYear + 4 ) &amp; " Surplus Applied to " &amp; ( StartYear + 3 )</f>
        <v>2020 Surplus Applied to 2019</v>
      </c>
      <c r="C622" s="32"/>
      <c r="D622" s="124"/>
      <c r="E622" s="125"/>
      <c r="F622" s="125"/>
      <c r="G622" s="54">
        <v>0</v>
      </c>
      <c r="H622" s="46">
        <v>0</v>
      </c>
    </row>
    <row r="623" spans="1:8" x14ac:dyDescent="0.3">
      <c r="B623" s="35" t="s">
        <v>17</v>
      </c>
      <c r="D623" s="6">
        <f>D613-D614+D616-D615</f>
        <v>0</v>
      </c>
      <c r="E623" s="6">
        <f>E615+E618-E616-E617</f>
        <v>0</v>
      </c>
      <c r="F623" s="6">
        <f>F617+F620-F618-F619</f>
        <v>0</v>
      </c>
      <c r="G623" s="6">
        <f>G619+G622-G620-G621</f>
        <v>0</v>
      </c>
      <c r="H623" s="6">
        <f>H621 - H622</f>
        <v>0</v>
      </c>
    </row>
    <row r="624" spans="1:8" x14ac:dyDescent="0.3">
      <c r="B624" s="5"/>
      <c r="D624" s="6"/>
      <c r="E624" s="6"/>
      <c r="F624" s="6"/>
      <c r="G624" s="6"/>
      <c r="H624" s="6"/>
    </row>
    <row r="625" spans="1:8" x14ac:dyDescent="0.3">
      <c r="B625" s="61" t="s">
        <v>12</v>
      </c>
      <c r="C625" s="59"/>
      <c r="D625" s="82">
        <v>0</v>
      </c>
      <c r="E625" s="120">
        <v>0</v>
      </c>
      <c r="F625" s="120">
        <v>0</v>
      </c>
      <c r="G625" s="120">
        <v>0</v>
      </c>
      <c r="H625" s="83">
        <v>0</v>
      </c>
    </row>
    <row r="626" spans="1:8" x14ac:dyDescent="0.3">
      <c r="B626" s="5"/>
      <c r="D626" s="6"/>
      <c r="E626" s="6"/>
      <c r="F626" s="6"/>
      <c r="G626" s="6"/>
      <c r="H626" s="6"/>
    </row>
    <row r="627" spans="1:8" ht="18.2" x14ac:dyDescent="0.35">
      <c r="A627" s="41" t="s">
        <v>26</v>
      </c>
      <c r="C627" s="59"/>
      <c r="D627" s="121">
        <f xml:space="preserve"> D599 + D604 - D610 + D623 + D625</f>
        <v>0</v>
      </c>
      <c r="E627" s="121">
        <f xml:space="preserve"> E599 + E604 - E610 + E623 + E625</f>
        <v>18511</v>
      </c>
      <c r="F627" s="121">
        <f xml:space="preserve"> F599 + F604 - F610 + F623 + F625</f>
        <v>0</v>
      </c>
      <c r="G627" s="121">
        <f xml:space="preserve"> G599 + G604 - G610 + G623 + G625</f>
        <v>0</v>
      </c>
      <c r="H627" s="192">
        <f xml:space="preserve"> H599 + H604 - H610 + H623 + H625</f>
        <v>0</v>
      </c>
    </row>
    <row r="628" spans="1:8" x14ac:dyDescent="0.3">
      <c r="C628" s="5" t="s">
        <v>169</v>
      </c>
      <c r="D628" s="6"/>
      <c r="E628" s="6">
        <v>18511</v>
      </c>
      <c r="F628" s="31"/>
      <c r="G628" s="31"/>
      <c r="H628" s="31"/>
    </row>
    <row r="629" spans="1:8" x14ac:dyDescent="0.3">
      <c r="C629" s="134"/>
      <c r="D629" s="1"/>
    </row>
    <row r="630" spans="1:8" x14ac:dyDescent="0.3">
      <c r="A630" s="32"/>
      <c r="B630" s="32"/>
      <c r="C630" s="32"/>
      <c r="D630" s="32"/>
      <c r="E630" s="32"/>
      <c r="F630" s="32"/>
      <c r="G630" s="32"/>
      <c r="H630" s="32"/>
    </row>
    <row r="631" spans="1:8" x14ac:dyDescent="0.3">
      <c r="B631" s="32"/>
      <c r="C631" s="32"/>
      <c r="D631" s="32"/>
      <c r="E631" s="32"/>
      <c r="F631" s="32"/>
      <c r="G631" s="32"/>
      <c r="H631" s="32"/>
    </row>
    <row r="632" spans="1:8" ht="21.3" x14ac:dyDescent="0.4">
      <c r="A632" s="12" t="s">
        <v>4</v>
      </c>
      <c r="B632" s="12"/>
      <c r="C632" s="42" t="str">
        <f>B19</f>
        <v>ID Solar 1 -- REC Only **</v>
      </c>
      <c r="D632" s="22"/>
      <c r="E632" s="22"/>
    </row>
    <row r="633" spans="1:8" x14ac:dyDescent="0.3">
      <c r="C633" s="22" t="s">
        <v>173</v>
      </c>
      <c r="D633" s="1"/>
    </row>
    <row r="634" spans="1:8" ht="18.2" x14ac:dyDescent="0.35">
      <c r="A634" s="8" t="s">
        <v>21</v>
      </c>
      <c r="B634" s="8"/>
      <c r="D634" s="2">
        <f>D51</f>
        <v>2016</v>
      </c>
      <c r="E634" s="2">
        <f>D634+1</f>
        <v>2017</v>
      </c>
      <c r="F634" s="2">
        <f>E634+1</f>
        <v>2018</v>
      </c>
      <c r="G634" s="2">
        <f>F634+1</f>
        <v>2019</v>
      </c>
      <c r="H634" s="2">
        <f>G634+1</f>
        <v>2020</v>
      </c>
    </row>
    <row r="635" spans="1:8" x14ac:dyDescent="0.3">
      <c r="B635" s="64" t="str">
        <f>"Purchased from " &amp; C632</f>
        <v>Purchased from ID Solar 1 -- REC Only **</v>
      </c>
      <c r="C635" s="59"/>
      <c r="D635" s="3"/>
      <c r="E635" s="3">
        <v>12048</v>
      </c>
      <c r="F635" s="3"/>
      <c r="G635" s="3"/>
      <c r="H635" s="4"/>
    </row>
    <row r="636" spans="1:8" x14ac:dyDescent="0.3">
      <c r="B636" s="64" t="s">
        <v>25</v>
      </c>
      <c r="C636" s="59"/>
      <c r="D636" s="141"/>
      <c r="E636" s="141">
        <v>1</v>
      </c>
      <c r="F636" s="141"/>
      <c r="G636" s="141"/>
      <c r="H636" s="142"/>
    </row>
    <row r="637" spans="1:8" x14ac:dyDescent="0.3">
      <c r="B637" s="64" t="s">
        <v>20</v>
      </c>
      <c r="C637" s="59"/>
      <c r="D637" s="47"/>
      <c r="E637" s="47">
        <v>1</v>
      </c>
      <c r="F637" s="47"/>
      <c r="G637" s="47"/>
      <c r="H637" s="48"/>
    </row>
    <row r="638" spans="1:8" x14ac:dyDescent="0.3">
      <c r="B638" s="61" t="s">
        <v>22</v>
      </c>
      <c r="C638" s="62"/>
      <c r="D638" s="140">
        <f xml:space="preserve"> D635 * D636 * D637</f>
        <v>0</v>
      </c>
      <c r="E638" s="140">
        <f xml:space="preserve"> E635 * E636 * E637</f>
        <v>12048</v>
      </c>
      <c r="F638" s="140">
        <f t="shared" ref="F638" si="13" xml:space="preserve"> ROUNDDOWN(F635 * F636 * F637,0)</f>
        <v>0</v>
      </c>
      <c r="G638" s="140">
        <f t="shared" ref="G638" si="14" xml:space="preserve"> ROUNDDOWN(G635 * G636 * G637,0)</f>
        <v>0</v>
      </c>
      <c r="H638" s="140">
        <f t="shared" ref="H638" si="15" xml:space="preserve"> ROUNDDOWN(H635 * H636 * H637,0)</f>
        <v>0</v>
      </c>
    </row>
    <row r="639" spans="1:8" x14ac:dyDescent="0.3">
      <c r="B639" s="22"/>
      <c r="C639" s="32"/>
      <c r="D639" s="39"/>
      <c r="E639" s="39"/>
      <c r="F639" s="39"/>
      <c r="G639" s="176"/>
      <c r="H639" s="39"/>
    </row>
    <row r="640" spans="1:8" ht="18.2" x14ac:dyDescent="0.35">
      <c r="A640" s="44" t="s">
        <v>119</v>
      </c>
      <c r="C640" s="32"/>
      <c r="D640" s="2">
        <f>D634</f>
        <v>2016</v>
      </c>
      <c r="E640" s="2">
        <f>D640+1</f>
        <v>2017</v>
      </c>
      <c r="F640" s="2">
        <f>E640+1</f>
        <v>2018</v>
      </c>
      <c r="G640" s="2">
        <f>F640+1</f>
        <v>2019</v>
      </c>
      <c r="H640" s="2">
        <f>G640+1</f>
        <v>2020</v>
      </c>
    </row>
    <row r="641" spans="1:8" x14ac:dyDescent="0.3">
      <c r="B641" s="64" t="s">
        <v>10</v>
      </c>
      <c r="C641" s="59"/>
      <c r="D641" s="10">
        <f>IF( $E219 = "Eligible", D638 * 'Facility Detail'!$B$1614, 0 )</f>
        <v>0</v>
      </c>
      <c r="E641" s="118">
        <f>IF( $E219 = "Eligible", E638 * 'Facility Detail'!$B$1614, 0 )</f>
        <v>0</v>
      </c>
      <c r="F641" s="118">
        <f>IF( $E219 = "Eligible", F638 * 'Facility Detail'!$B$1614, 0 )</f>
        <v>0</v>
      </c>
      <c r="G641" s="118">
        <f>IF( $E219 = "Eligible", G638 * 'Facility Detail'!$B$1614, 0 )</f>
        <v>0</v>
      </c>
      <c r="H641" s="11">
        <f>IF( $E219 = "Eligible", H638 * 'Facility Detail'!$B$1614, 0 )</f>
        <v>0</v>
      </c>
    </row>
    <row r="642" spans="1:8" x14ac:dyDescent="0.3">
      <c r="B642" s="64" t="s">
        <v>6</v>
      </c>
      <c r="C642" s="59"/>
      <c r="D642" s="51">
        <f>IF( $F219 = "Eligible", D638, 0 )</f>
        <v>0</v>
      </c>
      <c r="E642" s="119">
        <f>IF( $F219 = "Eligible", E638, 0 )</f>
        <v>0</v>
      </c>
      <c r="F642" s="119">
        <f>IF( $F219 = "Eligible", F638, 0 )</f>
        <v>0</v>
      </c>
      <c r="G642" s="119">
        <f>IF( $F219 = "Eligible", G638, 0 )</f>
        <v>0</v>
      </c>
      <c r="H642" s="52">
        <f>IF( $F219 = "Eligible", H638, 0 )</f>
        <v>0</v>
      </c>
    </row>
    <row r="643" spans="1:8" x14ac:dyDescent="0.3">
      <c r="B643" s="63" t="s">
        <v>121</v>
      </c>
      <c r="C643" s="62"/>
      <c r="D643" s="40">
        <f>SUM(D641:D642)</f>
        <v>0</v>
      </c>
      <c r="E643" s="40">
        <f>SUM(E641:E642)</f>
        <v>0</v>
      </c>
      <c r="F643" s="40">
        <f>SUM(F641:F642)</f>
        <v>0</v>
      </c>
      <c r="G643" s="40">
        <f>SUM(G641:G642)</f>
        <v>0</v>
      </c>
      <c r="H643" s="40">
        <f>SUM(H641:H642)</f>
        <v>0</v>
      </c>
    </row>
    <row r="644" spans="1:8" x14ac:dyDescent="0.3">
      <c r="B644" s="32"/>
      <c r="C644" s="32"/>
      <c r="D644" s="33"/>
      <c r="E644" s="33"/>
      <c r="F644" s="33"/>
      <c r="G644" s="178"/>
      <c r="H644" s="33"/>
    </row>
    <row r="645" spans="1:8" ht="18.2" x14ac:dyDescent="0.35">
      <c r="A645" s="41" t="s">
        <v>30</v>
      </c>
      <c r="C645" s="32"/>
      <c r="D645" s="2">
        <f>D634</f>
        <v>2016</v>
      </c>
      <c r="E645" s="2">
        <f>D645+1</f>
        <v>2017</v>
      </c>
      <c r="F645" s="2">
        <f>E645+1</f>
        <v>2018</v>
      </c>
      <c r="G645" s="2">
        <f>F645+1</f>
        <v>2019</v>
      </c>
      <c r="H645" s="2">
        <f>G645+1</f>
        <v>2020</v>
      </c>
    </row>
    <row r="646" spans="1:8" x14ac:dyDescent="0.3">
      <c r="B646" s="64" t="s">
        <v>47</v>
      </c>
      <c r="C646" s="59"/>
      <c r="D646" s="3">
        <v>0</v>
      </c>
      <c r="E646" s="3">
        <v>0</v>
      </c>
      <c r="F646" s="3">
        <v>0</v>
      </c>
      <c r="G646" s="3">
        <v>0</v>
      </c>
      <c r="H646" s="4">
        <v>0</v>
      </c>
    </row>
    <row r="647" spans="1:8" x14ac:dyDescent="0.3">
      <c r="B647" s="65" t="s">
        <v>23</v>
      </c>
      <c r="C647" s="66"/>
      <c r="D647" s="146">
        <v>0</v>
      </c>
      <c r="E647" s="146">
        <v>0</v>
      </c>
      <c r="F647" s="146">
        <v>0</v>
      </c>
      <c r="G647" s="146">
        <v>0</v>
      </c>
      <c r="H647" s="147">
        <v>0</v>
      </c>
    </row>
    <row r="648" spans="1:8" x14ac:dyDescent="0.3">
      <c r="B648" s="75" t="s">
        <v>89</v>
      </c>
      <c r="C648" s="74"/>
      <c r="D648" s="213">
        <v>0</v>
      </c>
      <c r="E648" s="148">
        <v>0</v>
      </c>
      <c r="F648" s="148">
        <v>0</v>
      </c>
      <c r="G648" s="148">
        <v>0</v>
      </c>
      <c r="H648" s="149">
        <v>0</v>
      </c>
    </row>
    <row r="649" spans="1:8" x14ac:dyDescent="0.3">
      <c r="B649" s="35" t="s">
        <v>90</v>
      </c>
      <c r="D649" s="6">
        <f>SUM(D646:D648)</f>
        <v>0</v>
      </c>
      <c r="E649" s="6">
        <f>SUM(E646:E648)</f>
        <v>0</v>
      </c>
      <c r="F649" s="6">
        <f>SUM(F646:F648)</f>
        <v>0</v>
      </c>
      <c r="G649" s="6">
        <f>SUM(G646:G648)</f>
        <v>0</v>
      </c>
      <c r="H649" s="6">
        <f>SUM(H646:H648)</f>
        <v>0</v>
      </c>
    </row>
    <row r="650" spans="1:8" x14ac:dyDescent="0.3">
      <c r="B650" s="5"/>
      <c r="D650" s="6"/>
      <c r="E650" s="6"/>
      <c r="F650" s="6"/>
      <c r="G650" s="176"/>
      <c r="H650" s="6"/>
    </row>
    <row r="651" spans="1:8" ht="18.2" x14ac:dyDescent="0.35">
      <c r="A651" s="8" t="s">
        <v>100</v>
      </c>
      <c r="D651" s="2">
        <f>D634</f>
        <v>2016</v>
      </c>
      <c r="E651" s="2">
        <f>D651+1</f>
        <v>2017</v>
      </c>
      <c r="F651" s="2">
        <f>E651+1</f>
        <v>2018</v>
      </c>
      <c r="G651" s="2">
        <f>F651+1</f>
        <v>2019</v>
      </c>
      <c r="H651" s="2">
        <f>G651+1</f>
        <v>2020</v>
      </c>
    </row>
    <row r="652" spans="1:8" x14ac:dyDescent="0.3">
      <c r="B652" s="64" t="str">
        <f>(StartYear-1) &amp; " Surplus Applied to " &amp; StartYear</f>
        <v>2015 Surplus Applied to 2016</v>
      </c>
      <c r="C652" s="32"/>
      <c r="D652" s="205">
        <v>0</v>
      </c>
      <c r="E652" s="206"/>
      <c r="F652" s="206"/>
      <c r="G652" s="206"/>
      <c r="H652" s="207"/>
    </row>
    <row r="653" spans="1:8" x14ac:dyDescent="0.3">
      <c r="B653" s="64" t="str">
        <f>StartYear &amp; " Surplus Applied to " &amp; (StartYear-1)</f>
        <v>2016 Surplus Applied to 2015</v>
      </c>
      <c r="C653" s="32"/>
      <c r="D653" s="208">
        <v>0</v>
      </c>
      <c r="E653" s="122"/>
      <c r="F653" s="122"/>
      <c r="G653" s="122"/>
      <c r="H653" s="126"/>
    </row>
    <row r="654" spans="1:8" x14ac:dyDescent="0.3">
      <c r="B654" s="64" t="str">
        <f>( StartYear) &amp; " Surplus Applied to " &amp; ( StartYear + 1 )</f>
        <v>2016 Surplus Applied to 2017</v>
      </c>
      <c r="C654" s="32"/>
      <c r="D654" s="203">
        <f>D638+D643-D649</f>
        <v>0</v>
      </c>
      <c r="E654" s="204">
        <f>D654</f>
        <v>0</v>
      </c>
      <c r="F654" s="199"/>
      <c r="G654" s="199"/>
      <c r="H654" s="200"/>
    </row>
    <row r="655" spans="1:8" x14ac:dyDescent="0.3">
      <c r="B655" s="64" t="str">
        <f xml:space="preserve"> ( StartYear + 1 ) &amp; " Surplus Applied to " &amp; ( StartYear )</f>
        <v>2017 Surplus Applied to 2016</v>
      </c>
      <c r="C655" s="59"/>
      <c r="D655" s="143">
        <v>0</v>
      </c>
      <c r="E655" s="9">
        <v>0</v>
      </c>
      <c r="F655" s="122"/>
      <c r="G655" s="122"/>
      <c r="H655" s="126"/>
    </row>
    <row r="656" spans="1:8" x14ac:dyDescent="0.3">
      <c r="B656" s="128" t="str">
        <f xml:space="preserve"> ( StartYear + 1 ) &amp; " Surplus Applied to " &amp; ( StartYear + 2 )</f>
        <v>2017 Surplus Applied to 2018</v>
      </c>
      <c r="C656" s="59"/>
      <c r="D656" s="123"/>
      <c r="E656" s="9">
        <v>0</v>
      </c>
      <c r="F656" s="58">
        <f>E656</f>
        <v>0</v>
      </c>
      <c r="G656" s="122"/>
      <c r="H656" s="126"/>
    </row>
    <row r="657" spans="1:8" x14ac:dyDescent="0.3">
      <c r="B657" s="128" t="str">
        <f xml:space="preserve"> ( StartYear + 2 ) &amp; " Surplus Applied to " &amp; ( StartYear + 1 )</f>
        <v>2018 Surplus Applied to 2017</v>
      </c>
      <c r="C657" s="59"/>
      <c r="D657" s="123"/>
      <c r="E657" s="58">
        <v>0</v>
      </c>
      <c r="F657" s="9">
        <v>0</v>
      </c>
      <c r="G657" s="122"/>
      <c r="H657" s="126"/>
    </row>
    <row r="658" spans="1:8" x14ac:dyDescent="0.3">
      <c r="B658" s="174" t="str">
        <f xml:space="preserve"> ( StartYear + 2 ) &amp; " Surplus Applied to " &amp; ( StartYear + 3 )</f>
        <v>2018 Surplus Applied to 2019</v>
      </c>
      <c r="C658" s="32"/>
      <c r="D658" s="123"/>
      <c r="E658" s="122"/>
      <c r="F658" s="9">
        <v>0</v>
      </c>
      <c r="G658" s="58">
        <f>F658</f>
        <v>0</v>
      </c>
      <c r="H658" s="126"/>
    </row>
    <row r="659" spans="1:8" x14ac:dyDescent="0.3">
      <c r="B659" s="174" t="str">
        <f xml:space="preserve"> ( StartYear + 3 ) &amp; " Surplus Applied to " &amp; ( StartYear + 2 )</f>
        <v>2019 Surplus Applied to 2018</v>
      </c>
      <c r="C659" s="32"/>
      <c r="D659" s="123"/>
      <c r="E659" s="122"/>
      <c r="F659" s="58">
        <v>0</v>
      </c>
      <c r="G659" s="9">
        <v>0</v>
      </c>
      <c r="H659" s="126"/>
    </row>
    <row r="660" spans="1:8" x14ac:dyDescent="0.3">
      <c r="B660" s="174" t="str">
        <f xml:space="preserve"> ( StartYear + 3 ) &amp; " Surplus Applied to " &amp; ( StartYear + 4 )</f>
        <v>2019 Surplus Applied to 2020</v>
      </c>
      <c r="C660" s="32"/>
      <c r="D660" s="123"/>
      <c r="E660" s="122"/>
      <c r="F660" s="122"/>
      <c r="G660" s="9">
        <f>G638+G643-G649</f>
        <v>0</v>
      </c>
      <c r="H660" s="53">
        <f>G660</f>
        <v>0</v>
      </c>
    </row>
    <row r="661" spans="1:8" x14ac:dyDescent="0.3">
      <c r="B661" s="174" t="str">
        <f xml:space="preserve"> ( StartYear + 4 ) &amp; " Surplus Applied to " &amp; ( StartYear + 3 )</f>
        <v>2020 Surplus Applied to 2019</v>
      </c>
      <c r="C661" s="32"/>
      <c r="D661" s="124"/>
      <c r="E661" s="125"/>
      <c r="F661" s="125"/>
      <c r="G661" s="54">
        <v>0</v>
      </c>
      <c r="H661" s="46">
        <v>0</v>
      </c>
    </row>
    <row r="662" spans="1:8" x14ac:dyDescent="0.3">
      <c r="B662" s="35" t="s">
        <v>17</v>
      </c>
      <c r="D662" s="6">
        <f>D652-D653+D655-D654</f>
        <v>0</v>
      </c>
      <c r="E662" s="6">
        <f>E654+E657-E655-E656</f>
        <v>0</v>
      </c>
      <c r="F662" s="6">
        <f>F656+F659-F657-F658</f>
        <v>0</v>
      </c>
      <c r="G662" s="6">
        <f>G658+G661-G659-G660</f>
        <v>0</v>
      </c>
      <c r="H662" s="6">
        <f>H660 - H661</f>
        <v>0</v>
      </c>
    </row>
    <row r="663" spans="1:8" x14ac:dyDescent="0.3">
      <c r="B663" s="5"/>
      <c r="D663" s="6"/>
      <c r="E663" s="6"/>
      <c r="F663" s="6"/>
      <c r="G663" s="6"/>
      <c r="H663" s="6"/>
    </row>
    <row r="664" spans="1:8" x14ac:dyDescent="0.3">
      <c r="B664" s="61" t="s">
        <v>12</v>
      </c>
      <c r="C664" s="59"/>
      <c r="D664" s="82">
        <v>0</v>
      </c>
      <c r="E664" s="120">
        <v>0</v>
      </c>
      <c r="F664" s="120">
        <v>0</v>
      </c>
      <c r="G664" s="120">
        <v>0</v>
      </c>
      <c r="H664" s="83">
        <v>0</v>
      </c>
    </row>
    <row r="665" spans="1:8" x14ac:dyDescent="0.3">
      <c r="B665" s="5"/>
      <c r="D665" s="6"/>
      <c r="E665" s="6"/>
      <c r="F665" s="6"/>
      <c r="G665" s="6"/>
      <c r="H665" s="6"/>
    </row>
    <row r="666" spans="1:8" ht="18.2" x14ac:dyDescent="0.35">
      <c r="A666" s="41" t="s">
        <v>26</v>
      </c>
      <c r="C666" s="59"/>
      <c r="D666" s="121">
        <f xml:space="preserve"> D638 + D643 - D649 + D662 + D664</f>
        <v>0</v>
      </c>
      <c r="E666" s="121">
        <f xml:space="preserve"> E638 + E643 - E649 + E662 + E664</f>
        <v>12048</v>
      </c>
      <c r="F666" s="121">
        <f xml:space="preserve"> F638 + F643 - F649 + F662 + F664</f>
        <v>0</v>
      </c>
      <c r="G666" s="121">
        <f xml:space="preserve"> G638 + G643 - G649 + G662 + G664</f>
        <v>0</v>
      </c>
      <c r="H666" s="192">
        <f xml:space="preserve"> H638 + H643 - H649 + H662 + H664</f>
        <v>0</v>
      </c>
    </row>
    <row r="667" spans="1:8" x14ac:dyDescent="0.3">
      <c r="C667" s="5" t="s">
        <v>169</v>
      </c>
      <c r="D667" s="6"/>
      <c r="E667" s="6">
        <v>12048</v>
      </c>
      <c r="F667" s="31"/>
      <c r="G667" s="31"/>
      <c r="H667" s="31"/>
    </row>
    <row r="668" spans="1:8" x14ac:dyDescent="0.3">
      <c r="C668" s="134"/>
      <c r="D668" s="6"/>
      <c r="E668" s="6"/>
      <c r="F668" s="31"/>
      <c r="G668" s="31"/>
      <c r="H668" s="31"/>
    </row>
    <row r="669" spans="1:8" x14ac:dyDescent="0.3">
      <c r="A669" s="32"/>
      <c r="B669" s="32"/>
      <c r="C669" s="32"/>
      <c r="D669" s="32"/>
      <c r="E669" s="32"/>
      <c r="F669" s="32"/>
      <c r="G669" s="32"/>
      <c r="H669" s="32"/>
    </row>
    <row r="670" spans="1:8" x14ac:dyDescent="0.3">
      <c r="A670" s="32"/>
      <c r="B670" s="32"/>
      <c r="C670" s="32"/>
      <c r="D670" s="32"/>
      <c r="E670" s="32"/>
      <c r="F670" s="32"/>
      <c r="G670" s="32"/>
      <c r="H670" s="32"/>
    </row>
    <row r="671" spans="1:8" ht="21.3" x14ac:dyDescent="0.4">
      <c r="A671" s="12" t="s">
        <v>4</v>
      </c>
      <c r="B671" s="12"/>
      <c r="C671" s="42" t="str">
        <f>B20</f>
        <v>Condon Wind Power -- REC Only **</v>
      </c>
      <c r="D671" s="22"/>
      <c r="E671" s="22"/>
    </row>
    <row r="672" spans="1:8" x14ac:dyDescent="0.3">
      <c r="C672" s="22" t="s">
        <v>173</v>
      </c>
      <c r="D672" s="1"/>
    </row>
    <row r="673" spans="1:8" ht="18.2" x14ac:dyDescent="0.35">
      <c r="A673" s="8" t="s">
        <v>21</v>
      </c>
      <c r="B673" s="8"/>
      <c r="D673" s="2">
        <f>D51</f>
        <v>2016</v>
      </c>
      <c r="E673" s="2">
        <f>D673+1</f>
        <v>2017</v>
      </c>
      <c r="F673" s="2">
        <f>E673+1</f>
        <v>2018</v>
      </c>
      <c r="G673" s="2">
        <f>F673+1</f>
        <v>2019</v>
      </c>
      <c r="H673" s="2">
        <f>G673+1</f>
        <v>2020</v>
      </c>
    </row>
    <row r="674" spans="1:8" x14ac:dyDescent="0.3">
      <c r="B674" s="64" t="str">
        <f>"Purchased from " &amp; C671</f>
        <v>Purchased from Condon Wind Power -- REC Only **</v>
      </c>
      <c r="C674" s="59"/>
      <c r="D674" s="3"/>
      <c r="E674" s="3">
        <v>1046</v>
      </c>
      <c r="F674" s="3"/>
      <c r="G674" s="3"/>
      <c r="H674" s="4"/>
    </row>
    <row r="675" spans="1:8" x14ac:dyDescent="0.3">
      <c r="B675" s="64" t="s">
        <v>25</v>
      </c>
      <c r="C675" s="59"/>
      <c r="D675" s="141"/>
      <c r="E675" s="141">
        <v>1</v>
      </c>
      <c r="F675" s="141"/>
      <c r="G675" s="141"/>
      <c r="H675" s="142"/>
    </row>
    <row r="676" spans="1:8" x14ac:dyDescent="0.3">
      <c r="B676" s="64" t="s">
        <v>20</v>
      </c>
      <c r="C676" s="59"/>
      <c r="D676" s="47"/>
      <c r="E676" s="47">
        <v>1</v>
      </c>
      <c r="F676" s="47"/>
      <c r="G676" s="47"/>
      <c r="H676" s="48"/>
    </row>
    <row r="677" spans="1:8" x14ac:dyDescent="0.3">
      <c r="B677" s="61" t="s">
        <v>22</v>
      </c>
      <c r="C677" s="62"/>
      <c r="D677" s="140">
        <f xml:space="preserve"> D674 * D675 * D676</f>
        <v>0</v>
      </c>
      <c r="E677" s="140">
        <f xml:space="preserve"> E674 * E675 * E676</f>
        <v>1046</v>
      </c>
      <c r="F677" s="140">
        <f t="shared" ref="F677" si="16" xml:space="preserve"> ROUNDDOWN(F674 * F675 * F676,0)</f>
        <v>0</v>
      </c>
      <c r="G677" s="140">
        <f t="shared" ref="G677" si="17" xml:space="preserve"> ROUNDDOWN(G674 * G675 * G676,0)</f>
        <v>0</v>
      </c>
      <c r="H677" s="140">
        <f t="shared" ref="H677" si="18" xml:space="preserve"> ROUNDDOWN(H674 * H675 * H676,0)</f>
        <v>0</v>
      </c>
    </row>
    <row r="678" spans="1:8" x14ac:dyDescent="0.3">
      <c r="B678" s="22"/>
      <c r="C678" s="32"/>
      <c r="D678" s="39"/>
      <c r="E678" s="39"/>
      <c r="F678" s="39"/>
      <c r="G678" s="176"/>
      <c r="H678" s="39"/>
    </row>
    <row r="679" spans="1:8" ht="18.2" x14ac:dyDescent="0.35">
      <c r="A679" s="44" t="s">
        <v>119</v>
      </c>
      <c r="C679" s="32"/>
      <c r="D679" s="2">
        <f>D673</f>
        <v>2016</v>
      </c>
      <c r="E679" s="2">
        <f>D679+1</f>
        <v>2017</v>
      </c>
      <c r="F679" s="2">
        <f>E679+1</f>
        <v>2018</v>
      </c>
      <c r="G679" s="2">
        <f>F679+1</f>
        <v>2019</v>
      </c>
      <c r="H679" s="2">
        <f>G679+1</f>
        <v>2020</v>
      </c>
    </row>
    <row r="680" spans="1:8" x14ac:dyDescent="0.3">
      <c r="B680" s="64" t="s">
        <v>10</v>
      </c>
      <c r="C680" s="59"/>
      <c r="D680" s="10">
        <f>IF( $E258 = "Eligible", D677 * 'Facility Detail'!$B$1614, 0 )</f>
        <v>0</v>
      </c>
      <c r="E680" s="118">
        <f>IF( $E258 = "Eligible", E677 * 'Facility Detail'!$B$1614, 0 )</f>
        <v>0</v>
      </c>
      <c r="F680" s="118">
        <f>IF( $E258 = "Eligible", F677 * 'Facility Detail'!$B$1614, 0 )</f>
        <v>0</v>
      </c>
      <c r="G680" s="118">
        <f>IF( $E258 = "Eligible", G677 * 'Facility Detail'!$B$1614, 0 )</f>
        <v>0</v>
      </c>
      <c r="H680" s="11">
        <f>IF( $E258 = "Eligible", H677 * 'Facility Detail'!$B$1614, 0 )</f>
        <v>0</v>
      </c>
    </row>
    <row r="681" spans="1:8" x14ac:dyDescent="0.3">
      <c r="B681" s="64" t="s">
        <v>6</v>
      </c>
      <c r="C681" s="59"/>
      <c r="D681" s="51">
        <f>IF( $F258 = "Eligible", D677, 0 )</f>
        <v>0</v>
      </c>
      <c r="E681" s="119">
        <f>IF( $F258 = "Eligible", E677, 0 )</f>
        <v>0</v>
      </c>
      <c r="F681" s="119">
        <f>IF( $F258 = "Eligible", F677, 0 )</f>
        <v>0</v>
      </c>
      <c r="G681" s="119">
        <f>IF( $F258 = "Eligible", G677, 0 )</f>
        <v>0</v>
      </c>
      <c r="H681" s="52">
        <f>IF( $F258 = "Eligible", H677, 0 )</f>
        <v>0</v>
      </c>
    </row>
    <row r="682" spans="1:8" x14ac:dyDescent="0.3">
      <c r="B682" s="63" t="s">
        <v>121</v>
      </c>
      <c r="C682" s="62"/>
      <c r="D682" s="40">
        <f>SUM(D680:D681)</f>
        <v>0</v>
      </c>
      <c r="E682" s="40">
        <f>SUM(E680:E681)</f>
        <v>0</v>
      </c>
      <c r="F682" s="40">
        <f>SUM(F680:F681)</f>
        <v>0</v>
      </c>
      <c r="G682" s="40">
        <f>SUM(G680:G681)</f>
        <v>0</v>
      </c>
      <c r="H682" s="40">
        <f>SUM(H680:H681)</f>
        <v>0</v>
      </c>
    </row>
    <row r="683" spans="1:8" x14ac:dyDescent="0.3">
      <c r="B683" s="32"/>
      <c r="C683" s="32"/>
      <c r="D683" s="33"/>
      <c r="E683" s="33"/>
      <c r="F683" s="33"/>
      <c r="G683" s="178"/>
      <c r="H683" s="33"/>
    </row>
    <row r="684" spans="1:8" ht="18.2" x14ac:dyDescent="0.35">
      <c r="A684" s="41" t="s">
        <v>30</v>
      </c>
      <c r="C684" s="32"/>
      <c r="D684" s="2">
        <f>D673</f>
        <v>2016</v>
      </c>
      <c r="E684" s="2">
        <f>D684+1</f>
        <v>2017</v>
      </c>
      <c r="F684" s="2">
        <f>E684+1</f>
        <v>2018</v>
      </c>
      <c r="G684" s="2">
        <f>F684+1</f>
        <v>2019</v>
      </c>
      <c r="H684" s="2">
        <f>G684+1</f>
        <v>2020</v>
      </c>
    </row>
    <row r="685" spans="1:8" x14ac:dyDescent="0.3">
      <c r="B685" s="64" t="s">
        <v>47</v>
      </c>
      <c r="C685" s="59"/>
      <c r="D685" s="3">
        <v>0</v>
      </c>
      <c r="E685" s="3">
        <v>0</v>
      </c>
      <c r="F685" s="3">
        <v>0</v>
      </c>
      <c r="G685" s="3">
        <v>0</v>
      </c>
      <c r="H685" s="4">
        <v>0</v>
      </c>
    </row>
    <row r="686" spans="1:8" x14ac:dyDescent="0.3">
      <c r="B686" s="65" t="s">
        <v>23</v>
      </c>
      <c r="C686" s="66"/>
      <c r="D686" s="146">
        <v>0</v>
      </c>
      <c r="E686" s="146">
        <v>0</v>
      </c>
      <c r="F686" s="146">
        <v>0</v>
      </c>
      <c r="G686" s="146">
        <v>0</v>
      </c>
      <c r="H686" s="147">
        <v>0</v>
      </c>
    </row>
    <row r="687" spans="1:8" x14ac:dyDescent="0.3">
      <c r="B687" s="75" t="s">
        <v>89</v>
      </c>
      <c r="C687" s="74"/>
      <c r="D687" s="213">
        <v>0</v>
      </c>
      <c r="E687" s="148">
        <v>0</v>
      </c>
      <c r="F687" s="148">
        <v>0</v>
      </c>
      <c r="G687" s="148">
        <v>0</v>
      </c>
      <c r="H687" s="149">
        <v>0</v>
      </c>
    </row>
    <row r="688" spans="1:8" x14ac:dyDescent="0.3">
      <c r="B688" s="35" t="s">
        <v>90</v>
      </c>
      <c r="D688" s="6">
        <f>SUM(D685:D687)</f>
        <v>0</v>
      </c>
      <c r="E688" s="6">
        <f>SUM(E685:E687)</f>
        <v>0</v>
      </c>
      <c r="F688" s="6">
        <f>SUM(F685:F687)</f>
        <v>0</v>
      </c>
      <c r="G688" s="6">
        <f>SUM(G685:G687)</f>
        <v>0</v>
      </c>
      <c r="H688" s="6">
        <f>SUM(H685:H687)</f>
        <v>0</v>
      </c>
    </row>
    <row r="689" spans="1:8" x14ac:dyDescent="0.3">
      <c r="B689" s="5"/>
      <c r="D689" s="6"/>
      <c r="E689" s="6"/>
      <c r="F689" s="6"/>
      <c r="G689" s="176"/>
      <c r="H689" s="6"/>
    </row>
    <row r="690" spans="1:8" ht="18.2" x14ac:dyDescent="0.35">
      <c r="A690" s="8" t="s">
        <v>100</v>
      </c>
      <c r="D690" s="2">
        <f>D673</f>
        <v>2016</v>
      </c>
      <c r="E690" s="2">
        <f>D690+1</f>
        <v>2017</v>
      </c>
      <c r="F690" s="2">
        <f>E690+1</f>
        <v>2018</v>
      </c>
      <c r="G690" s="2">
        <f>F690+1</f>
        <v>2019</v>
      </c>
      <c r="H690" s="2">
        <f>G690+1</f>
        <v>2020</v>
      </c>
    </row>
    <row r="691" spans="1:8" x14ac:dyDescent="0.3">
      <c r="B691" s="64" t="str">
        <f>(StartYear-1) &amp; " Surplus Applied to " &amp; StartYear</f>
        <v>2015 Surplus Applied to 2016</v>
      </c>
      <c r="C691" s="32"/>
      <c r="D691" s="205">
        <v>0</v>
      </c>
      <c r="E691" s="206"/>
      <c r="F691" s="206"/>
      <c r="G691" s="206"/>
      <c r="H691" s="207"/>
    </row>
    <row r="692" spans="1:8" x14ac:dyDescent="0.3">
      <c r="B692" s="64" t="str">
        <f>StartYear &amp; " Surplus Applied to " &amp; (StartYear-1)</f>
        <v>2016 Surplus Applied to 2015</v>
      </c>
      <c r="C692" s="32"/>
      <c r="D692" s="208">
        <v>0</v>
      </c>
      <c r="E692" s="122"/>
      <c r="F692" s="122"/>
      <c r="G692" s="122"/>
      <c r="H692" s="126"/>
    </row>
    <row r="693" spans="1:8" x14ac:dyDescent="0.3">
      <c r="B693" s="64" t="str">
        <f>( StartYear) &amp; " Surplus Applied to " &amp; ( StartYear + 1 )</f>
        <v>2016 Surplus Applied to 2017</v>
      </c>
      <c r="C693" s="32"/>
      <c r="D693" s="203">
        <f>D677+D682-D688</f>
        <v>0</v>
      </c>
      <c r="E693" s="204">
        <f>D693</f>
        <v>0</v>
      </c>
      <c r="F693" s="199"/>
      <c r="G693" s="199"/>
      <c r="H693" s="200"/>
    </row>
    <row r="694" spans="1:8" x14ac:dyDescent="0.3">
      <c r="B694" s="64" t="str">
        <f xml:space="preserve"> ( StartYear + 1 ) &amp; " Surplus Applied to " &amp; ( StartYear )</f>
        <v>2017 Surplus Applied to 2016</v>
      </c>
      <c r="C694" s="59"/>
      <c r="D694" s="143">
        <v>0</v>
      </c>
      <c r="E694" s="9">
        <v>0</v>
      </c>
      <c r="F694" s="122"/>
      <c r="G694" s="122"/>
      <c r="H694" s="126"/>
    </row>
    <row r="695" spans="1:8" x14ac:dyDescent="0.3">
      <c r="B695" s="128" t="str">
        <f xml:space="preserve"> ( StartYear + 1 ) &amp; " Surplus Applied to " &amp; ( StartYear + 2 )</f>
        <v>2017 Surplus Applied to 2018</v>
      </c>
      <c r="C695" s="59"/>
      <c r="D695" s="123"/>
      <c r="E695" s="9">
        <v>0</v>
      </c>
      <c r="F695" s="58">
        <f>E695</f>
        <v>0</v>
      </c>
      <c r="G695" s="122"/>
      <c r="H695" s="126"/>
    </row>
    <row r="696" spans="1:8" x14ac:dyDescent="0.3">
      <c r="B696" s="128" t="str">
        <f xml:space="preserve"> ( StartYear + 2 ) &amp; " Surplus Applied to " &amp; ( StartYear + 1 )</f>
        <v>2018 Surplus Applied to 2017</v>
      </c>
      <c r="C696" s="59"/>
      <c r="D696" s="123"/>
      <c r="E696" s="58">
        <v>0</v>
      </c>
      <c r="F696" s="9">
        <v>0</v>
      </c>
      <c r="G696" s="122"/>
      <c r="H696" s="126"/>
    </row>
    <row r="697" spans="1:8" x14ac:dyDescent="0.3">
      <c r="B697" s="174" t="str">
        <f xml:space="preserve"> ( StartYear + 2 ) &amp; " Surplus Applied to " &amp; ( StartYear + 3 )</f>
        <v>2018 Surplus Applied to 2019</v>
      </c>
      <c r="C697" s="32"/>
      <c r="D697" s="123"/>
      <c r="E697" s="122"/>
      <c r="F697" s="9">
        <v>0</v>
      </c>
      <c r="G697" s="58">
        <f>F697</f>
        <v>0</v>
      </c>
      <c r="H697" s="126"/>
    </row>
    <row r="698" spans="1:8" x14ac:dyDescent="0.3">
      <c r="B698" s="174" t="str">
        <f xml:space="preserve"> ( StartYear + 3 ) &amp; " Surplus Applied to " &amp; ( StartYear + 2 )</f>
        <v>2019 Surplus Applied to 2018</v>
      </c>
      <c r="C698" s="32"/>
      <c r="D698" s="123"/>
      <c r="E698" s="122"/>
      <c r="F698" s="58">
        <v>0</v>
      </c>
      <c r="G698" s="9">
        <v>0</v>
      </c>
      <c r="H698" s="126"/>
    </row>
    <row r="699" spans="1:8" x14ac:dyDescent="0.3">
      <c r="B699" s="174" t="str">
        <f xml:space="preserve"> ( StartYear + 3 ) &amp; " Surplus Applied to " &amp; ( StartYear + 4 )</f>
        <v>2019 Surplus Applied to 2020</v>
      </c>
      <c r="C699" s="32"/>
      <c r="D699" s="123"/>
      <c r="E699" s="122"/>
      <c r="F699" s="122"/>
      <c r="G699" s="9">
        <f>G677+G682-G688</f>
        <v>0</v>
      </c>
      <c r="H699" s="53">
        <f>G699</f>
        <v>0</v>
      </c>
    </row>
    <row r="700" spans="1:8" x14ac:dyDescent="0.3">
      <c r="B700" s="174" t="str">
        <f xml:space="preserve"> ( StartYear + 4 ) &amp; " Surplus Applied to " &amp; ( StartYear + 3 )</f>
        <v>2020 Surplus Applied to 2019</v>
      </c>
      <c r="C700" s="32"/>
      <c r="D700" s="124"/>
      <c r="E700" s="125"/>
      <c r="F700" s="125"/>
      <c r="G700" s="54">
        <v>0</v>
      </c>
      <c r="H700" s="46">
        <v>0</v>
      </c>
    </row>
    <row r="701" spans="1:8" x14ac:dyDescent="0.3">
      <c r="B701" s="35" t="s">
        <v>17</v>
      </c>
      <c r="D701" s="6">
        <f>D691-D692+D694-D693</f>
        <v>0</v>
      </c>
      <c r="E701" s="6">
        <f>E693+E696-E694-E695</f>
        <v>0</v>
      </c>
      <c r="F701" s="6">
        <f>F695+F698-F696-F697</f>
        <v>0</v>
      </c>
      <c r="G701" s="6">
        <f>G697+G700-G698-G699</f>
        <v>0</v>
      </c>
      <c r="H701" s="6">
        <f>H699 - H700</f>
        <v>0</v>
      </c>
    </row>
    <row r="702" spans="1:8" x14ac:dyDescent="0.3">
      <c r="B702" s="5"/>
      <c r="D702" s="6"/>
      <c r="E702" s="6"/>
      <c r="F702" s="6"/>
      <c r="G702" s="6"/>
      <c r="H702" s="6"/>
    </row>
    <row r="703" spans="1:8" x14ac:dyDescent="0.3">
      <c r="B703" s="61" t="s">
        <v>12</v>
      </c>
      <c r="C703" s="59"/>
      <c r="D703" s="82">
        <v>0</v>
      </c>
      <c r="E703" s="120">
        <v>0</v>
      </c>
      <c r="F703" s="120">
        <v>0</v>
      </c>
      <c r="G703" s="120">
        <v>0</v>
      </c>
      <c r="H703" s="83">
        <v>0</v>
      </c>
    </row>
    <row r="704" spans="1:8" x14ac:dyDescent="0.3">
      <c r="B704" s="5"/>
      <c r="D704" s="6"/>
      <c r="E704" s="6"/>
      <c r="F704" s="6"/>
      <c r="G704" s="6"/>
      <c r="H704" s="6"/>
    </row>
    <row r="705" spans="1:8" ht="18.2" x14ac:dyDescent="0.35">
      <c r="A705" s="41" t="s">
        <v>26</v>
      </c>
      <c r="C705" s="59"/>
      <c r="D705" s="121">
        <f xml:space="preserve"> D677 + D682 - D688 + D701 + D703</f>
        <v>0</v>
      </c>
      <c r="E705" s="121">
        <f xml:space="preserve"> E677 + E682 - E688 + E701 + E703</f>
        <v>1046</v>
      </c>
      <c r="F705" s="121">
        <f xml:space="preserve"> F677 + F682 - F688 + F701 + F703</f>
        <v>0</v>
      </c>
      <c r="G705" s="121">
        <f xml:space="preserve"> G677 + G682 - G688 + G701 + G703</f>
        <v>0</v>
      </c>
      <c r="H705" s="192">
        <f xml:space="preserve"> H677 + H682 - H688 + H701 + H703</f>
        <v>0</v>
      </c>
    </row>
    <row r="706" spans="1:8" ht="13.95" customHeight="1" x14ac:dyDescent="0.3">
      <c r="C706" s="5" t="s">
        <v>169</v>
      </c>
      <c r="D706" s="6"/>
      <c r="E706" s="6">
        <v>1046</v>
      </c>
      <c r="F706" s="31"/>
      <c r="G706" s="31"/>
      <c r="H706" s="31"/>
    </row>
    <row r="707" spans="1:8" x14ac:dyDescent="0.3">
      <c r="D707" s="1"/>
    </row>
    <row r="708" spans="1:8" x14ac:dyDescent="0.3">
      <c r="A708" s="32"/>
      <c r="B708" s="32"/>
      <c r="C708" s="32"/>
      <c r="D708" s="32"/>
      <c r="E708" s="32"/>
      <c r="F708" s="32"/>
      <c r="G708" s="32"/>
      <c r="H708" s="32"/>
    </row>
    <row r="709" spans="1:8" x14ac:dyDescent="0.3">
      <c r="B709" s="32"/>
      <c r="C709" s="32"/>
      <c r="D709" s="32"/>
      <c r="E709" s="32"/>
      <c r="F709" s="32"/>
      <c r="G709" s="32"/>
      <c r="H709" s="32"/>
    </row>
    <row r="710" spans="1:8" ht="21.3" x14ac:dyDescent="0.4">
      <c r="A710" s="12" t="s">
        <v>4</v>
      </c>
      <c r="B710" s="12"/>
      <c r="C710" s="42" t="str">
        <f>B21</f>
        <v>Condon Wind Power Phase II -- REC Only **</v>
      </c>
      <c r="D710" s="22"/>
      <c r="E710" s="22"/>
    </row>
    <row r="711" spans="1:8" x14ac:dyDescent="0.3">
      <c r="C711" s="22" t="s">
        <v>173</v>
      </c>
      <c r="D711" s="1"/>
    </row>
    <row r="712" spans="1:8" ht="18.2" x14ac:dyDescent="0.35">
      <c r="A712" s="8" t="s">
        <v>21</v>
      </c>
      <c r="B712" s="8"/>
      <c r="D712" s="2">
        <f>D51</f>
        <v>2016</v>
      </c>
      <c r="E712" s="2">
        <f>D712+1</f>
        <v>2017</v>
      </c>
      <c r="F712" s="2">
        <f>E712+1</f>
        <v>2018</v>
      </c>
      <c r="G712" s="2">
        <f>F712+1</f>
        <v>2019</v>
      </c>
      <c r="H712" s="2">
        <f>G712+1</f>
        <v>2020</v>
      </c>
    </row>
    <row r="713" spans="1:8" x14ac:dyDescent="0.3">
      <c r="B713" s="64" t="str">
        <f>"Purchased from " &amp; C710</f>
        <v>Purchased from Condon Wind Power Phase II -- REC Only **</v>
      </c>
      <c r="C713" s="59"/>
      <c r="D713" s="3"/>
      <c r="E713" s="3">
        <v>1069</v>
      </c>
      <c r="F713" s="3"/>
      <c r="G713" s="3"/>
      <c r="H713" s="4"/>
    </row>
    <row r="714" spans="1:8" x14ac:dyDescent="0.3">
      <c r="B714" s="64" t="s">
        <v>25</v>
      </c>
      <c r="C714" s="59"/>
      <c r="D714" s="141"/>
      <c r="E714" s="141">
        <v>1</v>
      </c>
      <c r="F714" s="141"/>
      <c r="G714" s="141"/>
      <c r="H714" s="142"/>
    </row>
    <row r="715" spans="1:8" x14ac:dyDescent="0.3">
      <c r="B715" s="64" t="s">
        <v>20</v>
      </c>
      <c r="C715" s="59"/>
      <c r="D715" s="47"/>
      <c r="E715" s="47">
        <v>1</v>
      </c>
      <c r="F715" s="47"/>
      <c r="G715" s="47"/>
      <c r="H715" s="48"/>
    </row>
    <row r="716" spans="1:8" x14ac:dyDescent="0.3">
      <c r="B716" s="61" t="s">
        <v>22</v>
      </c>
      <c r="C716" s="62"/>
      <c r="D716" s="140">
        <f xml:space="preserve"> D713 * D714 * D715</f>
        <v>0</v>
      </c>
      <c r="E716" s="140">
        <f xml:space="preserve"> E713 * E714 * E715</f>
        <v>1069</v>
      </c>
      <c r="F716" s="140">
        <f t="shared" ref="F716" si="19" xml:space="preserve"> ROUNDDOWN(F713 * F714 * F715,0)</f>
        <v>0</v>
      </c>
      <c r="G716" s="140">
        <f t="shared" ref="G716" si="20" xml:space="preserve"> ROUNDDOWN(G713 * G714 * G715,0)</f>
        <v>0</v>
      </c>
      <c r="H716" s="140">
        <f t="shared" ref="H716" si="21" xml:space="preserve"> ROUNDDOWN(H713 * H714 * H715,0)</f>
        <v>0</v>
      </c>
    </row>
    <row r="717" spans="1:8" x14ac:dyDescent="0.3">
      <c r="B717" s="22"/>
      <c r="C717" s="32"/>
      <c r="D717" s="39"/>
      <c r="E717" s="39"/>
      <c r="F717" s="39"/>
      <c r="G717" s="176"/>
      <c r="H717" s="39"/>
    </row>
    <row r="718" spans="1:8" ht="18.2" x14ac:dyDescent="0.35">
      <c r="A718" s="44" t="s">
        <v>119</v>
      </c>
      <c r="C718" s="32"/>
      <c r="D718" s="2">
        <f>D712</f>
        <v>2016</v>
      </c>
      <c r="E718" s="2">
        <f>D718+1</f>
        <v>2017</v>
      </c>
      <c r="F718" s="2">
        <f>E718+1</f>
        <v>2018</v>
      </c>
      <c r="G718" s="2">
        <f>F718+1</f>
        <v>2019</v>
      </c>
      <c r="H718" s="2">
        <f>G718+1</f>
        <v>2020</v>
      </c>
    </row>
    <row r="719" spans="1:8" x14ac:dyDescent="0.3">
      <c r="B719" s="64" t="s">
        <v>10</v>
      </c>
      <c r="C719" s="59"/>
      <c r="D719" s="10">
        <f>IF( $E297 = "Eligible", D716 * 'Facility Detail'!$B$1614, 0 )</f>
        <v>0</v>
      </c>
      <c r="E719" s="118">
        <f>IF( $E297 = "Eligible", E716 * 'Facility Detail'!$B$1614, 0 )</f>
        <v>0</v>
      </c>
      <c r="F719" s="118">
        <f>IF( $E297 = "Eligible", F716 * 'Facility Detail'!$B$1614, 0 )</f>
        <v>0</v>
      </c>
      <c r="G719" s="118">
        <f>IF( $E297 = "Eligible", G716 * 'Facility Detail'!$B$1614, 0 )</f>
        <v>0</v>
      </c>
      <c r="H719" s="11">
        <f>IF( $E297 = "Eligible", H716 * 'Facility Detail'!$B$1614, 0 )</f>
        <v>0</v>
      </c>
    </row>
    <row r="720" spans="1:8" x14ac:dyDescent="0.3">
      <c r="B720" s="64" t="s">
        <v>6</v>
      </c>
      <c r="C720" s="59"/>
      <c r="D720" s="51">
        <f>IF( $F297 = "Eligible", D716, 0 )</f>
        <v>0</v>
      </c>
      <c r="E720" s="119">
        <f>IF( $F297 = "Eligible", E716, 0 )</f>
        <v>0</v>
      </c>
      <c r="F720" s="119">
        <f>IF( $F297 = "Eligible", F716, 0 )</f>
        <v>0</v>
      </c>
      <c r="G720" s="119">
        <f>IF( $F297 = "Eligible", G716, 0 )</f>
        <v>0</v>
      </c>
      <c r="H720" s="52">
        <f>IF( $F297 = "Eligible", H716, 0 )</f>
        <v>0</v>
      </c>
    </row>
    <row r="721" spans="1:8" x14ac:dyDescent="0.3">
      <c r="B721" s="63" t="s">
        <v>121</v>
      </c>
      <c r="C721" s="62"/>
      <c r="D721" s="40">
        <f>SUM(D719:D720)</f>
        <v>0</v>
      </c>
      <c r="E721" s="40">
        <f>SUM(E719:E720)</f>
        <v>0</v>
      </c>
      <c r="F721" s="40">
        <f>SUM(F719:F720)</f>
        <v>0</v>
      </c>
      <c r="G721" s="40">
        <f>SUM(G719:G720)</f>
        <v>0</v>
      </c>
      <c r="H721" s="40">
        <f>SUM(H719:H720)</f>
        <v>0</v>
      </c>
    </row>
    <row r="722" spans="1:8" x14ac:dyDescent="0.3">
      <c r="B722" s="32"/>
      <c r="C722" s="32"/>
      <c r="D722" s="33"/>
      <c r="E722" s="33"/>
      <c r="F722" s="33"/>
      <c r="G722" s="178"/>
      <c r="H722" s="33"/>
    </row>
    <row r="723" spans="1:8" ht="18.2" x14ac:dyDescent="0.35">
      <c r="A723" s="41" t="s">
        <v>30</v>
      </c>
      <c r="C723" s="32"/>
      <c r="D723" s="2">
        <f>D712</f>
        <v>2016</v>
      </c>
      <c r="E723" s="2">
        <f>D723+1</f>
        <v>2017</v>
      </c>
      <c r="F723" s="2">
        <f>E723+1</f>
        <v>2018</v>
      </c>
      <c r="G723" s="2">
        <f>F723+1</f>
        <v>2019</v>
      </c>
      <c r="H723" s="2">
        <f>G723+1</f>
        <v>2020</v>
      </c>
    </row>
    <row r="724" spans="1:8" x14ac:dyDescent="0.3">
      <c r="B724" s="64" t="s">
        <v>47</v>
      </c>
      <c r="C724" s="59"/>
      <c r="D724" s="3">
        <v>0</v>
      </c>
      <c r="E724" s="3">
        <v>0</v>
      </c>
      <c r="F724" s="3">
        <v>0</v>
      </c>
      <c r="G724" s="3">
        <v>0</v>
      </c>
      <c r="H724" s="4">
        <v>0</v>
      </c>
    </row>
    <row r="725" spans="1:8" x14ac:dyDescent="0.3">
      <c r="B725" s="65" t="s">
        <v>23</v>
      </c>
      <c r="C725" s="66"/>
      <c r="D725" s="146">
        <v>0</v>
      </c>
      <c r="E725" s="146">
        <v>0</v>
      </c>
      <c r="F725" s="146">
        <v>0</v>
      </c>
      <c r="G725" s="146">
        <v>0</v>
      </c>
      <c r="H725" s="147">
        <v>0</v>
      </c>
    </row>
    <row r="726" spans="1:8" x14ac:dyDescent="0.3">
      <c r="B726" s="75" t="s">
        <v>89</v>
      </c>
      <c r="C726" s="74"/>
      <c r="D726" s="213">
        <v>0</v>
      </c>
      <c r="E726" s="148">
        <v>0</v>
      </c>
      <c r="F726" s="148">
        <v>0</v>
      </c>
      <c r="G726" s="148">
        <v>0</v>
      </c>
      <c r="H726" s="149">
        <v>0</v>
      </c>
    </row>
    <row r="727" spans="1:8" x14ac:dyDescent="0.3">
      <c r="B727" s="35" t="s">
        <v>90</v>
      </c>
      <c r="D727" s="6">
        <f>SUM(D724:D726)</f>
        <v>0</v>
      </c>
      <c r="E727" s="6">
        <f>SUM(E724:E726)</f>
        <v>0</v>
      </c>
      <c r="F727" s="6">
        <f>SUM(F724:F726)</f>
        <v>0</v>
      </c>
      <c r="G727" s="6">
        <f>SUM(G724:G726)</f>
        <v>0</v>
      </c>
      <c r="H727" s="6">
        <f>SUM(H724:H726)</f>
        <v>0</v>
      </c>
    </row>
    <row r="728" spans="1:8" x14ac:dyDescent="0.3">
      <c r="B728" s="5"/>
      <c r="D728" s="6"/>
      <c r="E728" s="6"/>
      <c r="F728" s="6"/>
      <c r="G728" s="176"/>
      <c r="H728" s="6"/>
    </row>
    <row r="729" spans="1:8" ht="18.2" x14ac:dyDescent="0.35">
      <c r="A729" s="8" t="s">
        <v>100</v>
      </c>
      <c r="D729" s="2">
        <f>D712</f>
        <v>2016</v>
      </c>
      <c r="E729" s="2">
        <f>D729+1</f>
        <v>2017</v>
      </c>
      <c r="F729" s="2">
        <f>E729+1</f>
        <v>2018</v>
      </c>
      <c r="G729" s="2">
        <f>F729+1</f>
        <v>2019</v>
      </c>
      <c r="H729" s="2">
        <f>G729+1</f>
        <v>2020</v>
      </c>
    </row>
    <row r="730" spans="1:8" x14ac:dyDescent="0.3">
      <c r="B730" s="64" t="str">
        <f>(StartYear-1) &amp; " Surplus Applied to " &amp; StartYear</f>
        <v>2015 Surplus Applied to 2016</v>
      </c>
      <c r="C730" s="32"/>
      <c r="D730" s="205">
        <v>0</v>
      </c>
      <c r="E730" s="206"/>
      <c r="F730" s="206"/>
      <c r="G730" s="206"/>
      <c r="H730" s="207"/>
    </row>
    <row r="731" spans="1:8" x14ac:dyDescent="0.3">
      <c r="B731" s="64" t="str">
        <f>StartYear &amp; " Surplus Applied to " &amp; (StartYear-1)</f>
        <v>2016 Surplus Applied to 2015</v>
      </c>
      <c r="C731" s="32"/>
      <c r="D731" s="208">
        <v>0</v>
      </c>
      <c r="E731" s="122"/>
      <c r="F731" s="122"/>
      <c r="G731" s="122"/>
      <c r="H731" s="126"/>
    </row>
    <row r="732" spans="1:8" x14ac:dyDescent="0.3">
      <c r="B732" s="64" t="str">
        <f>( StartYear) &amp; " Surplus Applied to " &amp; ( StartYear + 1 )</f>
        <v>2016 Surplus Applied to 2017</v>
      </c>
      <c r="C732" s="32"/>
      <c r="D732" s="203">
        <f>D716+D721-D727</f>
        <v>0</v>
      </c>
      <c r="E732" s="204">
        <f>D732</f>
        <v>0</v>
      </c>
      <c r="F732" s="199"/>
      <c r="G732" s="199"/>
      <c r="H732" s="200"/>
    </row>
    <row r="733" spans="1:8" x14ac:dyDescent="0.3">
      <c r="B733" s="64" t="str">
        <f xml:space="preserve"> ( StartYear + 1 ) &amp; " Surplus Applied to " &amp; ( StartYear )</f>
        <v>2017 Surplus Applied to 2016</v>
      </c>
      <c r="C733" s="59"/>
      <c r="D733" s="143">
        <v>0</v>
      </c>
      <c r="E733" s="9">
        <v>0</v>
      </c>
      <c r="F733" s="122"/>
      <c r="G733" s="122"/>
      <c r="H733" s="126"/>
    </row>
    <row r="734" spans="1:8" x14ac:dyDescent="0.3">
      <c r="B734" s="128" t="str">
        <f xml:space="preserve"> ( StartYear + 1 ) &amp; " Surplus Applied to " &amp; ( StartYear + 2 )</f>
        <v>2017 Surplus Applied to 2018</v>
      </c>
      <c r="C734" s="59"/>
      <c r="D734" s="123"/>
      <c r="E734" s="9">
        <v>0</v>
      </c>
      <c r="F734" s="58">
        <f>E734</f>
        <v>0</v>
      </c>
      <c r="G734" s="122"/>
      <c r="H734" s="126"/>
    </row>
    <row r="735" spans="1:8" x14ac:dyDescent="0.3">
      <c r="B735" s="128" t="str">
        <f xml:space="preserve"> ( StartYear + 2 ) &amp; " Surplus Applied to " &amp; ( StartYear + 1 )</f>
        <v>2018 Surplus Applied to 2017</v>
      </c>
      <c r="C735" s="59"/>
      <c r="D735" s="123"/>
      <c r="E735" s="58">
        <v>0</v>
      </c>
      <c r="F735" s="9">
        <v>0</v>
      </c>
      <c r="G735" s="122"/>
      <c r="H735" s="126"/>
    </row>
    <row r="736" spans="1:8" x14ac:dyDescent="0.3">
      <c r="B736" s="174" t="str">
        <f xml:space="preserve"> ( StartYear + 2 ) &amp; " Surplus Applied to " &amp; ( StartYear + 3 )</f>
        <v>2018 Surplus Applied to 2019</v>
      </c>
      <c r="C736" s="32"/>
      <c r="D736" s="123"/>
      <c r="E736" s="122"/>
      <c r="F736" s="9">
        <v>0</v>
      </c>
      <c r="G736" s="58">
        <f>F736</f>
        <v>0</v>
      </c>
      <c r="H736" s="126"/>
    </row>
    <row r="737" spans="1:9" x14ac:dyDescent="0.3">
      <c r="B737" s="174" t="str">
        <f xml:space="preserve"> ( StartYear + 3 ) &amp; " Surplus Applied to " &amp; ( StartYear + 2 )</f>
        <v>2019 Surplus Applied to 2018</v>
      </c>
      <c r="C737" s="32"/>
      <c r="D737" s="123"/>
      <c r="E737" s="122"/>
      <c r="F737" s="58">
        <v>0</v>
      </c>
      <c r="G737" s="9">
        <v>0</v>
      </c>
      <c r="H737" s="126"/>
    </row>
    <row r="738" spans="1:9" x14ac:dyDescent="0.3">
      <c r="B738" s="174" t="str">
        <f xml:space="preserve"> ( StartYear + 3 ) &amp; " Surplus Applied to " &amp; ( StartYear + 4 )</f>
        <v>2019 Surplus Applied to 2020</v>
      </c>
      <c r="C738" s="32"/>
      <c r="D738" s="123"/>
      <c r="E738" s="122"/>
      <c r="F738" s="122"/>
      <c r="G738" s="9">
        <f>G716+G721-G727</f>
        <v>0</v>
      </c>
      <c r="H738" s="53">
        <f>G738</f>
        <v>0</v>
      </c>
    </row>
    <row r="739" spans="1:9" x14ac:dyDescent="0.3">
      <c r="B739" s="174" t="str">
        <f xml:space="preserve"> ( StartYear + 4 ) &amp; " Surplus Applied to " &amp; ( StartYear + 3 )</f>
        <v>2020 Surplus Applied to 2019</v>
      </c>
      <c r="C739" s="32"/>
      <c r="D739" s="124"/>
      <c r="E739" s="125"/>
      <c r="F739" s="125"/>
      <c r="G739" s="54">
        <v>0</v>
      </c>
      <c r="H739" s="46">
        <v>0</v>
      </c>
    </row>
    <row r="740" spans="1:9" x14ac:dyDescent="0.3">
      <c r="B740" s="35" t="s">
        <v>17</v>
      </c>
      <c r="D740" s="6">
        <f>D730-D731+D733-D732</f>
        <v>0</v>
      </c>
      <c r="E740" s="6">
        <f>E732+E735-E733-E734</f>
        <v>0</v>
      </c>
      <c r="F740" s="6">
        <f>F734+F737-F735-F736</f>
        <v>0</v>
      </c>
      <c r="G740" s="6">
        <f>G736+G739-G737-G738</f>
        <v>0</v>
      </c>
      <c r="H740" s="6">
        <f>H738 - H739</f>
        <v>0</v>
      </c>
    </row>
    <row r="741" spans="1:9" x14ac:dyDescent="0.3">
      <c r="B741" s="5"/>
      <c r="D741" s="6"/>
      <c r="E741" s="6"/>
      <c r="F741" s="6"/>
      <c r="G741" s="6"/>
      <c r="H741" s="6"/>
    </row>
    <row r="742" spans="1:9" x14ac:dyDescent="0.3">
      <c r="B742" s="61" t="s">
        <v>12</v>
      </c>
      <c r="C742" s="59"/>
      <c r="D742" s="82">
        <v>0</v>
      </c>
      <c r="E742" s="120">
        <v>0</v>
      </c>
      <c r="F742" s="120">
        <v>0</v>
      </c>
      <c r="G742" s="120">
        <v>0</v>
      </c>
      <c r="H742" s="83">
        <v>0</v>
      </c>
    </row>
    <row r="743" spans="1:9" x14ac:dyDescent="0.3">
      <c r="B743" s="5"/>
      <c r="D743" s="6"/>
      <c r="E743" s="6"/>
      <c r="F743" s="6"/>
      <c r="G743" s="6"/>
      <c r="H743" s="6"/>
    </row>
    <row r="744" spans="1:9" ht="18.2" x14ac:dyDescent="0.35">
      <c r="A744" s="41" t="s">
        <v>26</v>
      </c>
      <c r="C744" s="59"/>
      <c r="D744" s="121">
        <f xml:space="preserve"> D716 + D721 - D727 + D740 + D742</f>
        <v>0</v>
      </c>
      <c r="E744" s="121">
        <f xml:space="preserve"> E716 + E721 - E727 + E740 + E742</f>
        <v>1069</v>
      </c>
      <c r="F744" s="121">
        <f xml:space="preserve"> F716 + F721 - F727 + F740 + F742</f>
        <v>0</v>
      </c>
      <c r="G744" s="121">
        <f xml:space="preserve"> G716 + G721 - G727 + G740 + G742</f>
        <v>0</v>
      </c>
      <c r="H744" s="192">
        <f xml:space="preserve"> H716 + H721 - H727 + H740 + H742</f>
        <v>0</v>
      </c>
    </row>
    <row r="745" spans="1:9" x14ac:dyDescent="0.3">
      <c r="C745" s="5" t="s">
        <v>169</v>
      </c>
      <c r="D745" s="6"/>
      <c r="E745" s="6">
        <v>1069</v>
      </c>
      <c r="F745" s="31"/>
      <c r="G745" s="31"/>
      <c r="H745" s="31"/>
      <c r="I745" s="23"/>
    </row>
    <row r="746" spans="1:9" ht="15.65" thickBot="1" x14ac:dyDescent="0.35">
      <c r="I746" s="23"/>
    </row>
    <row r="747" spans="1:9" x14ac:dyDescent="0.3">
      <c r="A747" s="7"/>
      <c r="B747" s="7"/>
      <c r="C747" s="7"/>
      <c r="D747" s="179"/>
      <c r="E747" s="7"/>
      <c r="F747" s="7"/>
      <c r="G747" s="7"/>
      <c r="H747" s="7"/>
      <c r="I747" s="23"/>
    </row>
    <row r="748" spans="1:9" x14ac:dyDescent="0.3">
      <c r="B748" s="32"/>
      <c r="C748" s="32"/>
      <c r="D748" s="22"/>
      <c r="E748" s="32"/>
      <c r="F748" s="32"/>
      <c r="G748" s="32"/>
      <c r="H748" s="32"/>
      <c r="I748" s="31"/>
    </row>
    <row r="749" spans="1:9" ht="21.3" x14ac:dyDescent="0.4">
      <c r="A749" s="12" t="s">
        <v>4</v>
      </c>
      <c r="B749" s="12"/>
      <c r="C749" s="42" t="str">
        <f>B22</f>
        <v>Camp Reed Wind Park - Camp Reed Wind Park -- REC Only **</v>
      </c>
      <c r="D749" s="43"/>
      <c r="E749" s="22"/>
      <c r="F749" s="22"/>
      <c r="I749" s="31"/>
    </row>
    <row r="750" spans="1:9" x14ac:dyDescent="0.3">
      <c r="C750" s="22" t="s">
        <v>173</v>
      </c>
      <c r="I750" s="31"/>
    </row>
    <row r="751" spans="1:9" ht="18.2" x14ac:dyDescent="0.35">
      <c r="A751" s="8" t="s">
        <v>21</v>
      </c>
      <c r="B751" s="8"/>
      <c r="D751" s="127">
        <f>StartYear</f>
        <v>2016</v>
      </c>
      <c r="E751" s="2">
        <f>D751+1</f>
        <v>2017</v>
      </c>
      <c r="F751" s="2">
        <f>E751+1</f>
        <v>2018</v>
      </c>
      <c r="G751" s="2">
        <f>F751+1</f>
        <v>2019</v>
      </c>
      <c r="H751" s="2">
        <f>G751+1</f>
        <v>2020</v>
      </c>
      <c r="I751" s="32"/>
    </row>
    <row r="752" spans="1:9" x14ac:dyDescent="0.3">
      <c r="B752" s="64" t="str">
        <f>"Purchased from " &amp; C749</f>
        <v>Purchased from Camp Reed Wind Park - Camp Reed Wind Park -- REC Only **</v>
      </c>
      <c r="C752" s="59"/>
      <c r="D752" s="3"/>
      <c r="E752" s="3"/>
      <c r="F752" s="3"/>
      <c r="G752" s="3">
        <v>18037</v>
      </c>
      <c r="H752" s="4"/>
      <c r="I752" s="32"/>
    </row>
    <row r="753" spans="1:9" x14ac:dyDescent="0.3">
      <c r="B753" s="64" t="s">
        <v>25</v>
      </c>
      <c r="C753" s="59"/>
      <c r="D753" s="141"/>
      <c r="E753" s="141"/>
      <c r="F753" s="141"/>
      <c r="G753" s="141">
        <v>1</v>
      </c>
      <c r="H753" s="142"/>
      <c r="I753" s="32"/>
    </row>
    <row r="754" spans="1:9" x14ac:dyDescent="0.3">
      <c r="B754" s="64" t="s">
        <v>20</v>
      </c>
      <c r="C754" s="59"/>
      <c r="D754" s="47"/>
      <c r="E754" s="47"/>
      <c r="F754" s="47"/>
      <c r="G754" s="47">
        <v>1</v>
      </c>
      <c r="H754" s="48"/>
    </row>
    <row r="755" spans="1:9" x14ac:dyDescent="0.3">
      <c r="B755" s="61" t="s">
        <v>22</v>
      </c>
      <c r="C755" s="62"/>
      <c r="D755" s="140">
        <f xml:space="preserve"> D752 * D753 * D754</f>
        <v>0</v>
      </c>
      <c r="E755" s="140">
        <f xml:space="preserve"> E752 * E753 * E754</f>
        <v>0</v>
      </c>
      <c r="F755" s="140">
        <f t="shared" ref="F755" si="22" xml:space="preserve"> ROUNDDOWN(F752 * F753 * F754,0)</f>
        <v>0</v>
      </c>
      <c r="G755" s="140">
        <f t="shared" ref="G755" si="23" xml:space="preserve"> ROUNDDOWN(G752 * G753 * G754,0)</f>
        <v>18037</v>
      </c>
      <c r="H755" s="140">
        <f t="shared" ref="H755" si="24" xml:space="preserve"> ROUNDDOWN(H752 * H753 * H754,0)</f>
        <v>0</v>
      </c>
      <c r="I755" s="24"/>
    </row>
    <row r="756" spans="1:9" x14ac:dyDescent="0.3">
      <c r="B756" s="22"/>
      <c r="C756" s="32"/>
      <c r="D756" s="39"/>
      <c r="E756" s="39"/>
      <c r="F756" s="39"/>
      <c r="G756" s="176"/>
      <c r="H756" s="39"/>
      <c r="I756" s="23"/>
    </row>
    <row r="757" spans="1:9" ht="18.2" x14ac:dyDescent="0.35">
      <c r="A757" s="44" t="s">
        <v>119</v>
      </c>
      <c r="C757" s="32"/>
      <c r="D757" s="2">
        <f>StartYear</f>
        <v>2016</v>
      </c>
      <c r="E757" s="2">
        <f>D757+1</f>
        <v>2017</v>
      </c>
      <c r="F757" s="2">
        <f>E757+1</f>
        <v>2018</v>
      </c>
      <c r="G757" s="2">
        <f>F757+1</f>
        <v>2019</v>
      </c>
      <c r="H757" s="2">
        <f>G757+1</f>
        <v>2020</v>
      </c>
      <c r="I757" s="23"/>
    </row>
    <row r="758" spans="1:9" x14ac:dyDescent="0.3">
      <c r="B758" s="64" t="s">
        <v>10</v>
      </c>
      <c r="C758" s="59"/>
      <c r="D758" s="10">
        <f>IF( $E336 = "Eligible", D755 * 'Facility Detail'!$B$1614, 0 )</f>
        <v>0</v>
      </c>
      <c r="E758" s="118">
        <f>IF( $E336 = "Eligible", E755 * 'Facility Detail'!$B$1614, 0 )</f>
        <v>0</v>
      </c>
      <c r="F758" s="118">
        <f>IF( $E336 = "Eligible", F755 * 'Facility Detail'!$B$1614, 0 )</f>
        <v>0</v>
      </c>
      <c r="G758" s="118">
        <f>IF( $E336 = "Eligible", G755 * 'Facility Detail'!$B$1614, 0 )</f>
        <v>0</v>
      </c>
      <c r="H758" s="11">
        <f>IF( $E336 = "Eligible", H755 * 'Facility Detail'!$B$1614, 0 )</f>
        <v>0</v>
      </c>
      <c r="I758" s="23"/>
    </row>
    <row r="759" spans="1:9" x14ac:dyDescent="0.3">
      <c r="B759" s="64" t="s">
        <v>6</v>
      </c>
      <c r="C759" s="59"/>
      <c r="D759" s="51">
        <f>IF( $F336 = "Eligible", D755, 0 )</f>
        <v>0</v>
      </c>
      <c r="E759" s="119">
        <f>IF( $F336 = "Eligible", E755, 0 )</f>
        <v>0</v>
      </c>
      <c r="F759" s="119">
        <f>IF( $F336 = "Eligible", F755, 0 )</f>
        <v>0</v>
      </c>
      <c r="G759" s="119">
        <f>IF( $F336 = "Eligible", G755, 0 )</f>
        <v>0</v>
      </c>
      <c r="H759" s="52">
        <f>IF( $F336 = "Eligible", H755, 0 )</f>
        <v>0</v>
      </c>
      <c r="I759" s="23"/>
    </row>
    <row r="760" spans="1:9" x14ac:dyDescent="0.3">
      <c r="B760" s="63" t="s">
        <v>121</v>
      </c>
      <c r="C760" s="62"/>
      <c r="D760" s="40">
        <f>SUM(D758:D759)</f>
        <v>0</v>
      </c>
      <c r="E760" s="40">
        <f>SUM(E758:E759)</f>
        <v>0</v>
      </c>
      <c r="F760" s="40">
        <f>SUM(F758:F759)</f>
        <v>0</v>
      </c>
      <c r="G760" s="40">
        <f>SUM(G758:G759)</f>
        <v>0</v>
      </c>
      <c r="H760" s="40">
        <f>SUM(H758:H759)</f>
        <v>0</v>
      </c>
      <c r="I760" s="23"/>
    </row>
    <row r="761" spans="1:9" x14ac:dyDescent="0.3">
      <c r="B761" s="32"/>
      <c r="C761" s="32"/>
      <c r="D761" s="33"/>
      <c r="E761" s="33"/>
      <c r="F761" s="33"/>
      <c r="G761" s="178"/>
      <c r="H761" s="33"/>
      <c r="I761" s="23"/>
    </row>
    <row r="762" spans="1:9" ht="18.2" x14ac:dyDescent="0.35">
      <c r="A762" s="41" t="s">
        <v>30</v>
      </c>
      <c r="C762" s="32"/>
      <c r="D762" s="2">
        <f>StartYear</f>
        <v>2016</v>
      </c>
      <c r="E762" s="2">
        <f>D762+1</f>
        <v>2017</v>
      </c>
      <c r="F762" s="2">
        <f>E762+1</f>
        <v>2018</v>
      </c>
      <c r="G762" s="2">
        <f>F762+1</f>
        <v>2019</v>
      </c>
      <c r="H762" s="2">
        <f>G762+1</f>
        <v>2020</v>
      </c>
      <c r="I762" s="31"/>
    </row>
    <row r="763" spans="1:9" x14ac:dyDescent="0.3">
      <c r="B763" s="64" t="s">
        <v>47</v>
      </c>
      <c r="C763" s="59"/>
      <c r="D763" s="3"/>
      <c r="E763" s="3"/>
      <c r="F763" s="3"/>
      <c r="G763" s="3"/>
      <c r="H763" s="4"/>
      <c r="I763" s="31"/>
    </row>
    <row r="764" spans="1:9" x14ac:dyDescent="0.3">
      <c r="B764" s="65" t="s">
        <v>23</v>
      </c>
      <c r="C764" s="66"/>
      <c r="D764" s="146"/>
      <c r="E764" s="146"/>
      <c r="F764" s="146"/>
      <c r="G764" s="146"/>
      <c r="H764" s="147"/>
      <c r="I764" s="31"/>
    </row>
    <row r="765" spans="1:9" x14ac:dyDescent="0.3">
      <c r="B765" s="75" t="s">
        <v>89</v>
      </c>
      <c r="C765" s="74"/>
      <c r="D765" s="213"/>
      <c r="E765" s="148"/>
      <c r="F765" s="148"/>
      <c r="G765" s="148"/>
      <c r="H765" s="149"/>
      <c r="I765" s="31"/>
    </row>
    <row r="766" spans="1:9" x14ac:dyDescent="0.3">
      <c r="B766" s="35" t="s">
        <v>90</v>
      </c>
      <c r="D766" s="6">
        <f>SUM(D763:D765)</f>
        <v>0</v>
      </c>
      <c r="E766" s="6">
        <f>SUM(E763:E765)</f>
        <v>0</v>
      </c>
      <c r="F766" s="6">
        <f>SUM(F763:F765)</f>
        <v>0</v>
      </c>
      <c r="G766" s="6">
        <f t="shared" ref="G766:H766" si="25">SUM(G763:G765)</f>
        <v>0</v>
      </c>
      <c r="H766" s="6">
        <f t="shared" si="25"/>
        <v>0</v>
      </c>
      <c r="I766" s="32"/>
    </row>
    <row r="767" spans="1:9" x14ac:dyDescent="0.3">
      <c r="B767" s="5"/>
      <c r="D767" s="6"/>
      <c r="E767" s="6"/>
      <c r="F767" s="6"/>
      <c r="G767" s="176"/>
      <c r="H767" s="6"/>
      <c r="I767" s="32"/>
    </row>
    <row r="768" spans="1:9" ht="18.2" x14ac:dyDescent="0.35">
      <c r="A768" s="8" t="s">
        <v>100</v>
      </c>
      <c r="D768" s="2">
        <f>StartYear</f>
        <v>2016</v>
      </c>
      <c r="E768" s="2">
        <f>D768+1</f>
        <v>2017</v>
      </c>
      <c r="F768" s="2">
        <f>E768+1</f>
        <v>2018</v>
      </c>
      <c r="G768" s="2">
        <f>F768+1</f>
        <v>2019</v>
      </c>
      <c r="H768" s="2">
        <f>G768+1</f>
        <v>2020</v>
      </c>
      <c r="I768" s="32"/>
    </row>
    <row r="769" spans="1:9" x14ac:dyDescent="0.3">
      <c r="B769" s="64" t="str">
        <f>(StartYear-1) &amp; " Surplus Applied to " &amp; StartYear</f>
        <v>2015 Surplus Applied to 2016</v>
      </c>
      <c r="C769" s="32"/>
      <c r="D769" s="205">
        <v>0</v>
      </c>
      <c r="E769" s="206"/>
      <c r="F769" s="206"/>
      <c r="G769" s="206"/>
      <c r="H769" s="207"/>
    </row>
    <row r="770" spans="1:9" x14ac:dyDescent="0.3">
      <c r="B770" s="64" t="str">
        <f>StartYear &amp; " Surplus Applied to " &amp; (StartYear-1)</f>
        <v>2016 Surplus Applied to 2015</v>
      </c>
      <c r="C770" s="32"/>
      <c r="D770" s="208">
        <v>0</v>
      </c>
      <c r="E770" s="122"/>
      <c r="F770" s="122"/>
      <c r="G770" s="122"/>
      <c r="H770" s="126"/>
    </row>
    <row r="771" spans="1:9" x14ac:dyDescent="0.3">
      <c r="B771" s="64" t="str">
        <f>( StartYear) &amp; " Surplus Applied to " &amp; ( StartYear + 1 )</f>
        <v>2016 Surplus Applied to 2017</v>
      </c>
      <c r="C771" s="32"/>
      <c r="D771" s="203">
        <f>D755+D760-D766</f>
        <v>0</v>
      </c>
      <c r="E771" s="204">
        <f>D771</f>
        <v>0</v>
      </c>
      <c r="F771" s="199"/>
      <c r="G771" s="199"/>
      <c r="H771" s="200"/>
    </row>
    <row r="772" spans="1:9" x14ac:dyDescent="0.3">
      <c r="B772" s="64" t="str">
        <f xml:space="preserve"> ( StartYear + 1 ) &amp; " Surplus Applied to " &amp; ( StartYear )</f>
        <v>2017 Surplus Applied to 2016</v>
      </c>
      <c r="C772" s="59"/>
      <c r="D772" s="143">
        <v>0</v>
      </c>
      <c r="E772" s="9">
        <v>0</v>
      </c>
      <c r="F772" s="122"/>
      <c r="G772" s="122"/>
      <c r="H772" s="126"/>
    </row>
    <row r="773" spans="1:9" x14ac:dyDescent="0.3">
      <c r="B773" s="128" t="str">
        <f xml:space="preserve"> ( StartYear + 1 ) &amp; " Surplus Applied to " &amp; ( StartYear + 2 )</f>
        <v>2017 Surplus Applied to 2018</v>
      </c>
      <c r="C773" s="59"/>
      <c r="D773" s="123"/>
      <c r="E773" s="9">
        <v>0</v>
      </c>
      <c r="F773" s="58">
        <f>E773</f>
        <v>0</v>
      </c>
      <c r="G773" s="122"/>
      <c r="H773" s="126"/>
    </row>
    <row r="774" spans="1:9" x14ac:dyDescent="0.3">
      <c r="B774" s="128" t="str">
        <f xml:space="preserve"> ( StartYear + 2 ) &amp; " Surplus Applied to " &amp; ( StartYear + 1 )</f>
        <v>2018 Surplus Applied to 2017</v>
      </c>
      <c r="C774" s="59"/>
      <c r="D774" s="123"/>
      <c r="E774" s="58">
        <v>0</v>
      </c>
      <c r="F774" s="9">
        <v>0</v>
      </c>
      <c r="G774" s="122"/>
      <c r="H774" s="126"/>
    </row>
    <row r="775" spans="1:9" x14ac:dyDescent="0.3">
      <c r="B775" s="174" t="str">
        <f xml:space="preserve"> ( StartYear + 2 ) &amp; " Surplus Applied to " &amp; ( StartYear + 3 )</f>
        <v>2018 Surplus Applied to 2019</v>
      </c>
      <c r="C775" s="32"/>
      <c r="D775" s="123"/>
      <c r="E775" s="122"/>
      <c r="F775" s="9">
        <v>0</v>
      </c>
      <c r="G775" s="58">
        <f>F775</f>
        <v>0</v>
      </c>
      <c r="H775" s="126"/>
    </row>
    <row r="776" spans="1:9" x14ac:dyDescent="0.3">
      <c r="B776" s="174" t="str">
        <f xml:space="preserve"> ( StartYear + 3 ) &amp; " Surplus Applied to " &amp; ( StartYear + 2 )</f>
        <v>2019 Surplus Applied to 2018</v>
      </c>
      <c r="C776" s="32"/>
      <c r="D776" s="123"/>
      <c r="E776" s="122"/>
      <c r="F776" s="58">
        <v>0</v>
      </c>
      <c r="G776" s="9">
        <v>0</v>
      </c>
      <c r="H776" s="126"/>
    </row>
    <row r="777" spans="1:9" x14ac:dyDescent="0.3">
      <c r="B777" s="174" t="str">
        <f xml:space="preserve"> ( StartYear + 3 ) &amp; " Surplus Applied to " &amp; ( StartYear + 4 )</f>
        <v>2019 Surplus Applied to 2020</v>
      </c>
      <c r="C777" s="32"/>
      <c r="D777" s="123"/>
      <c r="E777" s="122"/>
      <c r="F777" s="122"/>
      <c r="G777" s="9">
        <f>G755+G760-G766</f>
        <v>18037</v>
      </c>
      <c r="H777" s="53">
        <f>G777</f>
        <v>18037</v>
      </c>
    </row>
    <row r="778" spans="1:9" x14ac:dyDescent="0.3">
      <c r="B778" s="174" t="str">
        <f xml:space="preserve"> ( StartYear + 4 ) &amp; " Surplus Applied to " &amp; ( StartYear + 3 )</f>
        <v>2020 Surplus Applied to 2019</v>
      </c>
      <c r="C778" s="32"/>
      <c r="D778" s="124"/>
      <c r="E778" s="125"/>
      <c r="F778" s="125"/>
      <c r="G778" s="54">
        <v>0</v>
      </c>
      <c r="H778" s="46">
        <v>0</v>
      </c>
    </row>
    <row r="779" spans="1:9" x14ac:dyDescent="0.3">
      <c r="B779" s="35" t="s">
        <v>17</v>
      </c>
      <c r="D779" s="6">
        <f>D769-D770+D772-D771</f>
        <v>0</v>
      </c>
      <c r="E779" s="6">
        <f>E771+E774-E772-E773</f>
        <v>0</v>
      </c>
      <c r="F779" s="6">
        <f>F773+F776-F774-F775</f>
        <v>0</v>
      </c>
      <c r="G779" s="6">
        <f>G775+G778-G776-G777</f>
        <v>-18037</v>
      </c>
      <c r="H779" s="6">
        <f>H777 - H778</f>
        <v>18037</v>
      </c>
    </row>
    <row r="780" spans="1:9" x14ac:dyDescent="0.3">
      <c r="B780" s="5"/>
      <c r="D780" s="6"/>
      <c r="E780" s="6"/>
      <c r="F780" s="6"/>
      <c r="G780" s="6"/>
      <c r="H780" s="6"/>
      <c r="I780" s="32"/>
    </row>
    <row r="781" spans="1:9" x14ac:dyDescent="0.3">
      <c r="B781" s="61" t="s">
        <v>12</v>
      </c>
      <c r="C781" s="59"/>
      <c r="D781" s="82"/>
      <c r="E781" s="120"/>
      <c r="F781" s="120"/>
      <c r="G781" s="120"/>
      <c r="H781" s="83"/>
      <c r="I781" s="32"/>
    </row>
    <row r="782" spans="1:9" x14ac:dyDescent="0.3">
      <c r="B782" s="5"/>
      <c r="D782" s="6"/>
      <c r="E782" s="6"/>
      <c r="F782" s="6"/>
      <c r="G782" s="6"/>
      <c r="H782" s="6"/>
      <c r="I782" s="32"/>
    </row>
    <row r="783" spans="1:9" ht="18.2" x14ac:dyDescent="0.35">
      <c r="A783" s="41" t="s">
        <v>26</v>
      </c>
      <c r="C783" s="59"/>
      <c r="D783" s="121">
        <f xml:space="preserve"> D755 + D760 - D766 + D779 + D781</f>
        <v>0</v>
      </c>
      <c r="E783" s="121">
        <f xml:space="preserve"> E755 + E760 - E766 + E779 + E781</f>
        <v>0</v>
      </c>
      <c r="F783" s="121">
        <f t="shared" ref="F783:H783" si="26" xml:space="preserve"> F755 + F760 - F766 + F779 + F781</f>
        <v>0</v>
      </c>
      <c r="G783" s="121">
        <f t="shared" si="26"/>
        <v>0</v>
      </c>
      <c r="H783" s="192">
        <f t="shared" si="26"/>
        <v>18037</v>
      </c>
    </row>
    <row r="784" spans="1:9" x14ac:dyDescent="0.3">
      <c r="B784" s="5"/>
      <c r="C784" s="5" t="s">
        <v>169</v>
      </c>
      <c r="D784" s="6"/>
      <c r="E784" s="6"/>
      <c r="F784" s="31"/>
      <c r="G784" s="31"/>
      <c r="H784" s="31"/>
      <c r="I784" s="24"/>
    </row>
    <row r="785" spans="1:9" ht="15.65" thickBot="1" x14ac:dyDescent="0.35">
      <c r="I785" s="23"/>
    </row>
    <row r="786" spans="1:9" x14ac:dyDescent="0.3">
      <c r="A786" s="7"/>
      <c r="B786" s="7"/>
      <c r="C786" s="7"/>
      <c r="D786" s="179"/>
      <c r="E786" s="7"/>
      <c r="F786" s="7"/>
      <c r="G786" s="7"/>
      <c r="H786" s="7"/>
      <c r="I786" s="23"/>
    </row>
    <row r="787" spans="1:9" x14ac:dyDescent="0.3">
      <c r="B787" s="32"/>
      <c r="C787" s="32"/>
      <c r="D787" s="22"/>
      <c r="E787" s="32"/>
      <c r="F787" s="32"/>
      <c r="G787" s="32"/>
      <c r="H787" s="32"/>
      <c r="I787" s="23"/>
    </row>
    <row r="788" spans="1:9" ht="21.3" x14ac:dyDescent="0.4">
      <c r="A788" s="12" t="s">
        <v>4</v>
      </c>
      <c r="B788" s="12"/>
      <c r="C788" s="42" t="str">
        <f>B23</f>
        <v>Golden Valley Wind Park - Golden Valley Wind Park -- REC Only **</v>
      </c>
      <c r="D788" s="43"/>
      <c r="E788" s="22"/>
      <c r="F788" s="22"/>
      <c r="I788" s="23"/>
    </row>
    <row r="789" spans="1:9" x14ac:dyDescent="0.3">
      <c r="C789" s="22" t="s">
        <v>173</v>
      </c>
      <c r="I789" s="31"/>
    </row>
    <row r="790" spans="1:9" ht="18.2" x14ac:dyDescent="0.35">
      <c r="A790" s="8" t="s">
        <v>21</v>
      </c>
      <c r="B790" s="8"/>
      <c r="D790" s="127">
        <f>StartYear</f>
        <v>2016</v>
      </c>
      <c r="E790" s="2">
        <f>D790+1</f>
        <v>2017</v>
      </c>
      <c r="F790" s="2">
        <f>E790+1</f>
        <v>2018</v>
      </c>
      <c r="G790" s="2">
        <f>F790+1</f>
        <v>2019</v>
      </c>
      <c r="H790" s="2">
        <f>G790+1</f>
        <v>2020</v>
      </c>
      <c r="I790" s="31"/>
    </row>
    <row r="791" spans="1:9" x14ac:dyDescent="0.3">
      <c r="B791" s="64" t="str">
        <f>"Purchased from " &amp; C788</f>
        <v>Purchased from Golden Valley Wind Park - Golden Valley Wind Park -- REC Only **</v>
      </c>
      <c r="C791" s="59"/>
      <c r="D791" s="3"/>
      <c r="E791" s="3"/>
      <c r="F791" s="3"/>
      <c r="G791" s="3">
        <v>8707</v>
      </c>
      <c r="H791" s="4"/>
      <c r="I791" s="31"/>
    </row>
    <row r="792" spans="1:9" x14ac:dyDescent="0.3">
      <c r="B792" s="64" t="s">
        <v>25</v>
      </c>
      <c r="C792" s="59"/>
      <c r="D792" s="141"/>
      <c r="E792" s="141"/>
      <c r="F792" s="141"/>
      <c r="G792" s="141">
        <v>1</v>
      </c>
      <c r="H792" s="142"/>
      <c r="I792" s="31"/>
    </row>
    <row r="793" spans="1:9" x14ac:dyDescent="0.3">
      <c r="B793" s="64" t="s">
        <v>20</v>
      </c>
      <c r="C793" s="59"/>
      <c r="D793" s="47"/>
      <c r="E793" s="47"/>
      <c r="F793" s="47"/>
      <c r="G793" s="47">
        <v>1</v>
      </c>
      <c r="H793" s="48"/>
      <c r="I793" s="32"/>
    </row>
    <row r="794" spans="1:9" x14ac:dyDescent="0.3">
      <c r="B794" s="61" t="s">
        <v>22</v>
      </c>
      <c r="C794" s="62"/>
      <c r="D794" s="140">
        <f xml:space="preserve"> D791 * D792 * D793</f>
        <v>0</v>
      </c>
      <c r="E794" s="140">
        <f xml:space="preserve"> E791 * E792 * E793</f>
        <v>0</v>
      </c>
      <c r="F794" s="140">
        <f t="shared" ref="F794" si="27" xml:space="preserve"> ROUNDDOWN(F791 * F792 * F793,0)</f>
        <v>0</v>
      </c>
      <c r="G794" s="140">
        <f t="shared" ref="G794" si="28" xml:space="preserve"> ROUNDDOWN(G791 * G792 * G793,0)</f>
        <v>8707</v>
      </c>
      <c r="H794" s="140">
        <f t="shared" ref="H794" si="29" xml:space="preserve"> ROUNDDOWN(H791 * H792 * H793,0)</f>
        <v>0</v>
      </c>
      <c r="I794" s="32"/>
    </row>
    <row r="795" spans="1:9" x14ac:dyDescent="0.3">
      <c r="B795" s="22"/>
      <c r="C795" s="32"/>
      <c r="D795" s="39"/>
      <c r="E795" s="39"/>
      <c r="F795" s="39"/>
      <c r="G795" s="176"/>
      <c r="H795" s="39"/>
    </row>
    <row r="796" spans="1:9" ht="18.2" x14ac:dyDescent="0.35">
      <c r="A796" s="44" t="s">
        <v>119</v>
      </c>
      <c r="C796" s="32"/>
      <c r="D796" s="2">
        <f>StartYear</f>
        <v>2016</v>
      </c>
      <c r="E796" s="2">
        <f>D796+1</f>
        <v>2017</v>
      </c>
      <c r="F796" s="2">
        <f>E796+1</f>
        <v>2018</v>
      </c>
      <c r="G796" s="2">
        <f>F796+1</f>
        <v>2019</v>
      </c>
      <c r="H796" s="2">
        <f>G796+1</f>
        <v>2020</v>
      </c>
    </row>
    <row r="797" spans="1:9" x14ac:dyDescent="0.3">
      <c r="B797" s="64" t="s">
        <v>10</v>
      </c>
      <c r="C797" s="59"/>
      <c r="D797" s="10">
        <f>IF( $E375 = "Eligible", D794 * 'Facility Detail'!$B$1614, 0 )</f>
        <v>0</v>
      </c>
      <c r="E797" s="118">
        <f>IF( $E375 = "Eligible", E794 * 'Facility Detail'!$B$1614, 0 )</f>
        <v>0</v>
      </c>
      <c r="F797" s="118">
        <f>IF( $E375 = "Eligible", F794 * 'Facility Detail'!$B$1614, 0 )</f>
        <v>0</v>
      </c>
      <c r="G797" s="118">
        <f>IF( $E375 = "Eligible", G794 * 'Facility Detail'!$B$1614, 0 )</f>
        <v>0</v>
      </c>
      <c r="H797" s="11">
        <f>IF( $E375 = "Eligible", H794 * 'Facility Detail'!$B$1614, 0 )</f>
        <v>0</v>
      </c>
      <c r="I797" s="23"/>
    </row>
    <row r="798" spans="1:9" x14ac:dyDescent="0.3">
      <c r="B798" s="64" t="s">
        <v>6</v>
      </c>
      <c r="C798" s="59"/>
      <c r="D798" s="51">
        <f>IF( $F375 = "Eligible", D794, 0 )</f>
        <v>0</v>
      </c>
      <c r="E798" s="119">
        <f>IF( $F375 = "Eligible", E794, 0 )</f>
        <v>0</v>
      </c>
      <c r="F798" s="119">
        <f>IF( $F375 = "Eligible", F794, 0 )</f>
        <v>0</v>
      </c>
      <c r="G798" s="119">
        <f>IF( $F375 = "Eligible", G794, 0 )</f>
        <v>0</v>
      </c>
      <c r="H798" s="52">
        <f>IF( $F375 = "Eligible", H794, 0 )</f>
        <v>0</v>
      </c>
      <c r="I798" s="23"/>
    </row>
    <row r="799" spans="1:9" x14ac:dyDescent="0.3">
      <c r="B799" s="63" t="s">
        <v>121</v>
      </c>
      <c r="C799" s="62"/>
      <c r="D799" s="40">
        <f>SUM(D797:D798)</f>
        <v>0</v>
      </c>
      <c r="E799" s="40">
        <f>SUM(E797:E798)</f>
        <v>0</v>
      </c>
      <c r="F799" s="40">
        <f>SUM(F797:F798)</f>
        <v>0</v>
      </c>
      <c r="G799" s="40">
        <f>SUM(G797:G798)</f>
        <v>0</v>
      </c>
      <c r="H799" s="40">
        <f>SUM(H797:H798)</f>
        <v>0</v>
      </c>
      <c r="I799" s="23"/>
    </row>
    <row r="800" spans="1:9" x14ac:dyDescent="0.3">
      <c r="B800" s="32"/>
      <c r="C800" s="32"/>
      <c r="D800" s="33"/>
      <c r="E800" s="33"/>
      <c r="F800" s="33"/>
      <c r="G800" s="178"/>
      <c r="H800" s="33"/>
      <c r="I800" s="23"/>
    </row>
    <row r="801" spans="1:9" ht="18.2" x14ac:dyDescent="0.35">
      <c r="A801" s="41" t="s">
        <v>30</v>
      </c>
      <c r="C801" s="32"/>
      <c r="D801" s="2">
        <f>StartYear</f>
        <v>2016</v>
      </c>
      <c r="E801" s="2">
        <f>D801+1</f>
        <v>2017</v>
      </c>
      <c r="F801" s="2">
        <f>E801+1</f>
        <v>2018</v>
      </c>
      <c r="G801" s="2">
        <f>F801+1</f>
        <v>2019</v>
      </c>
      <c r="H801" s="2">
        <f>G801+1</f>
        <v>2020</v>
      </c>
      <c r="I801" s="23"/>
    </row>
    <row r="802" spans="1:9" x14ac:dyDescent="0.3">
      <c r="B802" s="64" t="s">
        <v>47</v>
      </c>
      <c r="C802" s="59"/>
      <c r="D802" s="3"/>
      <c r="E802" s="3"/>
      <c r="F802" s="3"/>
      <c r="G802" s="3"/>
      <c r="H802" s="4"/>
      <c r="I802" s="23"/>
    </row>
    <row r="803" spans="1:9" x14ac:dyDescent="0.3">
      <c r="B803" s="65" t="s">
        <v>23</v>
      </c>
      <c r="C803" s="66"/>
      <c r="D803" s="146"/>
      <c r="E803" s="146"/>
      <c r="F803" s="146"/>
      <c r="G803" s="146"/>
      <c r="H803" s="147"/>
      <c r="I803" s="23"/>
    </row>
    <row r="804" spans="1:9" x14ac:dyDescent="0.3">
      <c r="B804" s="75" t="s">
        <v>89</v>
      </c>
      <c r="C804" s="74"/>
      <c r="D804" s="213"/>
      <c r="E804" s="148"/>
      <c r="F804" s="148"/>
      <c r="G804" s="148"/>
      <c r="H804" s="149"/>
      <c r="I804" s="23"/>
    </row>
    <row r="805" spans="1:9" x14ac:dyDescent="0.3">
      <c r="B805" s="35" t="s">
        <v>90</v>
      </c>
      <c r="D805" s="6">
        <f>SUM(D802:D804)</f>
        <v>0</v>
      </c>
      <c r="E805" s="6">
        <f>SUM(E802:E804)</f>
        <v>0</v>
      </c>
      <c r="F805" s="6">
        <f>SUM(F802:F804)</f>
        <v>0</v>
      </c>
      <c r="G805" s="6">
        <f t="shared" ref="G805" si="30">SUM(G802:G804)</f>
        <v>0</v>
      </c>
      <c r="H805" s="6">
        <f t="shared" ref="H805" si="31">SUM(H802:H804)</f>
        <v>0</v>
      </c>
      <c r="I805" s="31"/>
    </row>
    <row r="806" spans="1:9" x14ac:dyDescent="0.3">
      <c r="B806" s="5"/>
      <c r="D806" s="6"/>
      <c r="E806" s="6"/>
      <c r="F806" s="6"/>
      <c r="G806" s="176"/>
      <c r="H806" s="6"/>
      <c r="I806" s="31"/>
    </row>
    <row r="807" spans="1:9" ht="18.2" x14ac:dyDescent="0.35">
      <c r="A807" s="8" t="s">
        <v>100</v>
      </c>
      <c r="D807" s="2">
        <f>StartYear</f>
        <v>2016</v>
      </c>
      <c r="E807" s="2">
        <f>D807+1</f>
        <v>2017</v>
      </c>
      <c r="F807" s="2">
        <f>E807+1</f>
        <v>2018</v>
      </c>
      <c r="G807" s="2">
        <f>F807+1</f>
        <v>2019</v>
      </c>
      <c r="H807" s="2">
        <f>G807+1</f>
        <v>2020</v>
      </c>
      <c r="I807" s="31"/>
    </row>
    <row r="808" spans="1:9" x14ac:dyDescent="0.3">
      <c r="B808" s="64" t="str">
        <f>(StartYear-1) &amp; " Surplus Applied to " &amp; StartYear</f>
        <v>2015 Surplus Applied to 2016</v>
      </c>
      <c r="C808" s="32"/>
      <c r="D808" s="205">
        <v>0</v>
      </c>
      <c r="E808" s="206"/>
      <c r="F808" s="206"/>
      <c r="G808" s="206"/>
      <c r="H808" s="207"/>
    </row>
    <row r="809" spans="1:9" x14ac:dyDescent="0.3">
      <c r="B809" s="64" t="str">
        <f>StartYear &amp; " Surplus Applied to " &amp; (StartYear-1)</f>
        <v>2016 Surplus Applied to 2015</v>
      </c>
      <c r="C809" s="32"/>
      <c r="D809" s="208">
        <v>0</v>
      </c>
      <c r="E809" s="122"/>
      <c r="F809" s="122"/>
      <c r="G809" s="122"/>
      <c r="H809" s="126"/>
    </row>
    <row r="810" spans="1:9" x14ac:dyDescent="0.3">
      <c r="B810" s="64" t="str">
        <f>( StartYear) &amp; " Surplus Applied to " &amp; ( StartYear + 1 )</f>
        <v>2016 Surplus Applied to 2017</v>
      </c>
      <c r="C810" s="32"/>
      <c r="D810" s="203">
        <f>D794+D799-D805</f>
        <v>0</v>
      </c>
      <c r="E810" s="204">
        <f>D810</f>
        <v>0</v>
      </c>
      <c r="F810" s="199"/>
      <c r="G810" s="199"/>
      <c r="H810" s="200"/>
    </row>
    <row r="811" spans="1:9" x14ac:dyDescent="0.3">
      <c r="B811" s="64" t="str">
        <f xml:space="preserve"> ( StartYear + 1 ) &amp; " Surplus Applied to " &amp; ( StartYear )</f>
        <v>2017 Surplus Applied to 2016</v>
      </c>
      <c r="C811" s="59"/>
      <c r="D811" s="143">
        <v>0</v>
      </c>
      <c r="E811" s="9">
        <v>0</v>
      </c>
      <c r="F811" s="122"/>
      <c r="G811" s="122"/>
      <c r="H811" s="126"/>
    </row>
    <row r="812" spans="1:9" x14ac:dyDescent="0.3">
      <c r="B812" s="128" t="str">
        <f xml:space="preserve"> ( StartYear + 1 ) &amp; " Surplus Applied to " &amp; ( StartYear + 2 )</f>
        <v>2017 Surplus Applied to 2018</v>
      </c>
      <c r="C812" s="59"/>
      <c r="D812" s="123"/>
      <c r="E812" s="9">
        <v>0</v>
      </c>
      <c r="F812" s="58">
        <f>E812</f>
        <v>0</v>
      </c>
      <c r="G812" s="122"/>
      <c r="H812" s="126"/>
    </row>
    <row r="813" spans="1:9" x14ac:dyDescent="0.3">
      <c r="B813" s="128" t="str">
        <f xml:space="preserve"> ( StartYear + 2 ) &amp; " Surplus Applied to " &amp; ( StartYear + 1 )</f>
        <v>2018 Surplus Applied to 2017</v>
      </c>
      <c r="C813" s="59"/>
      <c r="D813" s="123"/>
      <c r="E813" s="58">
        <v>0</v>
      </c>
      <c r="F813" s="9">
        <v>0</v>
      </c>
      <c r="G813" s="122"/>
      <c r="H813" s="126"/>
    </row>
    <row r="814" spans="1:9" x14ac:dyDescent="0.3">
      <c r="B814" s="174" t="str">
        <f xml:space="preserve"> ( StartYear + 2 ) &amp; " Surplus Applied to " &amp; ( StartYear + 3 )</f>
        <v>2018 Surplus Applied to 2019</v>
      </c>
      <c r="C814" s="32"/>
      <c r="D814" s="123"/>
      <c r="E814" s="122"/>
      <c r="F814" s="9">
        <v>0</v>
      </c>
      <c r="G814" s="58">
        <f>F814</f>
        <v>0</v>
      </c>
      <c r="H814" s="126"/>
    </row>
    <row r="815" spans="1:9" x14ac:dyDescent="0.3">
      <c r="B815" s="174" t="str">
        <f xml:space="preserve"> ( StartYear + 3 ) &amp; " Surplus Applied to " &amp; ( StartYear + 2 )</f>
        <v>2019 Surplus Applied to 2018</v>
      </c>
      <c r="C815" s="32"/>
      <c r="D815" s="123"/>
      <c r="E815" s="122"/>
      <c r="F815" s="58">
        <v>0</v>
      </c>
      <c r="G815" s="9">
        <v>0</v>
      </c>
      <c r="H815" s="126"/>
    </row>
    <row r="816" spans="1:9" x14ac:dyDescent="0.3">
      <c r="B816" s="174" t="str">
        <f xml:space="preserve"> ( StartYear + 3 ) &amp; " Surplus Applied to " &amp; ( StartYear + 4 )</f>
        <v>2019 Surplus Applied to 2020</v>
      </c>
      <c r="C816" s="32"/>
      <c r="D816" s="123"/>
      <c r="E816" s="122"/>
      <c r="F816" s="122"/>
      <c r="G816" s="9">
        <f>G794+G799-G805</f>
        <v>8707</v>
      </c>
      <c r="H816" s="53">
        <f>G816</f>
        <v>8707</v>
      </c>
    </row>
    <row r="817" spans="1:9" x14ac:dyDescent="0.3">
      <c r="B817" s="174" t="str">
        <f xml:space="preserve"> ( StartYear + 4 ) &amp; " Surplus Applied to " &amp; ( StartYear + 3 )</f>
        <v>2020 Surplus Applied to 2019</v>
      </c>
      <c r="C817" s="32"/>
      <c r="D817" s="124"/>
      <c r="E817" s="125"/>
      <c r="F817" s="125"/>
      <c r="G817" s="54">
        <v>0</v>
      </c>
      <c r="H817" s="46">
        <v>0</v>
      </c>
    </row>
    <row r="818" spans="1:9" x14ac:dyDescent="0.3">
      <c r="B818" s="35" t="s">
        <v>17</v>
      </c>
      <c r="D818" s="6">
        <f>D808-D809+D811-D810</f>
        <v>0</v>
      </c>
      <c r="E818" s="6">
        <f>E810+E813-E811-E812</f>
        <v>0</v>
      </c>
      <c r="F818" s="6">
        <f>F812+F815-F813-F814</f>
        <v>0</v>
      </c>
      <c r="G818" s="6">
        <f>G814+G817-G815-G816</f>
        <v>-8707</v>
      </c>
      <c r="H818" s="6">
        <f>H816 - H817</f>
        <v>8707</v>
      </c>
    </row>
    <row r="819" spans="1:9" x14ac:dyDescent="0.3">
      <c r="B819" s="5"/>
      <c r="D819" s="6"/>
      <c r="E819" s="6"/>
      <c r="F819" s="6"/>
      <c r="G819" s="6"/>
      <c r="H819" s="6"/>
      <c r="I819" s="31"/>
    </row>
    <row r="820" spans="1:9" x14ac:dyDescent="0.3">
      <c r="B820" s="61" t="s">
        <v>12</v>
      </c>
      <c r="C820" s="59"/>
      <c r="D820" s="82"/>
      <c r="E820" s="120"/>
      <c r="F820" s="120"/>
      <c r="G820" s="120"/>
      <c r="H820" s="83"/>
      <c r="I820" s="31"/>
    </row>
    <row r="821" spans="1:9" x14ac:dyDescent="0.3">
      <c r="B821" s="5"/>
      <c r="D821" s="6"/>
      <c r="E821" s="6"/>
      <c r="F821" s="6"/>
      <c r="G821" s="6"/>
      <c r="H821" s="6"/>
      <c r="I821" s="31"/>
    </row>
    <row r="822" spans="1:9" ht="18.2" x14ac:dyDescent="0.35">
      <c r="A822" s="41" t="s">
        <v>26</v>
      </c>
      <c r="C822" s="59"/>
      <c r="D822" s="121">
        <f xml:space="preserve"> D794 + D799 - D805 + D818 + D820</f>
        <v>0</v>
      </c>
      <c r="E822" s="121">
        <f xml:space="preserve"> E794 + E799 - E805 + E818 + E820</f>
        <v>0</v>
      </c>
      <c r="F822" s="121">
        <f t="shared" ref="F822:H822" si="32" xml:space="preserve"> F794 + F799 - F805 + F818 + F820</f>
        <v>0</v>
      </c>
      <c r="G822" s="121">
        <f t="shared" si="32"/>
        <v>0</v>
      </c>
      <c r="H822" s="192">
        <f t="shared" si="32"/>
        <v>8707</v>
      </c>
      <c r="I822" s="32"/>
    </row>
    <row r="823" spans="1:9" x14ac:dyDescent="0.3">
      <c r="B823" s="5"/>
      <c r="C823" s="5" t="s">
        <v>169</v>
      </c>
      <c r="D823" s="6"/>
      <c r="E823" s="6"/>
      <c r="F823" s="31"/>
      <c r="G823" s="31"/>
      <c r="H823" s="31"/>
      <c r="I823" s="32"/>
    </row>
    <row r="824" spans="1:9" ht="15.65" thickBot="1" x14ac:dyDescent="0.35">
      <c r="I824" s="24"/>
    </row>
    <row r="825" spans="1:9" x14ac:dyDescent="0.3">
      <c r="A825" s="7"/>
      <c r="B825" s="7"/>
      <c r="C825" s="7"/>
      <c r="D825" s="179"/>
      <c r="E825" s="7"/>
      <c r="F825" s="7"/>
      <c r="G825" s="7"/>
      <c r="H825" s="7"/>
      <c r="I825" s="23"/>
    </row>
    <row r="826" spans="1:9" x14ac:dyDescent="0.3">
      <c r="B826" s="32"/>
      <c r="C826" s="32"/>
      <c r="D826" s="22"/>
      <c r="E826" s="32"/>
      <c r="F826" s="32"/>
      <c r="G826" s="32"/>
      <c r="H826" s="32"/>
      <c r="I826" s="23"/>
    </row>
    <row r="827" spans="1:9" ht="21.3" x14ac:dyDescent="0.4">
      <c r="A827" s="12" t="s">
        <v>4</v>
      </c>
      <c r="B827" s="12"/>
      <c r="C827" s="42" t="str">
        <f>B24</f>
        <v>Klondike III - Klondike Wind Power III LLC -- REC Only **</v>
      </c>
      <c r="D827" s="43"/>
      <c r="E827" s="22"/>
      <c r="F827" s="22"/>
      <c r="I827" s="23"/>
    </row>
    <row r="828" spans="1:9" x14ac:dyDescent="0.3">
      <c r="C828" s="22" t="s">
        <v>173</v>
      </c>
      <c r="I828" s="23"/>
    </row>
    <row r="829" spans="1:9" ht="18.2" x14ac:dyDescent="0.35">
      <c r="A829" s="8" t="s">
        <v>21</v>
      </c>
      <c r="B829" s="8"/>
      <c r="D829" s="127">
        <f>StartYear</f>
        <v>2016</v>
      </c>
      <c r="E829" s="2">
        <f>D829+1</f>
        <v>2017</v>
      </c>
      <c r="F829" s="2">
        <f>E829+1</f>
        <v>2018</v>
      </c>
      <c r="G829" s="2">
        <f>F829+1</f>
        <v>2019</v>
      </c>
      <c r="H829" s="2">
        <f>G829+1</f>
        <v>2020</v>
      </c>
      <c r="I829" s="23"/>
    </row>
    <row r="830" spans="1:9" x14ac:dyDescent="0.3">
      <c r="B830" s="64" t="str">
        <f>"Purchased from " &amp; C827</f>
        <v>Purchased from Klondike III - Klondike Wind Power III LLC -- REC Only **</v>
      </c>
      <c r="C830" s="59"/>
      <c r="D830" s="3"/>
      <c r="E830" s="3"/>
      <c r="F830" s="3"/>
      <c r="G830" s="3">
        <v>15341</v>
      </c>
      <c r="H830" s="4"/>
      <c r="I830" s="23"/>
    </row>
    <row r="831" spans="1:9" x14ac:dyDescent="0.3">
      <c r="B831" s="64" t="s">
        <v>25</v>
      </c>
      <c r="C831" s="59"/>
      <c r="D831" s="141"/>
      <c r="E831" s="141"/>
      <c r="F831" s="141"/>
      <c r="G831" s="141">
        <v>1</v>
      </c>
      <c r="H831" s="142"/>
      <c r="I831" s="23"/>
    </row>
    <row r="832" spans="1:9" x14ac:dyDescent="0.3">
      <c r="B832" s="64" t="s">
        <v>20</v>
      </c>
      <c r="C832" s="59"/>
      <c r="D832" s="47"/>
      <c r="E832" s="47"/>
      <c r="F832" s="47"/>
      <c r="G832" s="47">
        <v>1</v>
      </c>
      <c r="H832" s="48"/>
      <c r="I832" s="31"/>
    </row>
    <row r="833" spans="1:9" x14ac:dyDescent="0.3">
      <c r="B833" s="61" t="s">
        <v>22</v>
      </c>
      <c r="C833" s="62"/>
      <c r="D833" s="140">
        <f xml:space="preserve"> D830 * D831 * D832</f>
        <v>0</v>
      </c>
      <c r="E833" s="140">
        <f xml:space="preserve"> E830 * E831 * E832</f>
        <v>0</v>
      </c>
      <c r="F833" s="140">
        <f t="shared" ref="F833" si="33" xml:space="preserve"> ROUNDDOWN(F830 * F831 * F832,0)</f>
        <v>0</v>
      </c>
      <c r="G833" s="140">
        <f t="shared" ref="G833" si="34" xml:space="preserve"> ROUNDDOWN(G830 * G831 * G832,0)</f>
        <v>15341</v>
      </c>
      <c r="H833" s="140">
        <f t="shared" ref="H833" si="35" xml:space="preserve"> ROUNDDOWN(H830 * H831 * H832,0)</f>
        <v>0</v>
      </c>
      <c r="I833" s="31"/>
    </row>
    <row r="834" spans="1:9" x14ac:dyDescent="0.3">
      <c r="B834" s="22"/>
      <c r="C834" s="32"/>
      <c r="D834" s="39"/>
      <c r="E834" s="39"/>
      <c r="F834" s="39"/>
      <c r="G834" s="176"/>
      <c r="H834" s="39"/>
      <c r="I834" s="31"/>
    </row>
    <row r="835" spans="1:9" ht="18.2" x14ac:dyDescent="0.35">
      <c r="A835" s="44" t="s">
        <v>119</v>
      </c>
      <c r="C835" s="32"/>
      <c r="D835" s="2">
        <f>StartYear</f>
        <v>2016</v>
      </c>
      <c r="E835" s="2">
        <f>D835+1</f>
        <v>2017</v>
      </c>
      <c r="F835" s="2">
        <f>E835+1</f>
        <v>2018</v>
      </c>
      <c r="G835" s="2">
        <f>F835+1</f>
        <v>2019</v>
      </c>
      <c r="H835" s="2">
        <f>G835+1</f>
        <v>2020</v>
      </c>
      <c r="I835" s="32"/>
    </row>
    <row r="836" spans="1:9" x14ac:dyDescent="0.3">
      <c r="B836" s="64" t="s">
        <v>10</v>
      </c>
      <c r="C836" s="59"/>
      <c r="D836" s="10">
        <f>IF( $E414 = "Eligible", D833 * 'Facility Detail'!$B$1614, 0 )</f>
        <v>0</v>
      </c>
      <c r="E836" s="118">
        <f>IF( $E414 = "Eligible", E833 * 'Facility Detail'!$B$1614, 0 )</f>
        <v>0</v>
      </c>
      <c r="F836" s="118">
        <f>IF( $E414 = "Eligible", F833 * 'Facility Detail'!$B$1614, 0 )</f>
        <v>0</v>
      </c>
      <c r="G836" s="118">
        <f>IF( $E414 = "Eligible", G833 * 'Facility Detail'!$B$1614, 0 )</f>
        <v>0</v>
      </c>
      <c r="H836" s="11">
        <f>IF( $E414 = "Eligible", H833 * 'Facility Detail'!$B$1614, 0 )</f>
        <v>0</v>
      </c>
    </row>
    <row r="837" spans="1:9" x14ac:dyDescent="0.3">
      <c r="B837" s="64" t="s">
        <v>6</v>
      </c>
      <c r="C837" s="59"/>
      <c r="D837" s="51">
        <f>IF( $F414 = "Eligible", D833, 0 )</f>
        <v>0</v>
      </c>
      <c r="E837" s="119">
        <f>IF( $F414 = "Eligible", E833, 0 )</f>
        <v>0</v>
      </c>
      <c r="F837" s="119">
        <f>IF( $F414 = "Eligible", F833, 0 )</f>
        <v>0</v>
      </c>
      <c r="G837" s="119">
        <f>IF( $F414 = "Eligible", G833, 0 )</f>
        <v>0</v>
      </c>
      <c r="H837" s="52">
        <f>IF( $F414 = "Eligible", H833, 0 )</f>
        <v>0</v>
      </c>
    </row>
    <row r="838" spans="1:9" x14ac:dyDescent="0.3">
      <c r="B838" s="63" t="s">
        <v>121</v>
      </c>
      <c r="C838" s="62"/>
      <c r="D838" s="40">
        <f>SUM(D836:D837)</f>
        <v>0</v>
      </c>
      <c r="E838" s="40">
        <f>SUM(E836:E837)</f>
        <v>0</v>
      </c>
      <c r="F838" s="40">
        <f>SUM(F836:F837)</f>
        <v>0</v>
      </c>
      <c r="G838" s="40">
        <f>SUM(G836:G837)</f>
        <v>0</v>
      </c>
      <c r="H838" s="40">
        <f>SUM(H836:H837)</f>
        <v>0</v>
      </c>
      <c r="I838" s="24"/>
    </row>
    <row r="839" spans="1:9" x14ac:dyDescent="0.3">
      <c r="B839" s="32"/>
      <c r="C839" s="32"/>
      <c r="D839" s="33"/>
      <c r="E839" s="33"/>
      <c r="F839" s="33"/>
      <c r="G839" s="178"/>
      <c r="H839" s="33"/>
      <c r="I839" s="23"/>
    </row>
    <row r="840" spans="1:9" ht="18.2" x14ac:dyDescent="0.35">
      <c r="A840" s="41" t="s">
        <v>30</v>
      </c>
      <c r="C840" s="32"/>
      <c r="D840" s="2">
        <f>StartYear</f>
        <v>2016</v>
      </c>
      <c r="E840" s="2">
        <f>D840+1</f>
        <v>2017</v>
      </c>
      <c r="F840" s="2">
        <f>E840+1</f>
        <v>2018</v>
      </c>
      <c r="G840" s="2">
        <f>F840+1</f>
        <v>2019</v>
      </c>
      <c r="H840" s="2">
        <f>G840+1</f>
        <v>2020</v>
      </c>
      <c r="I840" s="23"/>
    </row>
    <row r="841" spans="1:9" x14ac:dyDescent="0.3">
      <c r="B841" s="64" t="s">
        <v>47</v>
      </c>
      <c r="C841" s="59"/>
      <c r="D841" s="3"/>
      <c r="E841" s="3"/>
      <c r="F841" s="3"/>
      <c r="G841" s="3"/>
      <c r="H841" s="4"/>
      <c r="I841" s="23"/>
    </row>
    <row r="842" spans="1:9" x14ac:dyDescent="0.3">
      <c r="B842" s="65" t="s">
        <v>23</v>
      </c>
      <c r="C842" s="66"/>
      <c r="D842" s="146"/>
      <c r="E842" s="146"/>
      <c r="F842" s="146"/>
      <c r="G842" s="146"/>
      <c r="H842" s="147"/>
      <c r="I842" s="23"/>
    </row>
    <row r="843" spans="1:9" x14ac:dyDescent="0.3">
      <c r="B843" s="75" t="s">
        <v>89</v>
      </c>
      <c r="C843" s="74"/>
      <c r="D843" s="213"/>
      <c r="E843" s="148"/>
      <c r="F843" s="148"/>
      <c r="G843" s="148"/>
      <c r="H843" s="149"/>
      <c r="I843" s="23"/>
    </row>
    <row r="844" spans="1:9" x14ac:dyDescent="0.3">
      <c r="B844" s="35" t="s">
        <v>90</v>
      </c>
      <c r="D844" s="6">
        <f>SUM(D841:D843)</f>
        <v>0</v>
      </c>
      <c r="E844" s="6">
        <f>SUM(E841:E843)</f>
        <v>0</v>
      </c>
      <c r="F844" s="6">
        <f>SUM(F841:F843)</f>
        <v>0</v>
      </c>
      <c r="G844" s="6">
        <f t="shared" ref="G844" si="36">SUM(G841:G843)</f>
        <v>0</v>
      </c>
      <c r="H844" s="6">
        <f t="shared" ref="H844" si="37">SUM(H841:H843)</f>
        <v>0</v>
      </c>
      <c r="I844" s="23"/>
    </row>
    <row r="845" spans="1:9" x14ac:dyDescent="0.3">
      <c r="B845" s="5"/>
      <c r="D845" s="6"/>
      <c r="E845" s="6"/>
      <c r="F845" s="6"/>
      <c r="G845" s="176"/>
      <c r="H845" s="6"/>
      <c r="I845" s="23"/>
    </row>
    <row r="846" spans="1:9" ht="18.2" x14ac:dyDescent="0.35">
      <c r="A846" s="8" t="s">
        <v>100</v>
      </c>
      <c r="D846" s="2">
        <f>StartYear</f>
        <v>2016</v>
      </c>
      <c r="E846" s="2">
        <f>D846+1</f>
        <v>2017</v>
      </c>
      <c r="F846" s="2">
        <f>E846+1</f>
        <v>2018</v>
      </c>
      <c r="G846" s="2">
        <f>F846+1</f>
        <v>2019</v>
      </c>
      <c r="H846" s="2">
        <f>G846+1</f>
        <v>2020</v>
      </c>
      <c r="I846" s="23"/>
    </row>
    <row r="847" spans="1:9" x14ac:dyDescent="0.3">
      <c r="B847" s="64" t="str">
        <f>(StartYear-1) &amp; " Surplus Applied to " &amp; StartYear</f>
        <v>2015 Surplus Applied to 2016</v>
      </c>
      <c r="C847" s="32"/>
      <c r="D847" s="205">
        <v>0</v>
      </c>
      <c r="E847" s="206"/>
      <c r="F847" s="206"/>
      <c r="G847" s="206"/>
      <c r="H847" s="207"/>
    </row>
    <row r="848" spans="1:9" x14ac:dyDescent="0.3">
      <c r="B848" s="64" t="str">
        <f>StartYear &amp; " Surplus Applied to " &amp; (StartYear-1)</f>
        <v>2016 Surplus Applied to 2015</v>
      </c>
      <c r="C848" s="32"/>
      <c r="D848" s="208">
        <v>0</v>
      </c>
      <c r="E848" s="122"/>
      <c r="F848" s="122"/>
      <c r="G848" s="122"/>
      <c r="H848" s="126"/>
    </row>
    <row r="849" spans="1:9" x14ac:dyDescent="0.3">
      <c r="B849" s="64" t="str">
        <f>( StartYear) &amp; " Surplus Applied to " &amp; ( StartYear + 1 )</f>
        <v>2016 Surplus Applied to 2017</v>
      </c>
      <c r="C849" s="32"/>
      <c r="D849" s="203">
        <f>D833+D838-D844</f>
        <v>0</v>
      </c>
      <c r="E849" s="204">
        <f>D849</f>
        <v>0</v>
      </c>
      <c r="F849" s="199"/>
      <c r="G849" s="199"/>
      <c r="H849" s="200"/>
    </row>
    <row r="850" spans="1:9" x14ac:dyDescent="0.3">
      <c r="B850" s="64" t="str">
        <f xml:space="preserve"> ( StartYear + 1 ) &amp; " Surplus Applied to " &amp; ( StartYear )</f>
        <v>2017 Surplus Applied to 2016</v>
      </c>
      <c r="C850" s="59"/>
      <c r="D850" s="143">
        <v>0</v>
      </c>
      <c r="E850" s="9">
        <v>0</v>
      </c>
      <c r="F850" s="122"/>
      <c r="G850" s="122"/>
      <c r="H850" s="126"/>
    </row>
    <row r="851" spans="1:9" x14ac:dyDescent="0.3">
      <c r="B851" s="128" t="str">
        <f xml:space="preserve"> ( StartYear + 1 ) &amp; " Surplus Applied to " &amp; ( StartYear + 2 )</f>
        <v>2017 Surplus Applied to 2018</v>
      </c>
      <c r="C851" s="59"/>
      <c r="D851" s="123"/>
      <c r="E851" s="9">
        <v>0</v>
      </c>
      <c r="F851" s="58">
        <f>E851</f>
        <v>0</v>
      </c>
      <c r="G851" s="122"/>
      <c r="H851" s="126"/>
    </row>
    <row r="852" spans="1:9" x14ac:dyDescent="0.3">
      <c r="B852" s="128" t="str">
        <f xml:space="preserve"> ( StartYear + 2 ) &amp; " Surplus Applied to " &amp; ( StartYear + 1 )</f>
        <v>2018 Surplus Applied to 2017</v>
      </c>
      <c r="C852" s="59"/>
      <c r="D852" s="123"/>
      <c r="E852" s="58">
        <v>0</v>
      </c>
      <c r="F852" s="9">
        <v>0</v>
      </c>
      <c r="G852" s="122"/>
      <c r="H852" s="126"/>
    </row>
    <row r="853" spans="1:9" x14ac:dyDescent="0.3">
      <c r="B853" s="174" t="str">
        <f xml:space="preserve"> ( StartYear + 2 ) &amp; " Surplus Applied to " &amp; ( StartYear + 3 )</f>
        <v>2018 Surplus Applied to 2019</v>
      </c>
      <c r="C853" s="32"/>
      <c r="D853" s="123"/>
      <c r="E853" s="122"/>
      <c r="F853" s="9">
        <v>0</v>
      </c>
      <c r="G853" s="58">
        <f>F853</f>
        <v>0</v>
      </c>
      <c r="H853" s="126"/>
    </row>
    <row r="854" spans="1:9" x14ac:dyDescent="0.3">
      <c r="B854" s="174" t="str">
        <f xml:space="preserve"> ( StartYear + 3 ) &amp; " Surplus Applied to " &amp; ( StartYear + 2 )</f>
        <v>2019 Surplus Applied to 2018</v>
      </c>
      <c r="C854" s="32"/>
      <c r="D854" s="123"/>
      <c r="E854" s="122"/>
      <c r="F854" s="58">
        <v>0</v>
      </c>
      <c r="G854" s="9">
        <v>0</v>
      </c>
      <c r="H854" s="126"/>
    </row>
    <row r="855" spans="1:9" x14ac:dyDescent="0.3">
      <c r="B855" s="174" t="str">
        <f xml:space="preserve"> ( StartYear + 3 ) &amp; " Surplus Applied to " &amp; ( StartYear + 4 )</f>
        <v>2019 Surplus Applied to 2020</v>
      </c>
      <c r="C855" s="32"/>
      <c r="D855" s="123"/>
      <c r="E855" s="122"/>
      <c r="F855" s="122"/>
      <c r="G855" s="9">
        <f>G833+G838-G844</f>
        <v>15341</v>
      </c>
      <c r="H855" s="53">
        <f>G855</f>
        <v>15341</v>
      </c>
    </row>
    <row r="856" spans="1:9" x14ac:dyDescent="0.3">
      <c r="B856" s="174" t="str">
        <f xml:space="preserve"> ( StartYear + 4 ) &amp; " Surplus Applied to " &amp; ( StartYear + 3 )</f>
        <v>2020 Surplus Applied to 2019</v>
      </c>
      <c r="C856" s="32"/>
      <c r="D856" s="124"/>
      <c r="E856" s="125"/>
      <c r="F856" s="125"/>
      <c r="G856" s="54">
        <v>0</v>
      </c>
      <c r="H856" s="46">
        <v>0</v>
      </c>
    </row>
    <row r="857" spans="1:9" x14ac:dyDescent="0.3">
      <c r="B857" s="35" t="s">
        <v>17</v>
      </c>
      <c r="D857" s="6">
        <f>D847-D848+D850-D849</f>
        <v>0</v>
      </c>
      <c r="E857" s="6">
        <f>E849+E852-E850-E851</f>
        <v>0</v>
      </c>
      <c r="F857" s="6">
        <f>F851+F854-F852-F853</f>
        <v>0</v>
      </c>
      <c r="G857" s="6">
        <f>G853+G856-G854-G855</f>
        <v>-15341</v>
      </c>
      <c r="H857" s="6">
        <f>H855 - H856</f>
        <v>15341</v>
      </c>
    </row>
    <row r="858" spans="1:9" x14ac:dyDescent="0.3">
      <c r="B858" s="5"/>
      <c r="D858" s="6"/>
      <c r="E858" s="6"/>
      <c r="F858" s="6"/>
      <c r="G858" s="6"/>
      <c r="H858" s="6"/>
      <c r="I858" s="23"/>
    </row>
    <row r="859" spans="1:9" x14ac:dyDescent="0.3">
      <c r="B859" s="61" t="s">
        <v>12</v>
      </c>
      <c r="C859" s="59"/>
      <c r="D859" s="82"/>
      <c r="E859" s="120"/>
      <c r="F859" s="120"/>
      <c r="G859" s="120"/>
      <c r="H859" s="83"/>
      <c r="I859" s="23"/>
    </row>
    <row r="860" spans="1:9" x14ac:dyDescent="0.3">
      <c r="B860" s="5"/>
      <c r="D860" s="6"/>
      <c r="E860" s="6"/>
      <c r="F860" s="6"/>
      <c r="G860" s="6"/>
      <c r="H860" s="6"/>
      <c r="I860" s="23"/>
    </row>
    <row r="861" spans="1:9" ht="18.2" x14ac:dyDescent="0.35">
      <c r="A861" s="41" t="s">
        <v>26</v>
      </c>
      <c r="C861" s="59"/>
      <c r="D861" s="121">
        <f xml:space="preserve"> D833 + D838 - D844 + D857 + D859</f>
        <v>0</v>
      </c>
      <c r="E861" s="121">
        <f xml:space="preserve"> E833 + E838 - E844 + E857 + E859</f>
        <v>0</v>
      </c>
      <c r="F861" s="121">
        <f t="shared" ref="F861:H861" si="38" xml:space="preserve"> F833 + F838 - F844 + F857 + F859</f>
        <v>0</v>
      </c>
      <c r="G861" s="121">
        <f t="shared" si="38"/>
        <v>0</v>
      </c>
      <c r="H861" s="192">
        <f t="shared" si="38"/>
        <v>15341</v>
      </c>
      <c r="I861" s="31"/>
    </row>
    <row r="862" spans="1:9" x14ac:dyDescent="0.3">
      <c r="B862" s="5"/>
      <c r="C862" s="5" t="s">
        <v>169</v>
      </c>
      <c r="D862" s="6"/>
      <c r="E862" s="6"/>
      <c r="F862" s="31"/>
      <c r="G862" s="31"/>
      <c r="H862" s="31"/>
      <c r="I862" s="31"/>
    </row>
    <row r="863" spans="1:9" ht="15.65" thickBot="1" x14ac:dyDescent="0.35">
      <c r="I863" s="32"/>
    </row>
    <row r="864" spans="1:9" x14ac:dyDescent="0.3">
      <c r="A864" s="7"/>
      <c r="B864" s="7"/>
      <c r="C864" s="7"/>
      <c r="D864" s="179"/>
      <c r="E864" s="7"/>
      <c r="F864" s="7"/>
      <c r="G864" s="7"/>
      <c r="H864" s="7"/>
    </row>
    <row r="865" spans="1:9" x14ac:dyDescent="0.3">
      <c r="B865" s="32"/>
      <c r="C865" s="32"/>
      <c r="D865" s="22"/>
      <c r="E865" s="32"/>
      <c r="F865" s="32"/>
      <c r="G865" s="32"/>
      <c r="H865" s="32"/>
    </row>
    <row r="866" spans="1:9" ht="21.3" x14ac:dyDescent="0.4">
      <c r="A866" s="12" t="s">
        <v>4</v>
      </c>
      <c r="B866" s="12"/>
      <c r="C866" s="42" t="str">
        <f>B25</f>
        <v>Meadow Creek Wind Farm - Five Pine Project -- REC Only **</v>
      </c>
      <c r="D866" s="43"/>
      <c r="E866" s="22"/>
      <c r="F866" s="22"/>
      <c r="I866" s="24"/>
    </row>
    <row r="867" spans="1:9" x14ac:dyDescent="0.3">
      <c r="C867" s="22" t="s">
        <v>173</v>
      </c>
      <c r="I867" s="23"/>
    </row>
    <row r="868" spans="1:9" ht="18.2" x14ac:dyDescent="0.35">
      <c r="A868" s="8" t="s">
        <v>21</v>
      </c>
      <c r="B868" s="8"/>
      <c r="D868" s="127">
        <f>StartYear</f>
        <v>2016</v>
      </c>
      <c r="E868" s="2">
        <f>D868+1</f>
        <v>2017</v>
      </c>
      <c r="F868" s="2">
        <f>E868+1</f>
        <v>2018</v>
      </c>
      <c r="G868" s="2">
        <f>F868+1</f>
        <v>2019</v>
      </c>
      <c r="H868" s="2">
        <f>G868+1</f>
        <v>2020</v>
      </c>
      <c r="I868" s="23"/>
    </row>
    <row r="869" spans="1:9" x14ac:dyDescent="0.3">
      <c r="B869" s="64" t="str">
        <f>"Purchased from " &amp; C866</f>
        <v>Purchased from Meadow Creek Wind Farm - Five Pine Project -- REC Only **</v>
      </c>
      <c r="C869" s="59"/>
      <c r="D869" s="3"/>
      <c r="E869" s="3"/>
      <c r="F869" s="3"/>
      <c r="G869" s="3">
        <v>25276</v>
      </c>
      <c r="H869" s="4"/>
      <c r="I869" s="23"/>
    </row>
    <row r="870" spans="1:9" x14ac:dyDescent="0.3">
      <c r="B870" s="64" t="s">
        <v>25</v>
      </c>
      <c r="C870" s="59"/>
      <c r="D870" s="141"/>
      <c r="E870" s="141"/>
      <c r="F870" s="141"/>
      <c r="G870" s="141">
        <v>1</v>
      </c>
      <c r="H870" s="142"/>
      <c r="I870" s="23"/>
    </row>
    <row r="871" spans="1:9" x14ac:dyDescent="0.3">
      <c r="B871" s="64" t="s">
        <v>20</v>
      </c>
      <c r="C871" s="59"/>
      <c r="D871" s="47"/>
      <c r="E871" s="47"/>
      <c r="F871" s="47"/>
      <c r="G871" s="47">
        <v>1</v>
      </c>
      <c r="H871" s="48"/>
      <c r="I871" s="23"/>
    </row>
    <row r="872" spans="1:9" x14ac:dyDescent="0.3">
      <c r="B872" s="61" t="s">
        <v>22</v>
      </c>
      <c r="C872" s="62"/>
      <c r="D872" s="140">
        <f xml:space="preserve"> D869 * D870 * D871</f>
        <v>0</v>
      </c>
      <c r="E872" s="140">
        <f xml:space="preserve"> E869 * E870 * E871</f>
        <v>0</v>
      </c>
      <c r="F872" s="140">
        <f t="shared" ref="F872" si="39" xml:space="preserve"> ROUNDDOWN(F869 * F870 * F871,0)</f>
        <v>0</v>
      </c>
      <c r="G872" s="140">
        <f t="shared" ref="G872" si="40" xml:space="preserve"> ROUNDDOWN(G869 * G870 * G871,0)</f>
        <v>25276</v>
      </c>
      <c r="H872" s="140">
        <f t="shared" ref="H872" si="41" xml:space="preserve"> ROUNDDOWN(H869 * H870 * H871,0)</f>
        <v>0</v>
      </c>
      <c r="I872" s="23"/>
    </row>
    <row r="873" spans="1:9" x14ac:dyDescent="0.3">
      <c r="B873" s="22"/>
      <c r="C873" s="32"/>
      <c r="D873" s="39"/>
      <c r="E873" s="39"/>
      <c r="F873" s="39"/>
      <c r="G873" s="176"/>
      <c r="H873" s="39"/>
      <c r="I873" s="23"/>
    </row>
    <row r="874" spans="1:9" ht="18.2" x14ac:dyDescent="0.35">
      <c r="A874" s="44" t="s">
        <v>119</v>
      </c>
      <c r="C874" s="32"/>
      <c r="D874" s="2">
        <f>StartYear</f>
        <v>2016</v>
      </c>
      <c r="E874" s="2">
        <f>D874+1</f>
        <v>2017</v>
      </c>
      <c r="F874" s="2">
        <f>E874+1</f>
        <v>2018</v>
      </c>
      <c r="G874" s="2">
        <f>F874+1</f>
        <v>2019</v>
      </c>
      <c r="H874" s="2">
        <f>G874+1</f>
        <v>2020</v>
      </c>
      <c r="I874" s="31"/>
    </row>
    <row r="875" spans="1:9" x14ac:dyDescent="0.3">
      <c r="B875" s="64" t="s">
        <v>10</v>
      </c>
      <c r="C875" s="59"/>
      <c r="D875" s="10">
        <f>IF( $E453 = "Eligible", D872 * 'Facility Detail'!$B$1614, 0 )</f>
        <v>0</v>
      </c>
      <c r="E875" s="118">
        <f>IF( $E453 = "Eligible", E872 * 'Facility Detail'!$B$1614, 0 )</f>
        <v>0</v>
      </c>
      <c r="F875" s="118">
        <f>IF( $E453 = "Eligible", F872 * 'Facility Detail'!$B$1614, 0 )</f>
        <v>0</v>
      </c>
      <c r="G875" s="118">
        <f>IF( $E453 = "Eligible", G872 * 'Facility Detail'!$B$1614, 0 )</f>
        <v>0</v>
      </c>
      <c r="H875" s="11">
        <f>IF( $E453 = "Eligible", H872 * 'Facility Detail'!$B$1614, 0 )</f>
        <v>0</v>
      </c>
    </row>
    <row r="876" spans="1:9" x14ac:dyDescent="0.3">
      <c r="B876" s="64" t="s">
        <v>6</v>
      </c>
      <c r="C876" s="59"/>
      <c r="D876" s="51">
        <f>IF( $F453 = "Eligible", D872, 0 )</f>
        <v>0</v>
      </c>
      <c r="E876" s="119">
        <f>IF( $F453 = "Eligible", E872, 0 )</f>
        <v>0</v>
      </c>
      <c r="F876" s="119">
        <f>IF( $F453 = "Eligible", F872, 0 )</f>
        <v>0</v>
      </c>
      <c r="G876" s="119">
        <f>IF( $F453 = "Eligible", G872, 0 )</f>
        <v>0</v>
      </c>
      <c r="H876" s="52">
        <f>IF( $F453 = "Eligible", H872, 0 )</f>
        <v>0</v>
      </c>
    </row>
    <row r="877" spans="1:9" x14ac:dyDescent="0.3">
      <c r="B877" s="63" t="s">
        <v>121</v>
      </c>
      <c r="C877" s="62"/>
      <c r="D877" s="40">
        <f>SUM(D875:D876)</f>
        <v>0</v>
      </c>
      <c r="E877" s="40">
        <f>SUM(E875:E876)</f>
        <v>0</v>
      </c>
      <c r="F877" s="40">
        <f>SUM(F875:F876)</f>
        <v>0</v>
      </c>
      <c r="G877" s="40">
        <f>SUM(G875:G876)</f>
        <v>0</v>
      </c>
      <c r="H877" s="40">
        <f>SUM(H875:H876)</f>
        <v>0</v>
      </c>
    </row>
    <row r="878" spans="1:9" x14ac:dyDescent="0.3">
      <c r="B878" s="32"/>
      <c r="C878" s="32"/>
      <c r="D878" s="33"/>
      <c r="E878" s="33"/>
      <c r="F878" s="33"/>
      <c r="G878" s="178"/>
      <c r="H878" s="33"/>
    </row>
    <row r="879" spans="1:9" ht="18.2" x14ac:dyDescent="0.35">
      <c r="A879" s="41" t="s">
        <v>30</v>
      </c>
      <c r="C879" s="32"/>
      <c r="D879" s="2">
        <f>StartYear</f>
        <v>2016</v>
      </c>
      <c r="E879" s="2">
        <f>D879+1</f>
        <v>2017</v>
      </c>
      <c r="F879" s="2">
        <f>E879+1</f>
        <v>2018</v>
      </c>
      <c r="G879" s="2">
        <f>F879+1</f>
        <v>2019</v>
      </c>
      <c r="H879" s="2">
        <f>G879+1</f>
        <v>2020</v>
      </c>
    </row>
    <row r="880" spans="1:9" x14ac:dyDescent="0.3">
      <c r="B880" s="64" t="s">
        <v>47</v>
      </c>
      <c r="C880" s="59"/>
      <c r="D880" s="3"/>
      <c r="E880" s="3"/>
      <c r="F880" s="3"/>
      <c r="G880" s="3"/>
      <c r="H880" s="4"/>
    </row>
    <row r="881" spans="1:8" x14ac:dyDescent="0.3">
      <c r="B881" s="65" t="s">
        <v>23</v>
      </c>
      <c r="C881" s="66"/>
      <c r="D881" s="146"/>
      <c r="E881" s="146"/>
      <c r="F881" s="146"/>
      <c r="G881" s="146"/>
      <c r="H881" s="147"/>
    </row>
    <row r="882" spans="1:8" x14ac:dyDescent="0.3">
      <c r="B882" s="75" t="s">
        <v>89</v>
      </c>
      <c r="C882" s="74"/>
      <c r="D882" s="213"/>
      <c r="E882" s="148"/>
      <c r="F882" s="148"/>
      <c r="G882" s="148"/>
      <c r="H882" s="149"/>
    </row>
    <row r="883" spans="1:8" x14ac:dyDescent="0.3">
      <c r="B883" s="35" t="s">
        <v>90</v>
      </c>
      <c r="D883" s="6">
        <f>SUM(D880:D882)</f>
        <v>0</v>
      </c>
      <c r="E883" s="6">
        <f>SUM(E880:E882)</f>
        <v>0</v>
      </c>
      <c r="F883" s="6">
        <f>SUM(F880:F882)</f>
        <v>0</v>
      </c>
      <c r="G883" s="6">
        <f t="shared" ref="G883" si="42">SUM(G880:G882)</f>
        <v>0</v>
      </c>
      <c r="H883" s="6">
        <f t="shared" ref="H883" si="43">SUM(H880:H882)</f>
        <v>0</v>
      </c>
    </row>
    <row r="884" spans="1:8" x14ac:dyDescent="0.3">
      <c r="B884" s="5"/>
      <c r="D884" s="6"/>
      <c r="E884" s="6"/>
      <c r="F884" s="6"/>
      <c r="G884" s="176"/>
      <c r="H884" s="6"/>
    </row>
    <row r="885" spans="1:8" ht="18.2" x14ac:dyDescent="0.35">
      <c r="A885" s="8" t="s">
        <v>100</v>
      </c>
      <c r="D885" s="2">
        <f>StartYear</f>
        <v>2016</v>
      </c>
      <c r="E885" s="2">
        <f>D885+1</f>
        <v>2017</v>
      </c>
      <c r="F885" s="2">
        <f>E885+1</f>
        <v>2018</v>
      </c>
      <c r="G885" s="2">
        <f>F885+1</f>
        <v>2019</v>
      </c>
      <c r="H885" s="2">
        <f>G885+1</f>
        <v>2020</v>
      </c>
    </row>
    <row r="886" spans="1:8" x14ac:dyDescent="0.3">
      <c r="B886" s="64" t="str">
        <f>(StartYear-1) &amp; " Surplus Applied to " &amp; StartYear</f>
        <v>2015 Surplus Applied to 2016</v>
      </c>
      <c r="C886" s="32"/>
      <c r="D886" s="205">
        <v>0</v>
      </c>
      <c r="E886" s="206"/>
      <c r="F886" s="206"/>
      <c r="G886" s="206"/>
      <c r="H886" s="207"/>
    </row>
    <row r="887" spans="1:8" x14ac:dyDescent="0.3">
      <c r="B887" s="64" t="str">
        <f>StartYear &amp; " Surplus Applied to " &amp; (StartYear-1)</f>
        <v>2016 Surplus Applied to 2015</v>
      </c>
      <c r="C887" s="32"/>
      <c r="D887" s="208">
        <v>0</v>
      </c>
      <c r="E887" s="122"/>
      <c r="F887" s="122"/>
      <c r="G887" s="122"/>
      <c r="H887" s="126"/>
    </row>
    <row r="888" spans="1:8" x14ac:dyDescent="0.3">
      <c r="B888" s="64" t="str">
        <f>( StartYear) &amp; " Surplus Applied to " &amp; ( StartYear + 1 )</f>
        <v>2016 Surplus Applied to 2017</v>
      </c>
      <c r="C888" s="32"/>
      <c r="D888" s="203">
        <f>D872+D877-D883</f>
        <v>0</v>
      </c>
      <c r="E888" s="204">
        <f>D888</f>
        <v>0</v>
      </c>
      <c r="F888" s="199"/>
      <c r="G888" s="199"/>
      <c r="H888" s="200"/>
    </row>
    <row r="889" spans="1:8" x14ac:dyDescent="0.3">
      <c r="B889" s="64" t="str">
        <f xml:space="preserve"> ( StartYear + 1 ) &amp; " Surplus Applied to " &amp; ( StartYear )</f>
        <v>2017 Surplus Applied to 2016</v>
      </c>
      <c r="C889" s="59"/>
      <c r="D889" s="143">
        <v>0</v>
      </c>
      <c r="E889" s="9">
        <v>0</v>
      </c>
      <c r="F889" s="122"/>
      <c r="G889" s="122"/>
      <c r="H889" s="126"/>
    </row>
    <row r="890" spans="1:8" x14ac:dyDescent="0.3">
      <c r="B890" s="128" t="str">
        <f xml:space="preserve"> ( StartYear + 1 ) &amp; " Surplus Applied to " &amp; ( StartYear + 2 )</f>
        <v>2017 Surplus Applied to 2018</v>
      </c>
      <c r="C890" s="59"/>
      <c r="D890" s="123"/>
      <c r="E890" s="9">
        <v>0</v>
      </c>
      <c r="F890" s="58">
        <f>E890</f>
        <v>0</v>
      </c>
      <c r="G890" s="122"/>
      <c r="H890" s="126"/>
    </row>
    <row r="891" spans="1:8" x14ac:dyDescent="0.3">
      <c r="B891" s="128" t="str">
        <f xml:space="preserve"> ( StartYear + 2 ) &amp; " Surplus Applied to " &amp; ( StartYear + 1 )</f>
        <v>2018 Surplus Applied to 2017</v>
      </c>
      <c r="C891" s="59"/>
      <c r="D891" s="123"/>
      <c r="E891" s="58">
        <v>0</v>
      </c>
      <c r="F891" s="9">
        <v>0</v>
      </c>
      <c r="G891" s="122"/>
      <c r="H891" s="126"/>
    </row>
    <row r="892" spans="1:8" x14ac:dyDescent="0.3">
      <c r="B892" s="174" t="str">
        <f xml:space="preserve"> ( StartYear + 2 ) &amp; " Surplus Applied to " &amp; ( StartYear + 3 )</f>
        <v>2018 Surplus Applied to 2019</v>
      </c>
      <c r="C892" s="32"/>
      <c r="D892" s="123"/>
      <c r="E892" s="122"/>
      <c r="F892" s="9">
        <v>0</v>
      </c>
      <c r="G892" s="58">
        <f>F892</f>
        <v>0</v>
      </c>
      <c r="H892" s="126"/>
    </row>
    <row r="893" spans="1:8" x14ac:dyDescent="0.3">
      <c r="B893" s="174" t="str">
        <f xml:space="preserve"> ( StartYear + 3 ) &amp; " Surplus Applied to " &amp; ( StartYear + 2 )</f>
        <v>2019 Surplus Applied to 2018</v>
      </c>
      <c r="C893" s="32"/>
      <c r="D893" s="123"/>
      <c r="E893" s="122"/>
      <c r="F893" s="58">
        <v>0</v>
      </c>
      <c r="G893" s="9">
        <v>0</v>
      </c>
      <c r="H893" s="126"/>
    </row>
    <row r="894" spans="1:8" x14ac:dyDescent="0.3">
      <c r="B894" s="174" t="str">
        <f xml:space="preserve"> ( StartYear + 3 ) &amp; " Surplus Applied to " &amp; ( StartYear + 4 )</f>
        <v>2019 Surplus Applied to 2020</v>
      </c>
      <c r="C894" s="32"/>
      <c r="D894" s="123"/>
      <c r="E894" s="122"/>
      <c r="F894" s="122"/>
      <c r="G894" s="9">
        <f>G872+G877-G883</f>
        <v>25276</v>
      </c>
      <c r="H894" s="53">
        <f>G894</f>
        <v>25276</v>
      </c>
    </row>
    <row r="895" spans="1:8" x14ac:dyDescent="0.3">
      <c r="B895" s="174" t="str">
        <f xml:space="preserve"> ( StartYear + 4 ) &amp; " Surplus Applied to " &amp; ( StartYear + 3 )</f>
        <v>2020 Surplus Applied to 2019</v>
      </c>
      <c r="C895" s="32"/>
      <c r="D895" s="124"/>
      <c r="E895" s="125"/>
      <c r="F895" s="125"/>
      <c r="G895" s="54">
        <v>0</v>
      </c>
      <c r="H895" s="46">
        <v>0</v>
      </c>
    </row>
    <row r="896" spans="1:8" x14ac:dyDescent="0.3">
      <c r="B896" s="35" t="s">
        <v>17</v>
      </c>
      <c r="D896" s="6">
        <f>D886-D887+D889-D888</f>
        <v>0</v>
      </c>
      <c r="E896" s="6">
        <f>E888+E891-E889-E890</f>
        <v>0</v>
      </c>
      <c r="F896" s="6">
        <f>F890+F893-F891-F892</f>
        <v>0</v>
      </c>
      <c r="G896" s="6">
        <f>G892+G895-G893-G894</f>
        <v>-25276</v>
      </c>
      <c r="H896" s="6">
        <f>H894 - H895</f>
        <v>25276</v>
      </c>
    </row>
    <row r="897" spans="1:8" x14ac:dyDescent="0.3">
      <c r="B897" s="5"/>
      <c r="D897" s="6"/>
      <c r="E897" s="6"/>
      <c r="F897" s="6"/>
      <c r="G897" s="6"/>
      <c r="H897" s="6"/>
    </row>
    <row r="898" spans="1:8" x14ac:dyDescent="0.3">
      <c r="B898" s="61" t="s">
        <v>12</v>
      </c>
      <c r="C898" s="59"/>
      <c r="D898" s="82"/>
      <c r="E898" s="120"/>
      <c r="F898" s="120"/>
      <c r="G898" s="120"/>
      <c r="H898" s="83"/>
    </row>
    <row r="899" spans="1:8" x14ac:dyDescent="0.3">
      <c r="B899" s="5"/>
      <c r="D899" s="6"/>
      <c r="E899" s="6"/>
      <c r="F899" s="6"/>
      <c r="G899" s="6"/>
      <c r="H899" s="6"/>
    </row>
    <row r="900" spans="1:8" ht="18.2" x14ac:dyDescent="0.35">
      <c r="A900" s="41" t="s">
        <v>26</v>
      </c>
      <c r="C900" s="59"/>
      <c r="D900" s="121">
        <f xml:space="preserve"> D872 + D877 - D883 + D896 + D898</f>
        <v>0</v>
      </c>
      <c r="E900" s="121">
        <f xml:space="preserve"> E872 + E877 - E883 + E896 + E898</f>
        <v>0</v>
      </c>
      <c r="F900" s="121">
        <f t="shared" ref="F900:H900" si="44" xml:space="preserve"> F872 + F877 - F883 + F896 + F898</f>
        <v>0</v>
      </c>
      <c r="G900" s="121">
        <f t="shared" si="44"/>
        <v>0</v>
      </c>
      <c r="H900" s="192">
        <f t="shared" si="44"/>
        <v>25276</v>
      </c>
    </row>
    <row r="901" spans="1:8" x14ac:dyDescent="0.3">
      <c r="B901" s="5"/>
      <c r="C901" s="5" t="s">
        <v>169</v>
      </c>
      <c r="D901" s="6"/>
      <c r="E901" s="6"/>
      <c r="F901" s="31"/>
      <c r="G901" s="31"/>
      <c r="H901" s="31"/>
    </row>
    <row r="902" spans="1:8" ht="15.65" thickBot="1" x14ac:dyDescent="0.35"/>
    <row r="903" spans="1:8" x14ac:dyDescent="0.3">
      <c r="A903" s="7"/>
      <c r="B903" s="7"/>
      <c r="C903" s="7"/>
      <c r="D903" s="179"/>
      <c r="E903" s="7"/>
      <c r="F903" s="7"/>
      <c r="G903" s="7"/>
      <c r="H903" s="7"/>
    </row>
    <row r="904" spans="1:8" x14ac:dyDescent="0.3">
      <c r="B904" s="32"/>
      <c r="C904" s="32"/>
      <c r="D904" s="22"/>
      <c r="E904" s="32"/>
      <c r="F904" s="32"/>
      <c r="G904" s="32"/>
      <c r="H904" s="32"/>
    </row>
    <row r="905" spans="1:8" ht="21.3" x14ac:dyDescent="0.4">
      <c r="A905" s="12" t="s">
        <v>4</v>
      </c>
      <c r="B905" s="12"/>
      <c r="C905" s="42" t="str">
        <f>B26</f>
        <v>Meadow Creek Wind Farm - North Point Wind Farm -- REC Only **</v>
      </c>
      <c r="D905" s="43"/>
      <c r="E905" s="22"/>
      <c r="F905" s="22"/>
    </row>
    <row r="906" spans="1:8" x14ac:dyDescent="0.3">
      <c r="C906" s="22" t="s">
        <v>173</v>
      </c>
    </row>
    <row r="907" spans="1:8" ht="18.2" x14ac:dyDescent="0.35">
      <c r="A907" s="8" t="s">
        <v>21</v>
      </c>
      <c r="B907" s="8"/>
      <c r="D907" s="127">
        <f>StartYear</f>
        <v>2016</v>
      </c>
      <c r="E907" s="2">
        <f>D907+1</f>
        <v>2017</v>
      </c>
      <c r="F907" s="2">
        <f>E907+1</f>
        <v>2018</v>
      </c>
      <c r="G907" s="2">
        <f>F907+1</f>
        <v>2019</v>
      </c>
      <c r="H907" s="2">
        <f>G907+1</f>
        <v>2020</v>
      </c>
    </row>
    <row r="908" spans="1:8" x14ac:dyDescent="0.3">
      <c r="B908" s="64" t="str">
        <f>"Purchased from " &amp; C905</f>
        <v>Purchased from Meadow Creek Wind Farm - North Point Wind Farm -- REC Only **</v>
      </c>
      <c r="C908" s="59"/>
      <c r="D908" s="3"/>
      <c r="E908" s="3"/>
      <c r="F908" s="3"/>
      <c r="G908" s="3">
        <v>49724</v>
      </c>
      <c r="H908" s="4"/>
    </row>
    <row r="909" spans="1:8" x14ac:dyDescent="0.3">
      <c r="B909" s="64" t="s">
        <v>25</v>
      </c>
      <c r="C909" s="59"/>
      <c r="D909" s="141"/>
      <c r="E909" s="141"/>
      <c r="F909" s="141"/>
      <c r="G909" s="141">
        <v>1</v>
      </c>
      <c r="H909" s="142"/>
    </row>
    <row r="910" spans="1:8" x14ac:dyDescent="0.3">
      <c r="B910" s="64" t="s">
        <v>20</v>
      </c>
      <c r="C910" s="59"/>
      <c r="D910" s="47"/>
      <c r="E910" s="47"/>
      <c r="F910" s="47"/>
      <c r="G910" s="47">
        <v>1</v>
      </c>
      <c r="H910" s="48"/>
    </row>
    <row r="911" spans="1:8" x14ac:dyDescent="0.3">
      <c r="B911" s="61" t="s">
        <v>22</v>
      </c>
      <c r="C911" s="62"/>
      <c r="D911" s="140">
        <f xml:space="preserve"> D908 * D909 * D910</f>
        <v>0</v>
      </c>
      <c r="E911" s="140">
        <f xml:space="preserve"> E908 * E909 * E910</f>
        <v>0</v>
      </c>
      <c r="F911" s="140">
        <f t="shared" ref="F911" si="45" xml:space="preserve"> ROUNDDOWN(F908 * F909 * F910,0)</f>
        <v>0</v>
      </c>
      <c r="G911" s="140">
        <f t="shared" ref="G911" si="46" xml:space="preserve"> ROUNDDOWN(G908 * G909 * G910,0)</f>
        <v>49724</v>
      </c>
      <c r="H911" s="140">
        <f t="shared" ref="H911" si="47" xml:space="preserve"> ROUNDDOWN(H908 * H909 * H910,0)</f>
        <v>0</v>
      </c>
    </row>
    <row r="912" spans="1:8" x14ac:dyDescent="0.3">
      <c r="B912" s="22"/>
      <c r="C912" s="32"/>
      <c r="D912" s="39"/>
      <c r="E912" s="39"/>
      <c r="F912" s="39"/>
      <c r="G912" s="176"/>
      <c r="H912" s="39"/>
    </row>
    <row r="913" spans="1:8" ht="18.2" x14ac:dyDescent="0.35">
      <c r="A913" s="44" t="s">
        <v>119</v>
      </c>
      <c r="C913" s="32"/>
      <c r="D913" s="2">
        <f>StartYear</f>
        <v>2016</v>
      </c>
      <c r="E913" s="2">
        <f>D913+1</f>
        <v>2017</v>
      </c>
      <c r="F913" s="2">
        <f>E913+1</f>
        <v>2018</v>
      </c>
      <c r="G913" s="2">
        <f>F913+1</f>
        <v>2019</v>
      </c>
      <c r="H913" s="2">
        <f>G913+1</f>
        <v>2020</v>
      </c>
    </row>
    <row r="914" spans="1:8" x14ac:dyDescent="0.3">
      <c r="B914" s="64" t="s">
        <v>10</v>
      </c>
      <c r="C914" s="59"/>
      <c r="D914" s="10">
        <f>IF( $E492 = "Eligible", D911 * 'Facility Detail'!$B$1614, 0 )</f>
        <v>0</v>
      </c>
      <c r="E914" s="118">
        <f>IF( $E492 = "Eligible", E911 * 'Facility Detail'!$B$1614, 0 )</f>
        <v>0</v>
      </c>
      <c r="F914" s="118">
        <f>IF( $E492 = "Eligible", F911 * 'Facility Detail'!$B$1614, 0 )</f>
        <v>0</v>
      </c>
      <c r="G914" s="118">
        <f>IF( $E492 = "Eligible", G911 * 'Facility Detail'!$B$1614, 0 )</f>
        <v>0</v>
      </c>
      <c r="H914" s="11">
        <f>IF( $E492 = "Eligible", H911 * 'Facility Detail'!$B$1614, 0 )</f>
        <v>0</v>
      </c>
    </row>
    <row r="915" spans="1:8" x14ac:dyDescent="0.3">
      <c r="B915" s="64" t="s">
        <v>6</v>
      </c>
      <c r="C915" s="59"/>
      <c r="D915" s="51">
        <f>IF( $F492 = "Eligible", D911, 0 )</f>
        <v>0</v>
      </c>
      <c r="E915" s="119">
        <f>IF( $F492 = "Eligible", E911, 0 )</f>
        <v>0</v>
      </c>
      <c r="F915" s="119">
        <f>IF( $F492 = "Eligible", F911, 0 )</f>
        <v>0</v>
      </c>
      <c r="G915" s="119">
        <f>IF( $F492 = "Eligible", G911, 0 )</f>
        <v>0</v>
      </c>
      <c r="H915" s="52">
        <f>IF( $F492 = "Eligible", H911, 0 )</f>
        <v>0</v>
      </c>
    </row>
    <row r="916" spans="1:8" x14ac:dyDescent="0.3">
      <c r="B916" s="63" t="s">
        <v>121</v>
      </c>
      <c r="C916" s="62"/>
      <c r="D916" s="40">
        <f>SUM(D914:D915)</f>
        <v>0</v>
      </c>
      <c r="E916" s="40">
        <f>SUM(E914:E915)</f>
        <v>0</v>
      </c>
      <c r="F916" s="40">
        <f>SUM(F914:F915)</f>
        <v>0</v>
      </c>
      <c r="G916" s="40">
        <f>SUM(G914:G915)</f>
        <v>0</v>
      </c>
      <c r="H916" s="40">
        <f>SUM(H914:H915)</f>
        <v>0</v>
      </c>
    </row>
    <row r="917" spans="1:8" x14ac:dyDescent="0.3">
      <c r="B917" s="32"/>
      <c r="C917" s="32"/>
      <c r="D917" s="33"/>
      <c r="E917" s="33"/>
      <c r="F917" s="33"/>
      <c r="G917" s="178"/>
      <c r="H917" s="33"/>
    </row>
    <row r="918" spans="1:8" ht="18.2" x14ac:dyDescent="0.35">
      <c r="A918" s="41" t="s">
        <v>30</v>
      </c>
      <c r="C918" s="32"/>
      <c r="D918" s="2">
        <f>StartYear</f>
        <v>2016</v>
      </c>
      <c r="E918" s="2">
        <f>D918+1</f>
        <v>2017</v>
      </c>
      <c r="F918" s="2">
        <f>E918+1</f>
        <v>2018</v>
      </c>
      <c r="G918" s="2">
        <f>F918+1</f>
        <v>2019</v>
      </c>
      <c r="H918" s="2">
        <f>G918+1</f>
        <v>2020</v>
      </c>
    </row>
    <row r="919" spans="1:8" x14ac:dyDescent="0.3">
      <c r="B919" s="64" t="s">
        <v>47</v>
      </c>
      <c r="C919" s="59"/>
      <c r="D919" s="3"/>
      <c r="E919" s="3"/>
      <c r="F919" s="3"/>
      <c r="G919" s="3"/>
      <c r="H919" s="4"/>
    </row>
    <row r="920" spans="1:8" x14ac:dyDescent="0.3">
      <c r="B920" s="65" t="s">
        <v>23</v>
      </c>
      <c r="C920" s="66"/>
      <c r="D920" s="146"/>
      <c r="E920" s="146"/>
      <c r="F920" s="146"/>
      <c r="G920" s="146"/>
      <c r="H920" s="147"/>
    </row>
    <row r="921" spans="1:8" x14ac:dyDescent="0.3">
      <c r="B921" s="75" t="s">
        <v>89</v>
      </c>
      <c r="C921" s="74"/>
      <c r="D921" s="213"/>
      <c r="E921" s="148"/>
      <c r="F921" s="148"/>
      <c r="G921" s="148"/>
      <c r="H921" s="149"/>
    </row>
    <row r="922" spans="1:8" x14ac:dyDescent="0.3">
      <c r="B922" s="35" t="s">
        <v>90</v>
      </c>
      <c r="D922" s="6">
        <f>SUM(D919:D921)</f>
        <v>0</v>
      </c>
      <c r="E922" s="6">
        <f>SUM(E919:E921)</f>
        <v>0</v>
      </c>
      <c r="F922" s="6">
        <f>SUM(F919:F921)</f>
        <v>0</v>
      </c>
      <c r="G922" s="6">
        <f t="shared" ref="G922" si="48">SUM(G919:G921)</f>
        <v>0</v>
      </c>
      <c r="H922" s="6">
        <f t="shared" ref="H922" si="49">SUM(H919:H921)</f>
        <v>0</v>
      </c>
    </row>
    <row r="923" spans="1:8" x14ac:dyDescent="0.3">
      <c r="B923" s="5"/>
      <c r="D923" s="6"/>
      <c r="E923" s="6"/>
      <c r="F923" s="6"/>
      <c r="G923" s="176"/>
      <c r="H923" s="6"/>
    </row>
    <row r="924" spans="1:8" ht="18.2" x14ac:dyDescent="0.35">
      <c r="A924" s="8" t="s">
        <v>100</v>
      </c>
      <c r="D924" s="2">
        <f>StartYear</f>
        <v>2016</v>
      </c>
      <c r="E924" s="2">
        <f>D924+1</f>
        <v>2017</v>
      </c>
      <c r="F924" s="2">
        <f>E924+1</f>
        <v>2018</v>
      </c>
      <c r="G924" s="2">
        <f>F924+1</f>
        <v>2019</v>
      </c>
      <c r="H924" s="2">
        <f>G924+1</f>
        <v>2020</v>
      </c>
    </row>
    <row r="925" spans="1:8" x14ac:dyDescent="0.3">
      <c r="B925" s="64" t="str">
        <f>(StartYear-1) &amp; " Surplus Applied to " &amp; StartYear</f>
        <v>2015 Surplus Applied to 2016</v>
      </c>
      <c r="C925" s="32"/>
      <c r="D925" s="205">
        <v>0</v>
      </c>
      <c r="E925" s="206"/>
      <c r="F925" s="206"/>
      <c r="G925" s="206"/>
      <c r="H925" s="207"/>
    </row>
    <row r="926" spans="1:8" x14ac:dyDescent="0.3">
      <c r="B926" s="64" t="str">
        <f>StartYear &amp; " Surplus Applied to " &amp; (StartYear-1)</f>
        <v>2016 Surplus Applied to 2015</v>
      </c>
      <c r="C926" s="32"/>
      <c r="D926" s="208">
        <v>0</v>
      </c>
      <c r="E926" s="122"/>
      <c r="F926" s="122"/>
      <c r="G926" s="122"/>
      <c r="H926" s="126"/>
    </row>
    <row r="927" spans="1:8" x14ac:dyDescent="0.3">
      <c r="B927" s="64" t="str">
        <f>( StartYear) &amp; " Surplus Applied to " &amp; ( StartYear + 1 )</f>
        <v>2016 Surplus Applied to 2017</v>
      </c>
      <c r="C927" s="32"/>
      <c r="D927" s="203">
        <f>D911+D916-D922</f>
        <v>0</v>
      </c>
      <c r="E927" s="204">
        <f>D927</f>
        <v>0</v>
      </c>
      <c r="F927" s="199"/>
      <c r="G927" s="199"/>
      <c r="H927" s="200"/>
    </row>
    <row r="928" spans="1:8" x14ac:dyDescent="0.3">
      <c r="B928" s="64" t="str">
        <f xml:space="preserve"> ( StartYear + 1 ) &amp; " Surplus Applied to " &amp; ( StartYear )</f>
        <v>2017 Surplus Applied to 2016</v>
      </c>
      <c r="C928" s="59"/>
      <c r="D928" s="143">
        <v>0</v>
      </c>
      <c r="E928" s="9">
        <v>0</v>
      </c>
      <c r="F928" s="122"/>
      <c r="G928" s="122"/>
      <c r="H928" s="126"/>
    </row>
    <row r="929" spans="1:8" x14ac:dyDescent="0.3">
      <c r="B929" s="128" t="str">
        <f xml:space="preserve"> ( StartYear + 1 ) &amp; " Surplus Applied to " &amp; ( StartYear + 2 )</f>
        <v>2017 Surplus Applied to 2018</v>
      </c>
      <c r="C929" s="59"/>
      <c r="D929" s="123"/>
      <c r="E929" s="9">
        <v>0</v>
      </c>
      <c r="F929" s="58">
        <f>E929</f>
        <v>0</v>
      </c>
      <c r="G929" s="122"/>
      <c r="H929" s="126"/>
    </row>
    <row r="930" spans="1:8" x14ac:dyDescent="0.3">
      <c r="B930" s="128" t="str">
        <f xml:space="preserve"> ( StartYear + 2 ) &amp; " Surplus Applied to " &amp; ( StartYear + 1 )</f>
        <v>2018 Surplus Applied to 2017</v>
      </c>
      <c r="C930" s="59"/>
      <c r="D930" s="123"/>
      <c r="E930" s="58">
        <v>0</v>
      </c>
      <c r="F930" s="9">
        <v>0</v>
      </c>
      <c r="G930" s="122"/>
      <c r="H930" s="126"/>
    </row>
    <row r="931" spans="1:8" x14ac:dyDescent="0.3">
      <c r="B931" s="174" t="str">
        <f xml:space="preserve"> ( StartYear + 2 ) &amp; " Surplus Applied to " &amp; ( StartYear + 3 )</f>
        <v>2018 Surplus Applied to 2019</v>
      </c>
      <c r="C931" s="32"/>
      <c r="D931" s="123"/>
      <c r="E931" s="122"/>
      <c r="F931" s="9">
        <v>0</v>
      </c>
      <c r="G931" s="58">
        <f>F931</f>
        <v>0</v>
      </c>
      <c r="H931" s="126"/>
    </row>
    <row r="932" spans="1:8" x14ac:dyDescent="0.3">
      <c r="B932" s="174" t="str">
        <f xml:space="preserve"> ( StartYear + 3 ) &amp; " Surplus Applied to " &amp; ( StartYear + 2 )</f>
        <v>2019 Surplus Applied to 2018</v>
      </c>
      <c r="C932" s="32"/>
      <c r="D932" s="123"/>
      <c r="E932" s="122"/>
      <c r="F932" s="58">
        <v>0</v>
      </c>
      <c r="G932" s="9">
        <v>0</v>
      </c>
      <c r="H932" s="126"/>
    </row>
    <row r="933" spans="1:8" x14ac:dyDescent="0.3">
      <c r="B933" s="174" t="str">
        <f xml:space="preserve"> ( StartYear + 3 ) &amp; " Surplus Applied to " &amp; ( StartYear + 4 )</f>
        <v>2019 Surplus Applied to 2020</v>
      </c>
      <c r="C933" s="32"/>
      <c r="D933" s="123"/>
      <c r="E933" s="122"/>
      <c r="F933" s="122"/>
      <c r="G933" s="9">
        <f>G911+G916-G922</f>
        <v>49724</v>
      </c>
      <c r="H933" s="53">
        <f>G933</f>
        <v>49724</v>
      </c>
    </row>
    <row r="934" spans="1:8" x14ac:dyDescent="0.3">
      <c r="B934" s="174" t="str">
        <f xml:space="preserve"> ( StartYear + 4 ) &amp; " Surplus Applied to " &amp; ( StartYear + 3 )</f>
        <v>2020 Surplus Applied to 2019</v>
      </c>
      <c r="C934" s="32"/>
      <c r="D934" s="124"/>
      <c r="E934" s="125"/>
      <c r="F934" s="125"/>
      <c r="G934" s="54">
        <v>0</v>
      </c>
      <c r="H934" s="46">
        <v>0</v>
      </c>
    </row>
    <row r="935" spans="1:8" x14ac:dyDescent="0.3">
      <c r="B935" s="35" t="s">
        <v>17</v>
      </c>
      <c r="D935" s="6">
        <f>D925-D926+D928-D927</f>
        <v>0</v>
      </c>
      <c r="E935" s="6">
        <f>E927+E930-E928-E929</f>
        <v>0</v>
      </c>
      <c r="F935" s="6">
        <f>F929+F932-F930-F931</f>
        <v>0</v>
      </c>
      <c r="G935" s="6">
        <f>G931+G934-G932-G933</f>
        <v>-49724</v>
      </c>
      <c r="H935" s="6">
        <f>H933 - H934</f>
        <v>49724</v>
      </c>
    </row>
    <row r="936" spans="1:8" x14ac:dyDescent="0.3">
      <c r="B936" s="5"/>
      <c r="D936" s="6"/>
      <c r="E936" s="6"/>
      <c r="F936" s="6"/>
      <c r="G936" s="6"/>
      <c r="H936" s="6"/>
    </row>
    <row r="937" spans="1:8" x14ac:dyDescent="0.3">
      <c r="B937" s="61" t="s">
        <v>12</v>
      </c>
      <c r="C937" s="59"/>
      <c r="D937" s="82"/>
      <c r="E937" s="120"/>
      <c r="F937" s="120"/>
      <c r="G937" s="120"/>
      <c r="H937" s="83"/>
    </row>
    <row r="938" spans="1:8" x14ac:dyDescent="0.3">
      <c r="B938" s="5"/>
      <c r="D938" s="6"/>
      <c r="E938" s="6"/>
      <c r="F938" s="6"/>
      <c r="G938" s="6"/>
      <c r="H938" s="6"/>
    </row>
    <row r="939" spans="1:8" ht="18.2" x14ac:dyDescent="0.35">
      <c r="A939" s="41" t="s">
        <v>26</v>
      </c>
      <c r="C939" s="59"/>
      <c r="D939" s="121">
        <f xml:space="preserve"> D911 + D916 - D922 + D935 + D937</f>
        <v>0</v>
      </c>
      <c r="E939" s="121">
        <f xml:space="preserve"> E911 + E916 - E922 + E935 + E937</f>
        <v>0</v>
      </c>
      <c r="F939" s="121">
        <f t="shared" ref="F939:H939" si="50" xml:space="preserve"> F911 + F916 - F922 + F935 + F937</f>
        <v>0</v>
      </c>
      <c r="G939" s="121">
        <f t="shared" si="50"/>
        <v>0</v>
      </c>
      <c r="H939" s="192">
        <f t="shared" si="50"/>
        <v>49724</v>
      </c>
    </row>
    <row r="940" spans="1:8" x14ac:dyDescent="0.3">
      <c r="B940" s="5"/>
      <c r="C940" s="5" t="s">
        <v>169</v>
      </c>
      <c r="D940" s="6"/>
      <c r="E940" s="6"/>
      <c r="F940" s="31"/>
      <c r="G940" s="31"/>
      <c r="H940" s="31"/>
    </row>
    <row r="941" spans="1:8" ht="15.65" thickBot="1" x14ac:dyDescent="0.35"/>
    <row r="942" spans="1:8" x14ac:dyDescent="0.3">
      <c r="A942" s="7"/>
      <c r="B942" s="7"/>
      <c r="C942" s="7"/>
      <c r="D942" s="179"/>
      <c r="E942" s="7"/>
      <c r="F942" s="7"/>
      <c r="G942" s="7"/>
      <c r="H942" s="7"/>
    </row>
    <row r="943" spans="1:8" x14ac:dyDescent="0.3">
      <c r="B943" s="32"/>
      <c r="C943" s="32"/>
      <c r="D943" s="22"/>
      <c r="E943" s="32"/>
      <c r="F943" s="32"/>
      <c r="G943" s="32"/>
      <c r="H943" s="32"/>
    </row>
    <row r="944" spans="1:8" ht="21.3" x14ac:dyDescent="0.4">
      <c r="A944" s="12" t="s">
        <v>4</v>
      </c>
      <c r="B944" s="12"/>
      <c r="C944" s="42" t="str">
        <f>B27</f>
        <v>Mountain Air Wind Projects - Mountain Air Wind Projects -- REC Only **</v>
      </c>
      <c r="D944" s="43"/>
      <c r="E944" s="22"/>
      <c r="F944" s="22"/>
    </row>
    <row r="945" spans="1:8" x14ac:dyDescent="0.3">
      <c r="C945" s="22" t="s">
        <v>173</v>
      </c>
    </row>
    <row r="946" spans="1:8" ht="18.2" x14ac:dyDescent="0.35">
      <c r="A946" s="8" t="s">
        <v>21</v>
      </c>
      <c r="B946" s="8"/>
      <c r="D946" s="127">
        <f>StartYear</f>
        <v>2016</v>
      </c>
      <c r="E946" s="2">
        <f>D946+1</f>
        <v>2017</v>
      </c>
      <c r="F946" s="2">
        <f>E946+1</f>
        <v>2018</v>
      </c>
      <c r="G946" s="2">
        <f>F946+1</f>
        <v>2019</v>
      </c>
      <c r="H946" s="2">
        <f>G946+1</f>
        <v>2020</v>
      </c>
    </row>
    <row r="947" spans="1:8" x14ac:dyDescent="0.3">
      <c r="B947" s="64" t="str">
        <f>"Purchased from " &amp; C944</f>
        <v>Purchased from Mountain Air Wind Projects - Mountain Air Wind Projects -- REC Only **</v>
      </c>
      <c r="C947" s="59"/>
      <c r="D947" s="3"/>
      <c r="E947" s="3"/>
      <c r="F947" s="3"/>
      <c r="G947" s="3">
        <v>681</v>
      </c>
      <c r="H947" s="4"/>
    </row>
    <row r="948" spans="1:8" x14ac:dyDescent="0.3">
      <c r="B948" s="64" t="s">
        <v>25</v>
      </c>
      <c r="C948" s="59"/>
      <c r="D948" s="141"/>
      <c r="E948" s="141"/>
      <c r="F948" s="141"/>
      <c r="G948" s="141">
        <v>1</v>
      </c>
      <c r="H948" s="142"/>
    </row>
    <row r="949" spans="1:8" x14ac:dyDescent="0.3">
      <c r="B949" s="64" t="s">
        <v>20</v>
      </c>
      <c r="C949" s="59"/>
      <c r="D949" s="47"/>
      <c r="E949" s="47"/>
      <c r="F949" s="47"/>
      <c r="G949" s="47">
        <v>1</v>
      </c>
      <c r="H949" s="48"/>
    </row>
    <row r="950" spans="1:8" x14ac:dyDescent="0.3">
      <c r="B950" s="61" t="s">
        <v>22</v>
      </c>
      <c r="C950" s="62"/>
      <c r="D950" s="140">
        <f xml:space="preserve"> D947 * D948 * D949</f>
        <v>0</v>
      </c>
      <c r="E950" s="140">
        <f xml:space="preserve"> E947 * E948 * E949</f>
        <v>0</v>
      </c>
      <c r="F950" s="140">
        <f t="shared" ref="F950" si="51" xml:space="preserve"> ROUNDDOWN(F947 * F948 * F949,0)</f>
        <v>0</v>
      </c>
      <c r="G950" s="140">
        <f t="shared" ref="G950" si="52" xml:space="preserve"> ROUNDDOWN(G947 * G948 * G949,0)</f>
        <v>681</v>
      </c>
      <c r="H950" s="140">
        <f t="shared" ref="H950" si="53" xml:space="preserve"> ROUNDDOWN(H947 * H948 * H949,0)</f>
        <v>0</v>
      </c>
    </row>
    <row r="951" spans="1:8" x14ac:dyDescent="0.3">
      <c r="B951" s="22"/>
      <c r="C951" s="32"/>
      <c r="D951" s="39"/>
      <c r="E951" s="39"/>
      <c r="F951" s="39"/>
      <c r="G951" s="176"/>
      <c r="H951" s="39"/>
    </row>
    <row r="952" spans="1:8" ht="18.2" x14ac:dyDescent="0.35">
      <c r="A952" s="44" t="s">
        <v>119</v>
      </c>
      <c r="C952" s="32"/>
      <c r="D952" s="2">
        <f>StartYear</f>
        <v>2016</v>
      </c>
      <c r="E952" s="2">
        <f>D952+1</f>
        <v>2017</v>
      </c>
      <c r="F952" s="2">
        <f>E952+1</f>
        <v>2018</v>
      </c>
      <c r="G952" s="2">
        <f>F952+1</f>
        <v>2019</v>
      </c>
      <c r="H952" s="2">
        <f>G952+1</f>
        <v>2020</v>
      </c>
    </row>
    <row r="953" spans="1:8" x14ac:dyDescent="0.3">
      <c r="B953" s="64" t="s">
        <v>10</v>
      </c>
      <c r="C953" s="59"/>
      <c r="D953" s="10">
        <f>IF( $E531 = "Eligible", D950 * 'Facility Detail'!$B$1614, 0 )</f>
        <v>0</v>
      </c>
      <c r="E953" s="118">
        <f>IF( $E531 = "Eligible", E950 * 'Facility Detail'!$B$1614, 0 )</f>
        <v>0</v>
      </c>
      <c r="F953" s="118">
        <f>IF( $E531 = "Eligible", F950 * 'Facility Detail'!$B$1614, 0 )</f>
        <v>0</v>
      </c>
      <c r="G953" s="118">
        <f>IF( $E531 = "Eligible", G950 * 'Facility Detail'!$B$1614, 0 )</f>
        <v>0</v>
      </c>
      <c r="H953" s="11">
        <f>IF( $E531 = "Eligible", H950 * 'Facility Detail'!$B$1614, 0 )</f>
        <v>0</v>
      </c>
    </row>
    <row r="954" spans="1:8" x14ac:dyDescent="0.3">
      <c r="B954" s="64" t="s">
        <v>6</v>
      </c>
      <c r="C954" s="59"/>
      <c r="D954" s="51">
        <f>IF( $F531 = "Eligible", D950, 0 )</f>
        <v>0</v>
      </c>
      <c r="E954" s="119">
        <f>IF( $F531 = "Eligible", E950, 0 )</f>
        <v>0</v>
      </c>
      <c r="F954" s="119">
        <f>IF( $F531 = "Eligible", F950, 0 )</f>
        <v>0</v>
      </c>
      <c r="G954" s="119">
        <f>IF( $F531 = "Eligible", G950, 0 )</f>
        <v>0</v>
      </c>
      <c r="H954" s="52">
        <f>IF( $F531 = "Eligible", H950, 0 )</f>
        <v>0</v>
      </c>
    </row>
    <row r="955" spans="1:8" x14ac:dyDescent="0.3">
      <c r="B955" s="63" t="s">
        <v>121</v>
      </c>
      <c r="C955" s="62"/>
      <c r="D955" s="40">
        <f>SUM(D953:D954)</f>
        <v>0</v>
      </c>
      <c r="E955" s="40">
        <f>SUM(E953:E954)</f>
        <v>0</v>
      </c>
      <c r="F955" s="40">
        <f>SUM(F953:F954)</f>
        <v>0</v>
      </c>
      <c r="G955" s="40">
        <f>SUM(G953:G954)</f>
        <v>0</v>
      </c>
      <c r="H955" s="40">
        <f>SUM(H953:H954)</f>
        <v>0</v>
      </c>
    </row>
    <row r="956" spans="1:8" x14ac:dyDescent="0.3">
      <c r="B956" s="32"/>
      <c r="C956" s="32"/>
      <c r="D956" s="33"/>
      <c r="E956" s="33"/>
      <c r="F956" s="33"/>
      <c r="G956" s="178"/>
      <c r="H956" s="33"/>
    </row>
    <row r="957" spans="1:8" ht="18.2" x14ac:dyDescent="0.35">
      <c r="A957" s="41" t="s">
        <v>30</v>
      </c>
      <c r="C957" s="32"/>
      <c r="D957" s="2">
        <f>StartYear</f>
        <v>2016</v>
      </c>
      <c r="E957" s="2">
        <f>D957+1</f>
        <v>2017</v>
      </c>
      <c r="F957" s="2">
        <f>E957+1</f>
        <v>2018</v>
      </c>
      <c r="G957" s="2">
        <f>F957+1</f>
        <v>2019</v>
      </c>
      <c r="H957" s="2">
        <f>G957+1</f>
        <v>2020</v>
      </c>
    </row>
    <row r="958" spans="1:8" x14ac:dyDescent="0.3">
      <c r="B958" s="64" t="s">
        <v>47</v>
      </c>
      <c r="C958" s="59"/>
      <c r="D958" s="3"/>
      <c r="E958" s="3"/>
      <c r="F958" s="3"/>
      <c r="G958" s="3"/>
      <c r="H958" s="4"/>
    </row>
    <row r="959" spans="1:8" x14ac:dyDescent="0.3">
      <c r="B959" s="65" t="s">
        <v>23</v>
      </c>
      <c r="C959" s="66"/>
      <c r="D959" s="146"/>
      <c r="E959" s="146"/>
      <c r="F959" s="146"/>
      <c r="G959" s="146"/>
      <c r="H959" s="147"/>
    </row>
    <row r="960" spans="1:8" x14ac:dyDescent="0.3">
      <c r="B960" s="75" t="s">
        <v>89</v>
      </c>
      <c r="C960" s="74"/>
      <c r="D960" s="213"/>
      <c r="E960" s="148"/>
      <c r="F960" s="148"/>
      <c r="G960" s="148"/>
      <c r="H960" s="149"/>
    </row>
    <row r="961" spans="1:14" x14ac:dyDescent="0.3">
      <c r="B961" s="35" t="s">
        <v>90</v>
      </c>
      <c r="D961" s="6">
        <f>SUM(D958:D960)</f>
        <v>0</v>
      </c>
      <c r="E961" s="6">
        <f>SUM(E958:E960)</f>
        <v>0</v>
      </c>
      <c r="F961" s="6">
        <f>SUM(F958:F960)</f>
        <v>0</v>
      </c>
      <c r="G961" s="6">
        <f t="shared" ref="G961" si="54">SUM(G958:G960)</f>
        <v>0</v>
      </c>
      <c r="H961" s="6">
        <f t="shared" ref="H961" si="55">SUM(H958:H960)</f>
        <v>0</v>
      </c>
    </row>
    <row r="962" spans="1:14" x14ac:dyDescent="0.3">
      <c r="B962" s="5"/>
      <c r="D962" s="6"/>
      <c r="E962" s="6"/>
      <c r="F962" s="6"/>
      <c r="G962" s="176"/>
      <c r="H962" s="6"/>
    </row>
    <row r="963" spans="1:14" ht="18.2" x14ac:dyDescent="0.35">
      <c r="A963" s="8" t="s">
        <v>100</v>
      </c>
      <c r="D963" s="2">
        <f>StartYear</f>
        <v>2016</v>
      </c>
      <c r="E963" s="2">
        <f>D963+1</f>
        <v>2017</v>
      </c>
      <c r="F963" s="2">
        <f>E963+1</f>
        <v>2018</v>
      </c>
      <c r="G963" s="2">
        <f>F963+1</f>
        <v>2019</v>
      </c>
      <c r="H963" s="2">
        <f>G963+1</f>
        <v>2020</v>
      </c>
    </row>
    <row r="964" spans="1:14" x14ac:dyDescent="0.3">
      <c r="B964" s="64" t="str">
        <f>(StartYear-1) &amp; " Surplus Applied to " &amp; StartYear</f>
        <v>2015 Surplus Applied to 2016</v>
      </c>
      <c r="C964" s="32"/>
      <c r="D964" s="205">
        <v>0</v>
      </c>
      <c r="E964" s="206"/>
      <c r="F964" s="206"/>
      <c r="G964" s="206"/>
      <c r="H964" s="207"/>
    </row>
    <row r="965" spans="1:14" x14ac:dyDescent="0.3">
      <c r="B965" s="64" t="str">
        <f>StartYear &amp; " Surplus Applied to " &amp; (StartYear-1)</f>
        <v>2016 Surplus Applied to 2015</v>
      </c>
      <c r="C965" s="32"/>
      <c r="D965" s="208">
        <v>0</v>
      </c>
      <c r="E965" s="122"/>
      <c r="F965" s="122"/>
      <c r="G965" s="122"/>
      <c r="H965" s="126"/>
    </row>
    <row r="966" spans="1:14" x14ac:dyDescent="0.3">
      <c r="B966" s="64" t="str">
        <f>( StartYear) &amp; " Surplus Applied to " &amp; ( StartYear + 1 )</f>
        <v>2016 Surplus Applied to 2017</v>
      </c>
      <c r="C966" s="32"/>
      <c r="D966" s="203">
        <f>D950+D955-D961</f>
        <v>0</v>
      </c>
      <c r="E966" s="204">
        <f>D966</f>
        <v>0</v>
      </c>
      <c r="F966" s="199"/>
      <c r="G966" s="199"/>
      <c r="H966" s="200"/>
    </row>
    <row r="967" spans="1:14" x14ac:dyDescent="0.3">
      <c r="B967" s="64" t="str">
        <f xml:space="preserve"> ( StartYear + 1 ) &amp; " Surplus Applied to " &amp; ( StartYear )</f>
        <v>2017 Surplus Applied to 2016</v>
      </c>
      <c r="C967" s="59"/>
      <c r="D967" s="143">
        <v>0</v>
      </c>
      <c r="E967" s="9">
        <v>0</v>
      </c>
      <c r="F967" s="122"/>
      <c r="G967" s="122"/>
      <c r="H967" s="126"/>
    </row>
    <row r="968" spans="1:14" x14ac:dyDescent="0.3">
      <c r="B968" s="128" t="str">
        <f xml:space="preserve"> ( StartYear + 1 ) &amp; " Surplus Applied to " &amp; ( StartYear + 2 )</f>
        <v>2017 Surplus Applied to 2018</v>
      </c>
      <c r="C968" s="59"/>
      <c r="D968" s="123"/>
      <c r="E968" s="9">
        <v>0</v>
      </c>
      <c r="F968" s="58">
        <f>E968</f>
        <v>0</v>
      </c>
      <c r="G968" s="122"/>
      <c r="H968" s="126"/>
    </row>
    <row r="969" spans="1:14" x14ac:dyDescent="0.3">
      <c r="B969" s="128" t="str">
        <f xml:space="preserve"> ( StartYear + 2 ) &amp; " Surplus Applied to " &amp; ( StartYear + 1 )</f>
        <v>2018 Surplus Applied to 2017</v>
      </c>
      <c r="C969" s="59"/>
      <c r="D969" s="123"/>
      <c r="E969" s="58">
        <v>0</v>
      </c>
      <c r="F969" s="9">
        <v>0</v>
      </c>
      <c r="G969" s="122"/>
      <c r="H969" s="126"/>
    </row>
    <row r="970" spans="1:14" x14ac:dyDescent="0.3">
      <c r="B970" s="174" t="str">
        <f xml:space="preserve"> ( StartYear + 2 ) &amp; " Surplus Applied to " &amp; ( StartYear + 3 )</f>
        <v>2018 Surplus Applied to 2019</v>
      </c>
      <c r="C970" s="32"/>
      <c r="D970" s="123"/>
      <c r="E970" s="122"/>
      <c r="F970" s="9">
        <v>0</v>
      </c>
      <c r="G970" s="58">
        <f>F970</f>
        <v>0</v>
      </c>
      <c r="H970" s="126"/>
    </row>
    <row r="971" spans="1:14" x14ac:dyDescent="0.3">
      <c r="B971" s="174" t="str">
        <f xml:space="preserve"> ( StartYear + 3 ) &amp; " Surplus Applied to " &amp; ( StartYear + 2 )</f>
        <v>2019 Surplus Applied to 2018</v>
      </c>
      <c r="C971" s="32"/>
      <c r="D971" s="123"/>
      <c r="E971" s="122"/>
      <c r="F971" s="58">
        <v>0</v>
      </c>
      <c r="G971" s="9">
        <v>0</v>
      </c>
      <c r="H971" s="126"/>
    </row>
    <row r="972" spans="1:14" x14ac:dyDescent="0.3">
      <c r="B972" s="174" t="str">
        <f xml:space="preserve"> ( StartYear + 3 ) &amp; " Surplus Applied to " &amp; ( StartYear + 4 )</f>
        <v>2019 Surplus Applied to 2020</v>
      </c>
      <c r="C972" s="32"/>
      <c r="D972" s="123"/>
      <c r="E972" s="122"/>
      <c r="F972" s="122"/>
      <c r="G972" s="9">
        <v>0</v>
      </c>
      <c r="H972" s="53">
        <f>G972</f>
        <v>0</v>
      </c>
      <c r="L972" s="245"/>
      <c r="M972" s="245"/>
      <c r="N972" s="245"/>
    </row>
    <row r="973" spans="1:14" x14ac:dyDescent="0.3">
      <c r="B973" s="174" t="str">
        <f xml:space="preserve"> ( StartYear + 4 ) &amp; " Surplus Applied to " &amp; ( StartYear + 3 )</f>
        <v>2020 Surplus Applied to 2019</v>
      </c>
      <c r="C973" s="32"/>
      <c r="D973" s="124"/>
      <c r="E973" s="125"/>
      <c r="F973" s="125"/>
      <c r="G973" s="54">
        <v>0</v>
      </c>
      <c r="H973" s="46">
        <v>0</v>
      </c>
    </row>
    <row r="974" spans="1:14" x14ac:dyDescent="0.3">
      <c r="B974" s="35" t="s">
        <v>17</v>
      </c>
      <c r="D974" s="6">
        <f>D964-D965+D967-D966</f>
        <v>0</v>
      </c>
      <c r="E974" s="6">
        <f>E966+E969-E967-E968</f>
        <v>0</v>
      </c>
      <c r="F974" s="6">
        <f>F968+F971-F969-F970</f>
        <v>0</v>
      </c>
      <c r="G974" s="6">
        <f>G970+G973-G971-G972</f>
        <v>0</v>
      </c>
      <c r="H974" s="6">
        <f>H972 - H973</f>
        <v>0</v>
      </c>
    </row>
    <row r="975" spans="1:14" x14ac:dyDescent="0.3">
      <c r="B975" s="5"/>
      <c r="D975" s="6"/>
      <c r="E975" s="6"/>
      <c r="F975" s="6"/>
      <c r="G975" s="6"/>
      <c r="H975" s="6"/>
    </row>
    <row r="976" spans="1:14" x14ac:dyDescent="0.3">
      <c r="B976" s="61" t="s">
        <v>12</v>
      </c>
      <c r="C976" s="59"/>
      <c r="D976" s="82"/>
      <c r="E976" s="120"/>
      <c r="F976" s="120"/>
      <c r="G976" s="120"/>
      <c r="H976" s="83"/>
    </row>
    <row r="977" spans="1:8" x14ac:dyDescent="0.3">
      <c r="B977" s="5"/>
      <c r="D977" s="6"/>
      <c r="E977" s="6"/>
      <c r="F977" s="6"/>
      <c r="G977" s="6"/>
      <c r="H977" s="6"/>
    </row>
    <row r="978" spans="1:8" ht="18.2" x14ac:dyDescent="0.35">
      <c r="A978" s="41" t="s">
        <v>26</v>
      </c>
      <c r="C978" s="59"/>
      <c r="D978" s="121">
        <f xml:space="preserve"> D950 + D955 - D961 + D974 + D976</f>
        <v>0</v>
      </c>
      <c r="E978" s="121">
        <f xml:space="preserve"> E950 + E955 - E961 + E974 + E976</f>
        <v>0</v>
      </c>
      <c r="F978" s="121">
        <f t="shared" ref="F978:H978" si="56" xml:space="preserve"> F950 + F955 - F961 + F974 + F976</f>
        <v>0</v>
      </c>
      <c r="G978" s="121">
        <f t="shared" si="56"/>
        <v>681</v>
      </c>
      <c r="H978" s="192">
        <f t="shared" si="56"/>
        <v>0</v>
      </c>
    </row>
    <row r="979" spans="1:8" x14ac:dyDescent="0.3">
      <c r="B979" s="5"/>
      <c r="C979" s="5" t="s">
        <v>169</v>
      </c>
      <c r="D979" s="6"/>
      <c r="E979" s="6"/>
      <c r="F979" s="31"/>
      <c r="G979" s="31"/>
      <c r="H979" s="31"/>
    </row>
    <row r="980" spans="1:8" ht="15.65" thickBot="1" x14ac:dyDescent="0.35"/>
    <row r="981" spans="1:8" x14ac:dyDescent="0.3">
      <c r="A981" s="7"/>
      <c r="B981" s="7"/>
      <c r="C981" s="7"/>
      <c r="D981" s="179"/>
      <c r="E981" s="7"/>
      <c r="F981" s="7"/>
      <c r="G981" s="7"/>
      <c r="H981" s="7"/>
    </row>
    <row r="982" spans="1:8" x14ac:dyDescent="0.3">
      <c r="B982" s="32"/>
      <c r="C982" s="32"/>
      <c r="D982" s="22"/>
      <c r="E982" s="32"/>
      <c r="F982" s="32"/>
      <c r="G982" s="32"/>
      <c r="H982" s="32"/>
    </row>
    <row r="983" spans="1:8" ht="21.3" x14ac:dyDescent="0.4">
      <c r="A983" s="12" t="s">
        <v>4</v>
      </c>
      <c r="B983" s="12"/>
      <c r="C983" s="42" t="str">
        <f>B28</f>
        <v>Nine Canyon Wind Project - Nine Canyon Phase 3 -- REC Only **</v>
      </c>
      <c r="D983" s="43"/>
      <c r="E983" s="22"/>
      <c r="F983" s="22"/>
    </row>
    <row r="984" spans="1:8" x14ac:dyDescent="0.3">
      <c r="C984" s="22" t="s">
        <v>173</v>
      </c>
    </row>
    <row r="985" spans="1:8" ht="18.2" x14ac:dyDescent="0.35">
      <c r="A985" s="8" t="s">
        <v>21</v>
      </c>
      <c r="B985" s="8"/>
      <c r="D985" s="127">
        <f>StartYear</f>
        <v>2016</v>
      </c>
      <c r="E985" s="2">
        <f>D985+1</f>
        <v>2017</v>
      </c>
      <c r="F985" s="2">
        <f>E985+1</f>
        <v>2018</v>
      </c>
      <c r="G985" s="2">
        <f>F985+1</f>
        <v>2019</v>
      </c>
      <c r="H985" s="2">
        <f>G985+1</f>
        <v>2020</v>
      </c>
    </row>
    <row r="986" spans="1:8" x14ac:dyDescent="0.3">
      <c r="B986" s="64" t="str">
        <f>"Purchased from " &amp; C983</f>
        <v>Purchased from Nine Canyon Wind Project - Nine Canyon Phase 3 -- REC Only **</v>
      </c>
      <c r="C986" s="59"/>
      <c r="D986" s="3"/>
      <c r="E986" s="3"/>
      <c r="F986" s="3"/>
      <c r="G986" s="3">
        <v>3486</v>
      </c>
      <c r="H986" s="4"/>
    </row>
    <row r="987" spans="1:8" x14ac:dyDescent="0.3">
      <c r="B987" s="64" t="s">
        <v>25</v>
      </c>
      <c r="C987" s="59"/>
      <c r="D987" s="141"/>
      <c r="E987" s="141"/>
      <c r="F987" s="141"/>
      <c r="G987" s="141">
        <v>1</v>
      </c>
      <c r="H987" s="142"/>
    </row>
    <row r="988" spans="1:8" x14ac:dyDescent="0.3">
      <c r="B988" s="64" t="s">
        <v>20</v>
      </c>
      <c r="C988" s="59"/>
      <c r="D988" s="47"/>
      <c r="E988" s="47"/>
      <c r="F988" s="47"/>
      <c r="G988" s="47">
        <v>1</v>
      </c>
      <c r="H988" s="48"/>
    </row>
    <row r="989" spans="1:8" x14ac:dyDescent="0.3">
      <c r="B989" s="61" t="s">
        <v>22</v>
      </c>
      <c r="C989" s="62"/>
      <c r="D989" s="140">
        <f xml:space="preserve"> D986 * D987 * D988</f>
        <v>0</v>
      </c>
      <c r="E989" s="140">
        <f xml:space="preserve"> E986 * E987 * E988</f>
        <v>0</v>
      </c>
      <c r="F989" s="140">
        <f t="shared" ref="F989" si="57" xml:space="preserve"> ROUNDDOWN(F986 * F987 * F988,0)</f>
        <v>0</v>
      </c>
      <c r="G989" s="140">
        <f t="shared" ref="G989" si="58" xml:space="preserve"> ROUNDDOWN(G986 * G987 * G988,0)</f>
        <v>3486</v>
      </c>
      <c r="H989" s="140">
        <f t="shared" ref="H989" si="59" xml:space="preserve"> ROUNDDOWN(H986 * H987 * H988,0)</f>
        <v>0</v>
      </c>
    </row>
    <row r="990" spans="1:8" x14ac:dyDescent="0.3">
      <c r="B990" s="22"/>
      <c r="C990" s="32"/>
      <c r="D990" s="39"/>
      <c r="E990" s="39"/>
      <c r="F990" s="39"/>
      <c r="G990" s="176"/>
      <c r="H990" s="39"/>
    </row>
    <row r="991" spans="1:8" ht="18.2" x14ac:dyDescent="0.35">
      <c r="A991" s="44" t="s">
        <v>119</v>
      </c>
      <c r="C991" s="32"/>
      <c r="D991" s="2">
        <f>StartYear</f>
        <v>2016</v>
      </c>
      <c r="E991" s="2">
        <f>D991+1</f>
        <v>2017</v>
      </c>
      <c r="F991" s="2">
        <f>E991+1</f>
        <v>2018</v>
      </c>
      <c r="G991" s="2">
        <f>F991+1</f>
        <v>2019</v>
      </c>
      <c r="H991" s="2">
        <f>G991+1</f>
        <v>2020</v>
      </c>
    </row>
    <row r="992" spans="1:8" x14ac:dyDescent="0.3">
      <c r="B992" s="64" t="s">
        <v>10</v>
      </c>
      <c r="C992" s="59"/>
      <c r="D992" s="10">
        <f>IF( $E570 = "Eligible", D989 * 'Facility Detail'!$B$1614, 0 )</f>
        <v>0</v>
      </c>
      <c r="E992" s="118">
        <f>IF( $E570 = "Eligible", E989 * 'Facility Detail'!$B$1614, 0 )</f>
        <v>0</v>
      </c>
      <c r="F992" s="118">
        <f>IF( $E570 = "Eligible", F989 * 'Facility Detail'!$B$1614, 0 )</f>
        <v>0</v>
      </c>
      <c r="G992" s="118">
        <f>IF( $E570 = "Eligible", G989 * 'Facility Detail'!$B$1614, 0 )</f>
        <v>0</v>
      </c>
      <c r="H992" s="11">
        <f>IF( $E570 = "Eligible", H989 * 'Facility Detail'!$B$1614, 0 )</f>
        <v>0</v>
      </c>
    </row>
    <row r="993" spans="1:8" x14ac:dyDescent="0.3">
      <c r="B993" s="64" t="s">
        <v>6</v>
      </c>
      <c r="C993" s="59"/>
      <c r="D993" s="51">
        <f>IF( $F570 = "Eligible", D989, 0 )</f>
        <v>0</v>
      </c>
      <c r="E993" s="119">
        <f>IF( $F570 = "Eligible", E989, 0 )</f>
        <v>0</v>
      </c>
      <c r="F993" s="119">
        <f>IF( $F570 = "Eligible", F989, 0 )</f>
        <v>0</v>
      </c>
      <c r="G993" s="119">
        <f>IF( $F570 = "Eligible", G989, 0 )</f>
        <v>0</v>
      </c>
      <c r="H993" s="52">
        <f>IF( $F570 = "Eligible", H989, 0 )</f>
        <v>0</v>
      </c>
    </row>
    <row r="994" spans="1:8" x14ac:dyDescent="0.3">
      <c r="B994" s="63" t="s">
        <v>121</v>
      </c>
      <c r="C994" s="62"/>
      <c r="D994" s="40">
        <f>SUM(D992:D993)</f>
        <v>0</v>
      </c>
      <c r="E994" s="40">
        <f>SUM(E992:E993)</f>
        <v>0</v>
      </c>
      <c r="F994" s="40">
        <f>SUM(F992:F993)</f>
        <v>0</v>
      </c>
      <c r="G994" s="40">
        <f>SUM(G992:G993)</f>
        <v>0</v>
      </c>
      <c r="H994" s="40">
        <f>SUM(H992:H993)</f>
        <v>0</v>
      </c>
    </row>
    <row r="995" spans="1:8" x14ac:dyDescent="0.3">
      <c r="B995" s="32"/>
      <c r="C995" s="32"/>
      <c r="D995" s="33"/>
      <c r="E995" s="33"/>
      <c r="F995" s="33"/>
      <c r="G995" s="178"/>
      <c r="H995" s="33"/>
    </row>
    <row r="996" spans="1:8" ht="18.2" x14ac:dyDescent="0.35">
      <c r="A996" s="41" t="s">
        <v>30</v>
      </c>
      <c r="C996" s="32"/>
      <c r="D996" s="2">
        <f>StartYear</f>
        <v>2016</v>
      </c>
      <c r="E996" s="2">
        <f>D996+1</f>
        <v>2017</v>
      </c>
      <c r="F996" s="2">
        <f>E996+1</f>
        <v>2018</v>
      </c>
      <c r="G996" s="2">
        <f>F996+1</f>
        <v>2019</v>
      </c>
      <c r="H996" s="2">
        <f>G996+1</f>
        <v>2020</v>
      </c>
    </row>
    <row r="997" spans="1:8" x14ac:dyDescent="0.3">
      <c r="B997" s="64" t="s">
        <v>47</v>
      </c>
      <c r="C997" s="59"/>
      <c r="D997" s="3"/>
      <c r="E997" s="3"/>
      <c r="F997" s="3"/>
      <c r="G997" s="3"/>
      <c r="H997" s="4"/>
    </row>
    <row r="998" spans="1:8" x14ac:dyDescent="0.3">
      <c r="B998" s="65" t="s">
        <v>23</v>
      </c>
      <c r="C998" s="66"/>
      <c r="D998" s="146"/>
      <c r="E998" s="146"/>
      <c r="F998" s="146"/>
      <c r="G998" s="146"/>
      <c r="H998" s="147"/>
    </row>
    <row r="999" spans="1:8" x14ac:dyDescent="0.3">
      <c r="B999" s="75" t="s">
        <v>89</v>
      </c>
      <c r="C999" s="74"/>
      <c r="D999" s="213"/>
      <c r="E999" s="148"/>
      <c r="F999" s="148"/>
      <c r="G999" s="148"/>
      <c r="H999" s="149"/>
    </row>
    <row r="1000" spans="1:8" x14ac:dyDescent="0.3">
      <c r="B1000" s="35" t="s">
        <v>90</v>
      </c>
      <c r="D1000" s="6">
        <f>SUM(D997:D999)</f>
        <v>0</v>
      </c>
      <c r="E1000" s="6">
        <f>SUM(E997:E999)</f>
        <v>0</v>
      </c>
      <c r="F1000" s="6">
        <f>SUM(F997:F999)</f>
        <v>0</v>
      </c>
      <c r="G1000" s="6">
        <f t="shared" ref="G1000" si="60">SUM(G997:G999)</f>
        <v>0</v>
      </c>
      <c r="H1000" s="6">
        <f t="shared" ref="H1000" si="61">SUM(H997:H999)</f>
        <v>0</v>
      </c>
    </row>
    <row r="1001" spans="1:8" x14ac:dyDescent="0.3">
      <c r="B1001" s="5"/>
      <c r="D1001" s="6"/>
      <c r="E1001" s="6"/>
      <c r="F1001" s="6"/>
      <c r="G1001" s="176"/>
      <c r="H1001" s="6"/>
    </row>
    <row r="1002" spans="1:8" ht="18.2" x14ac:dyDescent="0.35">
      <c r="A1002" s="8" t="s">
        <v>100</v>
      </c>
      <c r="D1002" s="2">
        <f>StartYear</f>
        <v>2016</v>
      </c>
      <c r="E1002" s="2">
        <f>D1002+1</f>
        <v>2017</v>
      </c>
      <c r="F1002" s="2">
        <f>E1002+1</f>
        <v>2018</v>
      </c>
      <c r="G1002" s="2">
        <f>F1002+1</f>
        <v>2019</v>
      </c>
      <c r="H1002" s="2">
        <f>G1002+1</f>
        <v>2020</v>
      </c>
    </row>
    <row r="1003" spans="1:8" x14ac:dyDescent="0.3">
      <c r="B1003" s="64" t="str">
        <f>(StartYear-1) &amp; " Surplus Applied to " &amp; StartYear</f>
        <v>2015 Surplus Applied to 2016</v>
      </c>
      <c r="C1003" s="32"/>
      <c r="D1003" s="205">
        <v>0</v>
      </c>
      <c r="E1003" s="206"/>
      <c r="F1003" s="206"/>
      <c r="G1003" s="206"/>
      <c r="H1003" s="207"/>
    </row>
    <row r="1004" spans="1:8" x14ac:dyDescent="0.3">
      <c r="B1004" s="64" t="str">
        <f>StartYear &amp; " Surplus Applied to " &amp; (StartYear-1)</f>
        <v>2016 Surplus Applied to 2015</v>
      </c>
      <c r="C1004" s="32"/>
      <c r="D1004" s="208">
        <v>0</v>
      </c>
      <c r="E1004" s="122"/>
      <c r="F1004" s="122"/>
      <c r="G1004" s="122"/>
      <c r="H1004" s="126"/>
    </row>
    <row r="1005" spans="1:8" x14ac:dyDescent="0.3">
      <c r="B1005" s="64" t="str">
        <f>( StartYear) &amp; " Surplus Applied to " &amp; ( StartYear + 1 )</f>
        <v>2016 Surplus Applied to 2017</v>
      </c>
      <c r="C1005" s="32"/>
      <c r="D1005" s="203">
        <f>D989+D994-D1000</f>
        <v>0</v>
      </c>
      <c r="E1005" s="204">
        <f>D1005</f>
        <v>0</v>
      </c>
      <c r="F1005" s="199"/>
      <c r="G1005" s="199"/>
      <c r="H1005" s="200"/>
    </row>
    <row r="1006" spans="1:8" x14ac:dyDescent="0.3">
      <c r="B1006" s="64" t="str">
        <f xml:space="preserve"> ( StartYear + 1 ) &amp; " Surplus Applied to " &amp; ( StartYear )</f>
        <v>2017 Surplus Applied to 2016</v>
      </c>
      <c r="C1006" s="59"/>
      <c r="D1006" s="143">
        <v>0</v>
      </c>
      <c r="E1006" s="9">
        <v>0</v>
      </c>
      <c r="F1006" s="122"/>
      <c r="G1006" s="122"/>
      <c r="H1006" s="126"/>
    </row>
    <row r="1007" spans="1:8" x14ac:dyDescent="0.3">
      <c r="B1007" s="128" t="str">
        <f xml:space="preserve"> ( StartYear + 1 ) &amp; " Surplus Applied to " &amp; ( StartYear + 2 )</f>
        <v>2017 Surplus Applied to 2018</v>
      </c>
      <c r="C1007" s="59"/>
      <c r="D1007" s="123"/>
      <c r="E1007" s="9">
        <v>0</v>
      </c>
      <c r="F1007" s="58">
        <f>E1007</f>
        <v>0</v>
      </c>
      <c r="G1007" s="122"/>
      <c r="H1007" s="126"/>
    </row>
    <row r="1008" spans="1:8" x14ac:dyDescent="0.3">
      <c r="B1008" s="128" t="str">
        <f xml:space="preserve"> ( StartYear + 2 ) &amp; " Surplus Applied to " &amp; ( StartYear + 1 )</f>
        <v>2018 Surplus Applied to 2017</v>
      </c>
      <c r="C1008" s="59"/>
      <c r="D1008" s="123"/>
      <c r="E1008" s="58">
        <v>0</v>
      </c>
      <c r="F1008" s="9">
        <v>0</v>
      </c>
      <c r="G1008" s="122"/>
      <c r="H1008" s="126"/>
    </row>
    <row r="1009" spans="1:8" x14ac:dyDescent="0.3">
      <c r="B1009" s="174" t="str">
        <f xml:space="preserve"> ( StartYear + 2 ) &amp; " Surplus Applied to " &amp; ( StartYear + 3 )</f>
        <v>2018 Surplus Applied to 2019</v>
      </c>
      <c r="C1009" s="32"/>
      <c r="D1009" s="123"/>
      <c r="E1009" s="122"/>
      <c r="F1009" s="9">
        <v>0</v>
      </c>
      <c r="G1009" s="58">
        <f>F1009</f>
        <v>0</v>
      </c>
      <c r="H1009" s="126"/>
    </row>
    <row r="1010" spans="1:8" x14ac:dyDescent="0.3">
      <c r="B1010" s="174" t="str">
        <f xml:space="preserve"> ( StartYear + 3 ) &amp; " Surplus Applied to " &amp; ( StartYear + 2 )</f>
        <v>2019 Surplus Applied to 2018</v>
      </c>
      <c r="C1010" s="32"/>
      <c r="D1010" s="123"/>
      <c r="E1010" s="122"/>
      <c r="F1010" s="58">
        <v>0</v>
      </c>
      <c r="G1010" s="9">
        <v>0</v>
      </c>
      <c r="H1010" s="126"/>
    </row>
    <row r="1011" spans="1:8" x14ac:dyDescent="0.3">
      <c r="B1011" s="174" t="str">
        <f xml:space="preserve"> ( StartYear + 3 ) &amp; " Surplus Applied to " &amp; ( StartYear + 4 )</f>
        <v>2019 Surplus Applied to 2020</v>
      </c>
      <c r="C1011" s="32"/>
      <c r="D1011" s="123"/>
      <c r="E1011" s="122"/>
      <c r="F1011" s="122"/>
      <c r="G1011" s="9">
        <f>G989+G994-G1000</f>
        <v>3486</v>
      </c>
      <c r="H1011" s="53">
        <f>G1011</f>
        <v>3486</v>
      </c>
    </row>
    <row r="1012" spans="1:8" x14ac:dyDescent="0.3">
      <c r="B1012" s="174" t="str">
        <f xml:space="preserve"> ( StartYear + 4 ) &amp; " Surplus Applied to " &amp; ( StartYear + 3 )</f>
        <v>2020 Surplus Applied to 2019</v>
      </c>
      <c r="C1012" s="32"/>
      <c r="D1012" s="124"/>
      <c r="E1012" s="125"/>
      <c r="F1012" s="125"/>
      <c r="G1012" s="54">
        <v>0</v>
      </c>
      <c r="H1012" s="46">
        <v>0</v>
      </c>
    </row>
    <row r="1013" spans="1:8" x14ac:dyDescent="0.3">
      <c r="B1013" s="35" t="s">
        <v>17</v>
      </c>
      <c r="D1013" s="6">
        <f>D1003-D1004+D1006-D1005</f>
        <v>0</v>
      </c>
      <c r="E1013" s="6">
        <f>E1005+E1008-E1006-E1007</f>
        <v>0</v>
      </c>
      <c r="F1013" s="6">
        <f>F1007+F1010-F1008-F1009</f>
        <v>0</v>
      </c>
      <c r="G1013" s="6">
        <f>G1009+G1012-G1010-G1011</f>
        <v>-3486</v>
      </c>
      <c r="H1013" s="6">
        <f>H1011 - H1012</f>
        <v>3486</v>
      </c>
    </row>
    <row r="1014" spans="1:8" x14ac:dyDescent="0.3">
      <c r="B1014" s="5"/>
      <c r="D1014" s="6"/>
      <c r="E1014" s="6"/>
      <c r="F1014" s="6"/>
      <c r="G1014" s="6"/>
      <c r="H1014" s="6"/>
    </row>
    <row r="1015" spans="1:8" x14ac:dyDescent="0.3">
      <c r="B1015" s="61" t="s">
        <v>12</v>
      </c>
      <c r="C1015" s="59"/>
      <c r="D1015" s="82"/>
      <c r="E1015" s="120"/>
      <c r="F1015" s="120"/>
      <c r="G1015" s="120"/>
      <c r="H1015" s="83"/>
    </row>
    <row r="1016" spans="1:8" x14ac:dyDescent="0.3">
      <c r="B1016" s="5"/>
      <c r="D1016" s="6"/>
      <c r="E1016" s="6"/>
      <c r="F1016" s="6"/>
      <c r="G1016" s="6"/>
      <c r="H1016" s="6"/>
    </row>
    <row r="1017" spans="1:8" ht="18.2" x14ac:dyDescent="0.35">
      <c r="A1017" s="41" t="s">
        <v>26</v>
      </c>
      <c r="C1017" s="59"/>
      <c r="D1017" s="121">
        <f xml:space="preserve"> D989 + D994 - D1000 + D1013 + D1015</f>
        <v>0</v>
      </c>
      <c r="E1017" s="121">
        <f xml:space="preserve"> E989 + E994 - E1000 + E1013 + E1015</f>
        <v>0</v>
      </c>
      <c r="F1017" s="121">
        <f t="shared" ref="F1017:H1017" si="62" xml:space="preserve"> F989 + F994 - F1000 + F1013 + F1015</f>
        <v>0</v>
      </c>
      <c r="G1017" s="121">
        <f t="shared" si="62"/>
        <v>0</v>
      </c>
      <c r="H1017" s="192">
        <f t="shared" si="62"/>
        <v>3486</v>
      </c>
    </row>
    <row r="1018" spans="1:8" x14ac:dyDescent="0.3">
      <c r="B1018" s="5"/>
      <c r="C1018" s="5" t="s">
        <v>169</v>
      </c>
      <c r="D1018" s="6"/>
      <c r="E1018" s="6"/>
      <c r="F1018" s="31"/>
      <c r="G1018" s="31"/>
      <c r="H1018" s="31"/>
    </row>
    <row r="1019" spans="1:8" ht="15.65" thickBot="1" x14ac:dyDescent="0.35"/>
    <row r="1020" spans="1:8" x14ac:dyDescent="0.3">
      <c r="A1020" s="7"/>
      <c r="B1020" s="7"/>
      <c r="C1020" s="7"/>
      <c r="D1020" s="179"/>
      <c r="E1020" s="7"/>
      <c r="F1020" s="7"/>
      <c r="G1020" s="7"/>
      <c r="H1020" s="7"/>
    </row>
    <row r="1021" spans="1:8" x14ac:dyDescent="0.3">
      <c r="B1021" s="32"/>
      <c r="C1021" s="32"/>
      <c r="D1021" s="22"/>
      <c r="E1021" s="32"/>
      <c r="F1021" s="32"/>
      <c r="G1021" s="32"/>
      <c r="H1021" s="32"/>
    </row>
    <row r="1022" spans="1:8" ht="21.3" x14ac:dyDescent="0.4">
      <c r="A1022" s="12" t="s">
        <v>4</v>
      </c>
      <c r="B1022" s="12"/>
      <c r="C1022" s="42" t="str">
        <f>B29</f>
        <v>Oregon Trail Wind Park, LLC - Oregon Trail Wind Park -- REC Only **</v>
      </c>
      <c r="D1022" s="43"/>
      <c r="E1022" s="22"/>
      <c r="F1022" s="22"/>
    </row>
    <row r="1023" spans="1:8" x14ac:dyDescent="0.3">
      <c r="C1023" s="22" t="s">
        <v>173</v>
      </c>
    </row>
    <row r="1024" spans="1:8" ht="18.2" x14ac:dyDescent="0.35">
      <c r="A1024" s="8" t="s">
        <v>21</v>
      </c>
      <c r="B1024" s="8"/>
      <c r="D1024" s="127">
        <f>StartYear</f>
        <v>2016</v>
      </c>
      <c r="E1024" s="2">
        <f>D1024+1</f>
        <v>2017</v>
      </c>
      <c r="F1024" s="2">
        <f>E1024+1</f>
        <v>2018</v>
      </c>
      <c r="G1024" s="2">
        <f>F1024+1</f>
        <v>2019</v>
      </c>
      <c r="H1024" s="2">
        <f>G1024+1</f>
        <v>2020</v>
      </c>
    </row>
    <row r="1025" spans="1:8" x14ac:dyDescent="0.3">
      <c r="B1025" s="64" t="str">
        <f>"Purchased from " &amp; C1022</f>
        <v>Purchased from Oregon Trail Wind Park, LLC - Oregon Trail Wind Park -- REC Only **</v>
      </c>
      <c r="C1025" s="59"/>
      <c r="D1025" s="3"/>
      <c r="E1025" s="3"/>
      <c r="F1025" s="3"/>
      <c r="G1025" s="3">
        <v>9879</v>
      </c>
      <c r="H1025" s="4"/>
    </row>
    <row r="1026" spans="1:8" x14ac:dyDescent="0.3">
      <c r="B1026" s="64" t="s">
        <v>25</v>
      </c>
      <c r="C1026" s="59"/>
      <c r="D1026" s="141"/>
      <c r="E1026" s="141"/>
      <c r="F1026" s="141"/>
      <c r="G1026" s="141">
        <v>1</v>
      </c>
      <c r="H1026" s="142"/>
    </row>
    <row r="1027" spans="1:8" x14ac:dyDescent="0.3">
      <c r="B1027" s="64" t="s">
        <v>20</v>
      </c>
      <c r="C1027" s="59"/>
      <c r="D1027" s="47"/>
      <c r="E1027" s="47"/>
      <c r="F1027" s="47"/>
      <c r="G1027" s="47">
        <v>1</v>
      </c>
      <c r="H1027" s="48"/>
    </row>
    <row r="1028" spans="1:8" x14ac:dyDescent="0.3">
      <c r="B1028" s="61" t="s">
        <v>22</v>
      </c>
      <c r="C1028" s="62"/>
      <c r="D1028" s="140">
        <f xml:space="preserve"> D1025 * D1026 * D1027</f>
        <v>0</v>
      </c>
      <c r="E1028" s="140">
        <f xml:space="preserve"> E1025 * E1026 * E1027</f>
        <v>0</v>
      </c>
      <c r="F1028" s="140">
        <f t="shared" ref="F1028" si="63" xml:space="preserve"> ROUNDDOWN(F1025 * F1026 * F1027,0)</f>
        <v>0</v>
      </c>
      <c r="G1028" s="140">
        <f t="shared" ref="G1028" si="64" xml:space="preserve"> ROUNDDOWN(G1025 * G1026 * G1027,0)</f>
        <v>9879</v>
      </c>
      <c r="H1028" s="140">
        <f t="shared" ref="H1028" si="65" xml:space="preserve"> ROUNDDOWN(H1025 * H1026 * H1027,0)</f>
        <v>0</v>
      </c>
    </row>
    <row r="1029" spans="1:8" x14ac:dyDescent="0.3">
      <c r="B1029" s="22"/>
      <c r="C1029" s="32"/>
      <c r="D1029" s="39"/>
      <c r="E1029" s="39"/>
      <c r="F1029" s="39"/>
      <c r="G1029" s="176"/>
      <c r="H1029" s="39"/>
    </row>
    <row r="1030" spans="1:8" ht="18.2" x14ac:dyDescent="0.35">
      <c r="A1030" s="44" t="s">
        <v>119</v>
      </c>
      <c r="C1030" s="32"/>
      <c r="D1030" s="2">
        <f>StartYear</f>
        <v>2016</v>
      </c>
      <c r="E1030" s="2">
        <f>D1030+1</f>
        <v>2017</v>
      </c>
      <c r="F1030" s="2">
        <f>E1030+1</f>
        <v>2018</v>
      </c>
      <c r="G1030" s="2">
        <f>F1030+1</f>
        <v>2019</v>
      </c>
      <c r="H1030" s="2">
        <f>G1030+1</f>
        <v>2020</v>
      </c>
    </row>
    <row r="1031" spans="1:8" x14ac:dyDescent="0.3">
      <c r="B1031" s="64" t="s">
        <v>10</v>
      </c>
      <c r="C1031" s="59"/>
      <c r="D1031" s="10">
        <f>IF( $E609 = "Eligible", D1028 * 'Facility Detail'!$B$1614, 0 )</f>
        <v>0</v>
      </c>
      <c r="E1031" s="118">
        <f>IF( $E609 = "Eligible", E1028 * 'Facility Detail'!$B$1614, 0 )</f>
        <v>0</v>
      </c>
      <c r="F1031" s="118">
        <f>IF( $E609 = "Eligible", F1028 * 'Facility Detail'!$B$1614, 0 )</f>
        <v>0</v>
      </c>
      <c r="G1031" s="118">
        <f>IF( $E609 = "Eligible", G1028 * 'Facility Detail'!$B$1614, 0 )</f>
        <v>0</v>
      </c>
      <c r="H1031" s="11">
        <f>IF( $E609 = "Eligible", H1028 * 'Facility Detail'!$B$1614, 0 )</f>
        <v>0</v>
      </c>
    </row>
    <row r="1032" spans="1:8" x14ac:dyDescent="0.3">
      <c r="B1032" s="64" t="s">
        <v>6</v>
      </c>
      <c r="C1032" s="59"/>
      <c r="D1032" s="51">
        <f>IF( $F609 = "Eligible", D1028, 0 )</f>
        <v>0</v>
      </c>
      <c r="E1032" s="119">
        <f>IF( $F609 = "Eligible", E1028, 0 )</f>
        <v>0</v>
      </c>
      <c r="F1032" s="119">
        <f>IF( $F609 = "Eligible", F1028, 0 )</f>
        <v>0</v>
      </c>
      <c r="G1032" s="119">
        <f>IF( $F609 = "Eligible", G1028, 0 )</f>
        <v>0</v>
      </c>
      <c r="H1032" s="52">
        <f>IF( $F609 = "Eligible", H1028, 0 )</f>
        <v>0</v>
      </c>
    </row>
    <row r="1033" spans="1:8" x14ac:dyDescent="0.3">
      <c r="B1033" s="63" t="s">
        <v>121</v>
      </c>
      <c r="C1033" s="62"/>
      <c r="D1033" s="40">
        <f>SUM(D1031:D1032)</f>
        <v>0</v>
      </c>
      <c r="E1033" s="40">
        <f>SUM(E1031:E1032)</f>
        <v>0</v>
      </c>
      <c r="F1033" s="40">
        <f>SUM(F1031:F1032)</f>
        <v>0</v>
      </c>
      <c r="G1033" s="40">
        <f>SUM(G1031:G1032)</f>
        <v>0</v>
      </c>
      <c r="H1033" s="40">
        <f>SUM(H1031:H1032)</f>
        <v>0</v>
      </c>
    </row>
    <row r="1034" spans="1:8" x14ac:dyDescent="0.3">
      <c r="B1034" s="32"/>
      <c r="C1034" s="32"/>
      <c r="D1034" s="33"/>
      <c r="E1034" s="33"/>
      <c r="F1034" s="33"/>
      <c r="G1034" s="178"/>
      <c r="H1034" s="33"/>
    </row>
    <row r="1035" spans="1:8" ht="18.2" x14ac:dyDescent="0.35">
      <c r="A1035" s="41" t="s">
        <v>30</v>
      </c>
      <c r="C1035" s="32"/>
      <c r="D1035" s="2">
        <f>StartYear</f>
        <v>2016</v>
      </c>
      <c r="E1035" s="2">
        <f>D1035+1</f>
        <v>2017</v>
      </c>
      <c r="F1035" s="2">
        <f>E1035+1</f>
        <v>2018</v>
      </c>
      <c r="G1035" s="2">
        <f>F1035+1</f>
        <v>2019</v>
      </c>
      <c r="H1035" s="2">
        <f>G1035+1</f>
        <v>2020</v>
      </c>
    </row>
    <row r="1036" spans="1:8" x14ac:dyDescent="0.3">
      <c r="B1036" s="64" t="s">
        <v>47</v>
      </c>
      <c r="C1036" s="59"/>
      <c r="D1036" s="3"/>
      <c r="E1036" s="3"/>
      <c r="F1036" s="3"/>
      <c r="G1036" s="3"/>
      <c r="H1036" s="4"/>
    </row>
    <row r="1037" spans="1:8" x14ac:dyDescent="0.3">
      <c r="B1037" s="65" t="s">
        <v>23</v>
      </c>
      <c r="C1037" s="66"/>
      <c r="D1037" s="146"/>
      <c r="E1037" s="146"/>
      <c r="F1037" s="146"/>
      <c r="G1037" s="146"/>
      <c r="H1037" s="147"/>
    </row>
    <row r="1038" spans="1:8" x14ac:dyDescent="0.3">
      <c r="B1038" s="75" t="s">
        <v>89</v>
      </c>
      <c r="C1038" s="74"/>
      <c r="D1038" s="213"/>
      <c r="E1038" s="148"/>
      <c r="F1038" s="148"/>
      <c r="G1038" s="148"/>
      <c r="H1038" s="149"/>
    </row>
    <row r="1039" spans="1:8" x14ac:dyDescent="0.3">
      <c r="B1039" s="35" t="s">
        <v>90</v>
      </c>
      <c r="D1039" s="6">
        <f>SUM(D1036:D1038)</f>
        <v>0</v>
      </c>
      <c r="E1039" s="6">
        <f>SUM(E1036:E1038)</f>
        <v>0</v>
      </c>
      <c r="F1039" s="6">
        <f>SUM(F1036:F1038)</f>
        <v>0</v>
      </c>
      <c r="G1039" s="6">
        <f t="shared" ref="G1039" si="66">SUM(G1036:G1038)</f>
        <v>0</v>
      </c>
      <c r="H1039" s="6">
        <f t="shared" ref="H1039" si="67">SUM(H1036:H1038)</f>
        <v>0</v>
      </c>
    </row>
    <row r="1040" spans="1:8" x14ac:dyDescent="0.3">
      <c r="B1040" s="5"/>
      <c r="D1040" s="6"/>
      <c r="E1040" s="6"/>
      <c r="F1040" s="6"/>
      <c r="G1040" s="176"/>
      <c r="H1040" s="6"/>
    </row>
    <row r="1041" spans="1:8" ht="18.2" x14ac:dyDescent="0.35">
      <c r="A1041" s="8" t="s">
        <v>100</v>
      </c>
      <c r="D1041" s="2">
        <f>StartYear</f>
        <v>2016</v>
      </c>
      <c r="E1041" s="2">
        <f>D1041+1</f>
        <v>2017</v>
      </c>
      <c r="F1041" s="2">
        <f>E1041+1</f>
        <v>2018</v>
      </c>
      <c r="G1041" s="2">
        <f>F1041+1</f>
        <v>2019</v>
      </c>
      <c r="H1041" s="2">
        <f>G1041+1</f>
        <v>2020</v>
      </c>
    </row>
    <row r="1042" spans="1:8" x14ac:dyDescent="0.3">
      <c r="B1042" s="64" t="str">
        <f>(StartYear-1) &amp; " Surplus Applied to " &amp; StartYear</f>
        <v>2015 Surplus Applied to 2016</v>
      </c>
      <c r="C1042" s="32"/>
      <c r="D1042" s="205">
        <v>0</v>
      </c>
      <c r="E1042" s="206"/>
      <c r="F1042" s="206"/>
      <c r="G1042" s="206"/>
      <c r="H1042" s="207"/>
    </row>
    <row r="1043" spans="1:8" x14ac:dyDescent="0.3">
      <c r="B1043" s="64" t="str">
        <f>StartYear &amp; " Surplus Applied to " &amp; (StartYear-1)</f>
        <v>2016 Surplus Applied to 2015</v>
      </c>
      <c r="C1043" s="32"/>
      <c r="D1043" s="208">
        <v>0</v>
      </c>
      <c r="E1043" s="122"/>
      <c r="F1043" s="122"/>
      <c r="G1043" s="122"/>
      <c r="H1043" s="126"/>
    </row>
    <row r="1044" spans="1:8" x14ac:dyDescent="0.3">
      <c r="B1044" s="64" t="str">
        <f>( StartYear) &amp; " Surplus Applied to " &amp; ( StartYear + 1 )</f>
        <v>2016 Surplus Applied to 2017</v>
      </c>
      <c r="C1044" s="32"/>
      <c r="D1044" s="203">
        <f>D1028+D1033-D1039</f>
        <v>0</v>
      </c>
      <c r="E1044" s="204">
        <f>D1044</f>
        <v>0</v>
      </c>
      <c r="F1044" s="199"/>
      <c r="G1044" s="199"/>
      <c r="H1044" s="200"/>
    </row>
    <row r="1045" spans="1:8" x14ac:dyDescent="0.3">
      <c r="B1045" s="64" t="str">
        <f xml:space="preserve"> ( StartYear + 1 ) &amp; " Surplus Applied to " &amp; ( StartYear )</f>
        <v>2017 Surplus Applied to 2016</v>
      </c>
      <c r="C1045" s="59"/>
      <c r="D1045" s="143">
        <v>0</v>
      </c>
      <c r="E1045" s="9">
        <v>0</v>
      </c>
      <c r="F1045" s="122"/>
      <c r="G1045" s="122"/>
      <c r="H1045" s="126"/>
    </row>
    <row r="1046" spans="1:8" x14ac:dyDescent="0.3">
      <c r="B1046" s="128" t="str">
        <f xml:space="preserve"> ( StartYear + 1 ) &amp; " Surplus Applied to " &amp; ( StartYear + 2 )</f>
        <v>2017 Surplus Applied to 2018</v>
      </c>
      <c r="C1046" s="59"/>
      <c r="D1046" s="123"/>
      <c r="E1046" s="9">
        <v>0</v>
      </c>
      <c r="F1046" s="58">
        <f>E1046</f>
        <v>0</v>
      </c>
      <c r="G1046" s="122"/>
      <c r="H1046" s="126"/>
    </row>
    <row r="1047" spans="1:8" x14ac:dyDescent="0.3">
      <c r="B1047" s="128" t="str">
        <f xml:space="preserve"> ( StartYear + 2 ) &amp; " Surplus Applied to " &amp; ( StartYear + 1 )</f>
        <v>2018 Surplus Applied to 2017</v>
      </c>
      <c r="C1047" s="59"/>
      <c r="D1047" s="123"/>
      <c r="E1047" s="58">
        <v>0</v>
      </c>
      <c r="F1047" s="9">
        <v>0</v>
      </c>
      <c r="G1047" s="122"/>
      <c r="H1047" s="126"/>
    </row>
    <row r="1048" spans="1:8" x14ac:dyDescent="0.3">
      <c r="B1048" s="174" t="str">
        <f xml:space="preserve"> ( StartYear + 2 ) &amp; " Surplus Applied to " &amp; ( StartYear + 3 )</f>
        <v>2018 Surplus Applied to 2019</v>
      </c>
      <c r="C1048" s="32"/>
      <c r="D1048" s="123"/>
      <c r="E1048" s="122"/>
      <c r="F1048" s="9">
        <v>0</v>
      </c>
      <c r="G1048" s="58">
        <f>F1048</f>
        <v>0</v>
      </c>
      <c r="H1048" s="126"/>
    </row>
    <row r="1049" spans="1:8" x14ac:dyDescent="0.3">
      <c r="B1049" s="174" t="str">
        <f xml:space="preserve"> ( StartYear + 3 ) &amp; " Surplus Applied to " &amp; ( StartYear + 2 )</f>
        <v>2019 Surplus Applied to 2018</v>
      </c>
      <c r="C1049" s="32"/>
      <c r="D1049" s="123"/>
      <c r="E1049" s="122"/>
      <c r="F1049" s="58">
        <v>0</v>
      </c>
      <c r="G1049" s="9">
        <v>0</v>
      </c>
      <c r="H1049" s="126"/>
    </row>
    <row r="1050" spans="1:8" x14ac:dyDescent="0.3">
      <c r="B1050" s="174" t="str">
        <f xml:space="preserve"> ( StartYear + 3 ) &amp; " Surplus Applied to " &amp; ( StartYear + 4 )</f>
        <v>2019 Surplus Applied to 2020</v>
      </c>
      <c r="C1050" s="32"/>
      <c r="D1050" s="123"/>
      <c r="E1050" s="122"/>
      <c r="F1050" s="122"/>
      <c r="G1050" s="9">
        <f>G1028+G1033-G1039</f>
        <v>9879</v>
      </c>
      <c r="H1050" s="53">
        <f>G1050</f>
        <v>9879</v>
      </c>
    </row>
    <row r="1051" spans="1:8" x14ac:dyDescent="0.3">
      <c r="B1051" s="174" t="str">
        <f xml:space="preserve"> ( StartYear + 4 ) &amp; " Surplus Applied to " &amp; ( StartYear + 3 )</f>
        <v>2020 Surplus Applied to 2019</v>
      </c>
      <c r="C1051" s="32"/>
      <c r="D1051" s="124"/>
      <c r="E1051" s="125"/>
      <c r="F1051" s="125"/>
      <c r="G1051" s="54">
        <v>0</v>
      </c>
      <c r="H1051" s="46">
        <v>0</v>
      </c>
    </row>
    <row r="1052" spans="1:8" x14ac:dyDescent="0.3">
      <c r="B1052" s="35" t="s">
        <v>17</v>
      </c>
      <c r="D1052" s="6">
        <f>D1042-D1043+D1045-D1044</f>
        <v>0</v>
      </c>
      <c r="E1052" s="6">
        <f>E1044+E1047-E1045-E1046</f>
        <v>0</v>
      </c>
      <c r="F1052" s="6">
        <f>F1046+F1049-F1047-F1048</f>
        <v>0</v>
      </c>
      <c r="G1052" s="6">
        <f>G1048+G1051-G1049-G1050</f>
        <v>-9879</v>
      </c>
      <c r="H1052" s="6">
        <f>H1050 - H1051</f>
        <v>9879</v>
      </c>
    </row>
    <row r="1053" spans="1:8" x14ac:dyDescent="0.3">
      <c r="B1053" s="5"/>
      <c r="D1053" s="6"/>
      <c r="E1053" s="6"/>
      <c r="F1053" s="6"/>
      <c r="G1053" s="6"/>
      <c r="H1053" s="6"/>
    </row>
    <row r="1054" spans="1:8" x14ac:dyDescent="0.3">
      <c r="B1054" s="61" t="s">
        <v>12</v>
      </c>
      <c r="C1054" s="59"/>
      <c r="D1054" s="82"/>
      <c r="E1054" s="120"/>
      <c r="F1054" s="120"/>
      <c r="G1054" s="120"/>
      <c r="H1054" s="83"/>
    </row>
    <row r="1055" spans="1:8" x14ac:dyDescent="0.3">
      <c r="B1055" s="5"/>
      <c r="D1055" s="6"/>
      <c r="E1055" s="6"/>
      <c r="F1055" s="6"/>
      <c r="G1055" s="6"/>
      <c r="H1055" s="6"/>
    </row>
    <row r="1056" spans="1:8" ht="18.2" x14ac:dyDescent="0.35">
      <c r="A1056" s="41" t="s">
        <v>26</v>
      </c>
      <c r="C1056" s="59"/>
      <c r="D1056" s="121">
        <f xml:space="preserve"> D1028 + D1033 - D1039 + D1052 + D1054</f>
        <v>0</v>
      </c>
      <c r="E1056" s="121">
        <f xml:space="preserve"> E1028 + E1033 - E1039 + E1052 + E1054</f>
        <v>0</v>
      </c>
      <c r="F1056" s="121">
        <f t="shared" ref="F1056:H1056" si="68" xml:space="preserve"> F1028 + F1033 - F1039 + F1052 + F1054</f>
        <v>0</v>
      </c>
      <c r="G1056" s="121">
        <f t="shared" si="68"/>
        <v>0</v>
      </c>
      <c r="H1056" s="192">
        <f t="shared" si="68"/>
        <v>9879</v>
      </c>
    </row>
    <row r="1057" spans="1:8" x14ac:dyDescent="0.3">
      <c r="B1057" s="5"/>
      <c r="C1057" s="5" t="s">
        <v>169</v>
      </c>
      <c r="D1057" s="6"/>
      <c r="E1057" s="6"/>
      <c r="F1057" s="31"/>
      <c r="G1057" s="31"/>
      <c r="H1057" s="31"/>
    </row>
    <row r="1058" spans="1:8" ht="15.65" thickBot="1" x14ac:dyDescent="0.35"/>
    <row r="1059" spans="1:8" x14ac:dyDescent="0.3">
      <c r="A1059" s="7"/>
      <c r="B1059" s="7"/>
      <c r="C1059" s="7"/>
      <c r="D1059" s="179"/>
      <c r="E1059" s="7"/>
      <c r="F1059" s="7"/>
      <c r="G1059" s="7"/>
      <c r="H1059" s="7"/>
    </row>
    <row r="1060" spans="1:8" x14ac:dyDescent="0.3">
      <c r="B1060" s="32"/>
      <c r="C1060" s="32"/>
      <c r="D1060" s="22"/>
      <c r="E1060" s="32"/>
      <c r="F1060" s="32"/>
      <c r="G1060" s="32"/>
      <c r="H1060" s="32"/>
    </row>
    <row r="1061" spans="1:8" ht="21.3" x14ac:dyDescent="0.4">
      <c r="A1061" s="12" t="s">
        <v>4</v>
      </c>
      <c r="B1061" s="12"/>
      <c r="C1061" s="42" t="str">
        <f>B30</f>
        <v>PaTu Wind Farm - PaTu Wind -- REC Only **</v>
      </c>
      <c r="D1061" s="43"/>
      <c r="E1061" s="22"/>
      <c r="F1061" s="22"/>
    </row>
    <row r="1062" spans="1:8" x14ac:dyDescent="0.3">
      <c r="C1062" s="22" t="s">
        <v>173</v>
      </c>
    </row>
    <row r="1063" spans="1:8" ht="18.2" x14ac:dyDescent="0.35">
      <c r="A1063" s="8" t="s">
        <v>21</v>
      </c>
      <c r="B1063" s="8"/>
      <c r="D1063" s="127">
        <f>StartYear</f>
        <v>2016</v>
      </c>
      <c r="E1063" s="2">
        <f>D1063+1</f>
        <v>2017</v>
      </c>
      <c r="F1063" s="2">
        <f>E1063+1</f>
        <v>2018</v>
      </c>
      <c r="G1063" s="2">
        <f>F1063+1</f>
        <v>2019</v>
      </c>
      <c r="H1063" s="2">
        <f>G1063+1</f>
        <v>2020</v>
      </c>
    </row>
    <row r="1064" spans="1:8" x14ac:dyDescent="0.3">
      <c r="B1064" s="64" t="str">
        <f>"Purchased from " &amp; C1061</f>
        <v>Purchased from PaTu Wind Farm - PaTu Wind -- REC Only **</v>
      </c>
      <c r="C1064" s="59"/>
      <c r="D1064" s="3"/>
      <c r="E1064" s="3"/>
      <c r="F1064" s="3"/>
      <c r="G1064" s="3">
        <v>12375</v>
      </c>
      <c r="H1064" s="4"/>
    </row>
    <row r="1065" spans="1:8" x14ac:dyDescent="0.3">
      <c r="B1065" s="64" t="s">
        <v>25</v>
      </c>
      <c r="C1065" s="59"/>
      <c r="D1065" s="141"/>
      <c r="E1065" s="141"/>
      <c r="F1065" s="141"/>
      <c r="G1065" s="141">
        <v>1</v>
      </c>
      <c r="H1065" s="142"/>
    </row>
    <row r="1066" spans="1:8" x14ac:dyDescent="0.3">
      <c r="B1066" s="64" t="s">
        <v>20</v>
      </c>
      <c r="C1066" s="59"/>
      <c r="D1066" s="47"/>
      <c r="E1066" s="47"/>
      <c r="F1066" s="47"/>
      <c r="G1066" s="47">
        <v>1</v>
      </c>
      <c r="H1066" s="48"/>
    </row>
    <row r="1067" spans="1:8" x14ac:dyDescent="0.3">
      <c r="B1067" s="61" t="s">
        <v>22</v>
      </c>
      <c r="C1067" s="62"/>
      <c r="D1067" s="140">
        <f xml:space="preserve"> D1064 * D1065 * D1066</f>
        <v>0</v>
      </c>
      <c r="E1067" s="140">
        <f xml:space="preserve"> E1064 * E1065 * E1066</f>
        <v>0</v>
      </c>
      <c r="F1067" s="140">
        <f t="shared" ref="F1067" si="69" xml:space="preserve"> ROUNDDOWN(F1064 * F1065 * F1066,0)</f>
        <v>0</v>
      </c>
      <c r="G1067" s="140">
        <f t="shared" ref="G1067" si="70" xml:space="preserve"> ROUNDDOWN(G1064 * G1065 * G1066,0)</f>
        <v>12375</v>
      </c>
      <c r="H1067" s="140">
        <f t="shared" ref="H1067" si="71" xml:space="preserve"> ROUNDDOWN(H1064 * H1065 * H1066,0)</f>
        <v>0</v>
      </c>
    </row>
    <row r="1068" spans="1:8" x14ac:dyDescent="0.3">
      <c r="B1068" s="22"/>
      <c r="C1068" s="32"/>
      <c r="D1068" s="39"/>
      <c r="E1068" s="39"/>
      <c r="F1068" s="39"/>
      <c r="G1068" s="176"/>
      <c r="H1068" s="39"/>
    </row>
    <row r="1069" spans="1:8" ht="18.2" x14ac:dyDescent="0.35">
      <c r="A1069" s="44" t="s">
        <v>119</v>
      </c>
      <c r="C1069" s="32"/>
      <c r="D1069" s="2">
        <f>StartYear</f>
        <v>2016</v>
      </c>
      <c r="E1069" s="2">
        <f>D1069+1</f>
        <v>2017</v>
      </c>
      <c r="F1069" s="2">
        <f>E1069+1</f>
        <v>2018</v>
      </c>
      <c r="G1069" s="2">
        <f>F1069+1</f>
        <v>2019</v>
      </c>
      <c r="H1069" s="2">
        <f>G1069+1</f>
        <v>2020</v>
      </c>
    </row>
    <row r="1070" spans="1:8" x14ac:dyDescent="0.3">
      <c r="B1070" s="64" t="s">
        <v>10</v>
      </c>
      <c r="C1070" s="59"/>
      <c r="D1070" s="10">
        <f>IF( $E648 = "Eligible", D1067 * 'Facility Detail'!$B$1614, 0 )</f>
        <v>0</v>
      </c>
      <c r="E1070" s="118">
        <f>IF( $E648 = "Eligible", E1067 * 'Facility Detail'!$B$1614, 0 )</f>
        <v>0</v>
      </c>
      <c r="F1070" s="118">
        <f>IF( $E648 = "Eligible", F1067 * 'Facility Detail'!$B$1614, 0 )</f>
        <v>0</v>
      </c>
      <c r="G1070" s="118">
        <f>IF( $E648 = "Eligible", G1067 * 'Facility Detail'!$B$1614, 0 )</f>
        <v>0</v>
      </c>
      <c r="H1070" s="11">
        <f>IF( $E648 = "Eligible", H1067 * 'Facility Detail'!$B$1614, 0 )</f>
        <v>0</v>
      </c>
    </row>
    <row r="1071" spans="1:8" x14ac:dyDescent="0.3">
      <c r="B1071" s="64" t="s">
        <v>6</v>
      </c>
      <c r="C1071" s="59"/>
      <c r="D1071" s="51">
        <f>IF( $F648 = "Eligible", D1067, 0 )</f>
        <v>0</v>
      </c>
      <c r="E1071" s="119">
        <f>IF( $F648 = "Eligible", E1067, 0 )</f>
        <v>0</v>
      </c>
      <c r="F1071" s="119">
        <f>IF( $F648 = "Eligible", F1067, 0 )</f>
        <v>0</v>
      </c>
      <c r="G1071" s="119">
        <f>IF( $F648 = "Eligible", G1067, 0 )</f>
        <v>0</v>
      </c>
      <c r="H1071" s="52">
        <f>IF( $F648 = "Eligible", H1067, 0 )</f>
        <v>0</v>
      </c>
    </row>
    <row r="1072" spans="1:8" x14ac:dyDescent="0.3">
      <c r="B1072" s="63" t="s">
        <v>121</v>
      </c>
      <c r="C1072" s="62"/>
      <c r="D1072" s="40">
        <f>SUM(D1070:D1071)</f>
        <v>0</v>
      </c>
      <c r="E1072" s="40">
        <f>SUM(E1070:E1071)</f>
        <v>0</v>
      </c>
      <c r="F1072" s="40">
        <f>SUM(F1070:F1071)</f>
        <v>0</v>
      </c>
      <c r="G1072" s="40">
        <f>SUM(G1070:G1071)</f>
        <v>0</v>
      </c>
      <c r="H1072" s="40">
        <f>SUM(H1070:H1071)</f>
        <v>0</v>
      </c>
    </row>
    <row r="1073" spans="1:8" x14ac:dyDescent="0.3">
      <c r="B1073" s="32"/>
      <c r="C1073" s="32"/>
      <c r="D1073" s="33"/>
      <c r="E1073" s="33"/>
      <c r="F1073" s="33"/>
      <c r="G1073" s="178"/>
      <c r="H1073" s="33"/>
    </row>
    <row r="1074" spans="1:8" ht="18.2" x14ac:dyDescent="0.35">
      <c r="A1074" s="41" t="s">
        <v>30</v>
      </c>
      <c r="C1074" s="32"/>
      <c r="D1074" s="2">
        <f>StartYear</f>
        <v>2016</v>
      </c>
      <c r="E1074" s="2">
        <f>D1074+1</f>
        <v>2017</v>
      </c>
      <c r="F1074" s="2">
        <f>E1074+1</f>
        <v>2018</v>
      </c>
      <c r="G1074" s="2">
        <f>F1074+1</f>
        <v>2019</v>
      </c>
      <c r="H1074" s="2">
        <f>G1074+1</f>
        <v>2020</v>
      </c>
    </row>
    <row r="1075" spans="1:8" x14ac:dyDescent="0.3">
      <c r="B1075" s="64" t="s">
        <v>47</v>
      </c>
      <c r="C1075" s="59"/>
      <c r="D1075" s="3"/>
      <c r="E1075" s="3"/>
      <c r="F1075" s="3"/>
      <c r="G1075" s="3"/>
      <c r="H1075" s="4"/>
    </row>
    <row r="1076" spans="1:8" x14ac:dyDescent="0.3">
      <c r="B1076" s="65" t="s">
        <v>23</v>
      </c>
      <c r="C1076" s="66"/>
      <c r="D1076" s="146"/>
      <c r="E1076" s="146"/>
      <c r="F1076" s="146"/>
      <c r="G1076" s="146"/>
      <c r="H1076" s="147"/>
    </row>
    <row r="1077" spans="1:8" x14ac:dyDescent="0.3">
      <c r="B1077" s="75" t="s">
        <v>89</v>
      </c>
      <c r="C1077" s="74"/>
      <c r="D1077" s="213"/>
      <c r="E1077" s="148"/>
      <c r="F1077" s="148"/>
      <c r="G1077" s="148"/>
      <c r="H1077" s="149"/>
    </row>
    <row r="1078" spans="1:8" x14ac:dyDescent="0.3">
      <c r="B1078" s="35" t="s">
        <v>90</v>
      </c>
      <c r="D1078" s="6">
        <f>SUM(D1075:D1077)</f>
        <v>0</v>
      </c>
      <c r="E1078" s="6">
        <f>SUM(E1075:E1077)</f>
        <v>0</v>
      </c>
      <c r="F1078" s="6">
        <f>SUM(F1075:F1077)</f>
        <v>0</v>
      </c>
      <c r="G1078" s="6">
        <f t="shared" ref="G1078" si="72">SUM(G1075:G1077)</f>
        <v>0</v>
      </c>
      <c r="H1078" s="6">
        <f t="shared" ref="H1078" si="73">SUM(H1075:H1077)</f>
        <v>0</v>
      </c>
    </row>
    <row r="1079" spans="1:8" x14ac:dyDescent="0.3">
      <c r="B1079" s="5"/>
      <c r="D1079" s="6"/>
      <c r="E1079" s="6"/>
      <c r="F1079" s="6"/>
      <c r="G1079" s="176"/>
      <c r="H1079" s="6"/>
    </row>
    <row r="1080" spans="1:8" ht="18.2" x14ac:dyDescent="0.35">
      <c r="A1080" s="8" t="s">
        <v>100</v>
      </c>
      <c r="D1080" s="2">
        <f>StartYear</f>
        <v>2016</v>
      </c>
      <c r="E1080" s="2">
        <f>D1080+1</f>
        <v>2017</v>
      </c>
      <c r="F1080" s="2">
        <f>E1080+1</f>
        <v>2018</v>
      </c>
      <c r="G1080" s="2">
        <f>F1080+1</f>
        <v>2019</v>
      </c>
      <c r="H1080" s="2">
        <f>G1080+1</f>
        <v>2020</v>
      </c>
    </row>
    <row r="1081" spans="1:8" x14ac:dyDescent="0.3">
      <c r="B1081" s="64" t="str">
        <f>(StartYear-1) &amp; " Surplus Applied to " &amp; StartYear</f>
        <v>2015 Surplus Applied to 2016</v>
      </c>
      <c r="C1081" s="32"/>
      <c r="D1081" s="205">
        <v>0</v>
      </c>
      <c r="E1081" s="206"/>
      <c r="F1081" s="206"/>
      <c r="G1081" s="206"/>
      <c r="H1081" s="207"/>
    </row>
    <row r="1082" spans="1:8" x14ac:dyDescent="0.3">
      <c r="B1082" s="64" t="str">
        <f>StartYear &amp; " Surplus Applied to " &amp; (StartYear-1)</f>
        <v>2016 Surplus Applied to 2015</v>
      </c>
      <c r="C1082" s="32"/>
      <c r="D1082" s="208">
        <v>0</v>
      </c>
      <c r="E1082" s="122"/>
      <c r="F1082" s="122"/>
      <c r="G1082" s="122"/>
      <c r="H1082" s="126"/>
    </row>
    <row r="1083" spans="1:8" x14ac:dyDescent="0.3">
      <c r="B1083" s="64" t="str">
        <f>( StartYear) &amp; " Surplus Applied to " &amp; ( StartYear + 1 )</f>
        <v>2016 Surplus Applied to 2017</v>
      </c>
      <c r="C1083" s="32"/>
      <c r="D1083" s="203">
        <f>D1067+D1072-D1078</f>
        <v>0</v>
      </c>
      <c r="E1083" s="204">
        <f>D1083</f>
        <v>0</v>
      </c>
      <c r="F1083" s="199"/>
      <c r="G1083" s="199"/>
      <c r="H1083" s="200"/>
    </row>
    <row r="1084" spans="1:8" x14ac:dyDescent="0.3">
      <c r="B1084" s="64" t="str">
        <f xml:space="preserve"> ( StartYear + 1 ) &amp; " Surplus Applied to " &amp; ( StartYear )</f>
        <v>2017 Surplus Applied to 2016</v>
      </c>
      <c r="C1084" s="59"/>
      <c r="D1084" s="143">
        <v>0</v>
      </c>
      <c r="E1084" s="9">
        <v>0</v>
      </c>
      <c r="F1084" s="122"/>
      <c r="G1084" s="122"/>
      <c r="H1084" s="126"/>
    </row>
    <row r="1085" spans="1:8" x14ac:dyDescent="0.3">
      <c r="B1085" s="128" t="str">
        <f xml:space="preserve"> ( StartYear + 1 ) &amp; " Surplus Applied to " &amp; ( StartYear + 2 )</f>
        <v>2017 Surplus Applied to 2018</v>
      </c>
      <c r="C1085" s="59"/>
      <c r="D1085" s="123"/>
      <c r="E1085" s="9">
        <v>0</v>
      </c>
      <c r="F1085" s="58">
        <f>E1085</f>
        <v>0</v>
      </c>
      <c r="G1085" s="122"/>
      <c r="H1085" s="126"/>
    </row>
    <row r="1086" spans="1:8" x14ac:dyDescent="0.3">
      <c r="B1086" s="128" t="str">
        <f xml:space="preserve"> ( StartYear + 2 ) &amp; " Surplus Applied to " &amp; ( StartYear + 1 )</f>
        <v>2018 Surplus Applied to 2017</v>
      </c>
      <c r="C1086" s="59"/>
      <c r="D1086" s="123"/>
      <c r="E1086" s="58">
        <v>0</v>
      </c>
      <c r="F1086" s="9">
        <v>0</v>
      </c>
      <c r="G1086" s="122"/>
      <c r="H1086" s="126"/>
    </row>
    <row r="1087" spans="1:8" x14ac:dyDescent="0.3">
      <c r="B1087" s="174" t="str">
        <f xml:space="preserve"> ( StartYear + 2 ) &amp; " Surplus Applied to " &amp; ( StartYear + 3 )</f>
        <v>2018 Surplus Applied to 2019</v>
      </c>
      <c r="C1087" s="32"/>
      <c r="D1087" s="123"/>
      <c r="E1087" s="122"/>
      <c r="F1087" s="9">
        <v>0</v>
      </c>
      <c r="G1087" s="58">
        <f>F1087</f>
        <v>0</v>
      </c>
      <c r="H1087" s="126"/>
    </row>
    <row r="1088" spans="1:8" x14ac:dyDescent="0.3">
      <c r="B1088" s="174" t="str">
        <f xml:space="preserve"> ( StartYear + 3 ) &amp; " Surplus Applied to " &amp; ( StartYear + 2 )</f>
        <v>2019 Surplus Applied to 2018</v>
      </c>
      <c r="C1088" s="32"/>
      <c r="D1088" s="123"/>
      <c r="E1088" s="122"/>
      <c r="F1088" s="58">
        <v>0</v>
      </c>
      <c r="G1088" s="9">
        <v>0</v>
      </c>
      <c r="H1088" s="126"/>
    </row>
    <row r="1089" spans="1:8" x14ac:dyDescent="0.3">
      <c r="B1089" s="174" t="str">
        <f xml:space="preserve"> ( StartYear + 3 ) &amp; " Surplus Applied to " &amp; ( StartYear + 4 )</f>
        <v>2019 Surplus Applied to 2020</v>
      </c>
      <c r="C1089" s="32"/>
      <c r="D1089" s="123"/>
      <c r="E1089" s="122"/>
      <c r="F1089" s="122"/>
      <c r="G1089" s="9">
        <f>G1067+G1072-G1078</f>
        <v>12375</v>
      </c>
      <c r="H1089" s="53">
        <f>G1089</f>
        <v>12375</v>
      </c>
    </row>
    <row r="1090" spans="1:8" x14ac:dyDescent="0.3">
      <c r="B1090" s="174" t="str">
        <f xml:space="preserve"> ( StartYear + 4 ) &amp; " Surplus Applied to " &amp; ( StartYear + 3 )</f>
        <v>2020 Surplus Applied to 2019</v>
      </c>
      <c r="C1090" s="32"/>
      <c r="D1090" s="124"/>
      <c r="E1090" s="125"/>
      <c r="F1090" s="125"/>
      <c r="G1090" s="54">
        <v>0</v>
      </c>
      <c r="H1090" s="46">
        <v>0</v>
      </c>
    </row>
    <row r="1091" spans="1:8" x14ac:dyDescent="0.3">
      <c r="B1091" s="35" t="s">
        <v>17</v>
      </c>
      <c r="D1091" s="6">
        <f>D1081-D1082+D1084-D1083</f>
        <v>0</v>
      </c>
      <c r="E1091" s="6">
        <f>E1083+E1086-E1084-E1085</f>
        <v>0</v>
      </c>
      <c r="F1091" s="6">
        <f>F1085+F1088-F1086-F1087</f>
        <v>0</v>
      </c>
      <c r="G1091" s="6">
        <f>G1087+G1090-G1088-G1089</f>
        <v>-12375</v>
      </c>
      <c r="H1091" s="6">
        <f>H1089 - H1090</f>
        <v>12375</v>
      </c>
    </row>
    <row r="1092" spans="1:8" x14ac:dyDescent="0.3">
      <c r="B1092" s="5"/>
      <c r="D1092" s="6"/>
      <c r="E1092" s="6"/>
      <c r="F1092" s="6"/>
      <c r="G1092" s="6"/>
      <c r="H1092" s="6"/>
    </row>
    <row r="1093" spans="1:8" x14ac:dyDescent="0.3">
      <c r="B1093" s="61" t="s">
        <v>12</v>
      </c>
      <c r="C1093" s="59"/>
      <c r="D1093" s="82"/>
      <c r="E1093" s="120"/>
      <c r="F1093" s="120"/>
      <c r="G1093" s="120"/>
      <c r="H1093" s="83"/>
    </row>
    <row r="1094" spans="1:8" x14ac:dyDescent="0.3">
      <c r="B1094" s="5"/>
      <c r="D1094" s="6"/>
      <c r="E1094" s="6"/>
      <c r="F1094" s="6"/>
      <c r="G1094" s="6"/>
      <c r="H1094" s="6"/>
    </row>
    <row r="1095" spans="1:8" ht="18.2" x14ac:dyDescent="0.35">
      <c r="A1095" s="41" t="s">
        <v>26</v>
      </c>
      <c r="C1095" s="59"/>
      <c r="D1095" s="121">
        <f xml:space="preserve"> D1067 + D1072 - D1078 + D1091 + D1093</f>
        <v>0</v>
      </c>
      <c r="E1095" s="121">
        <f xml:space="preserve"> E1067 + E1072 - E1078 + E1091 + E1093</f>
        <v>0</v>
      </c>
      <c r="F1095" s="121">
        <f t="shared" ref="F1095:H1095" si="74" xml:space="preserve"> F1067 + F1072 - F1078 + F1091 + F1093</f>
        <v>0</v>
      </c>
      <c r="G1095" s="121">
        <f t="shared" si="74"/>
        <v>0</v>
      </c>
      <c r="H1095" s="192">
        <f t="shared" si="74"/>
        <v>12375</v>
      </c>
    </row>
    <row r="1096" spans="1:8" x14ac:dyDescent="0.3">
      <c r="B1096" s="5"/>
      <c r="C1096" s="5" t="s">
        <v>169</v>
      </c>
      <c r="D1096" s="6"/>
      <c r="E1096" s="6"/>
      <c r="F1096" s="31"/>
      <c r="G1096" s="31"/>
      <c r="H1096" s="31"/>
    </row>
    <row r="1097" spans="1:8" ht="15.65" thickBot="1" x14ac:dyDescent="0.35"/>
    <row r="1098" spans="1:8" x14ac:dyDescent="0.3">
      <c r="A1098" s="7"/>
      <c r="B1098" s="7"/>
      <c r="C1098" s="7"/>
      <c r="D1098" s="179"/>
      <c r="E1098" s="7"/>
      <c r="F1098" s="7"/>
      <c r="G1098" s="7"/>
      <c r="H1098" s="7"/>
    </row>
    <row r="1099" spans="1:8" x14ac:dyDescent="0.3">
      <c r="B1099" s="32"/>
      <c r="C1099" s="32"/>
      <c r="D1099" s="22"/>
      <c r="E1099" s="32"/>
      <c r="F1099" s="32"/>
      <c r="G1099" s="32"/>
      <c r="H1099" s="32"/>
    </row>
    <row r="1100" spans="1:8" ht="21.3" x14ac:dyDescent="0.4">
      <c r="A1100" s="12" t="s">
        <v>4</v>
      </c>
      <c r="B1100" s="12"/>
      <c r="C1100" s="42" t="str">
        <f>B31</f>
        <v>Roseburg LFG - Roseburg LFG Energy -- REC Only **</v>
      </c>
      <c r="D1100" s="43"/>
      <c r="E1100" s="22"/>
      <c r="F1100" s="22"/>
    </row>
    <row r="1101" spans="1:8" x14ac:dyDescent="0.3">
      <c r="C1101" s="22" t="s">
        <v>173</v>
      </c>
    </row>
    <row r="1102" spans="1:8" ht="18.2" x14ac:dyDescent="0.35">
      <c r="A1102" s="8" t="s">
        <v>21</v>
      </c>
      <c r="B1102" s="8"/>
      <c r="D1102" s="127">
        <f>StartYear</f>
        <v>2016</v>
      </c>
      <c r="E1102" s="2">
        <f>D1102+1</f>
        <v>2017</v>
      </c>
      <c r="F1102" s="2">
        <f>E1102+1</f>
        <v>2018</v>
      </c>
      <c r="G1102" s="2">
        <f>F1102+1</f>
        <v>2019</v>
      </c>
      <c r="H1102" s="2">
        <f>G1102+1</f>
        <v>2020</v>
      </c>
    </row>
    <row r="1103" spans="1:8" x14ac:dyDescent="0.3">
      <c r="B1103" s="64" t="str">
        <f>"Purchased from " &amp; C1100</f>
        <v>Purchased from Roseburg LFG - Roseburg LFG Energy -- REC Only **</v>
      </c>
      <c r="C1103" s="59"/>
      <c r="D1103" s="3"/>
      <c r="E1103" s="3"/>
      <c r="F1103" s="3"/>
      <c r="G1103" s="3">
        <v>2361</v>
      </c>
      <c r="H1103" s="4"/>
    </row>
    <row r="1104" spans="1:8" x14ac:dyDescent="0.3">
      <c r="B1104" s="64" t="s">
        <v>25</v>
      </c>
      <c r="C1104" s="59"/>
      <c r="D1104" s="141"/>
      <c r="E1104" s="141"/>
      <c r="F1104" s="141"/>
      <c r="G1104" s="141">
        <v>1</v>
      </c>
      <c r="H1104" s="142"/>
    </row>
    <row r="1105" spans="1:8" x14ac:dyDescent="0.3">
      <c r="B1105" s="64" t="s">
        <v>20</v>
      </c>
      <c r="C1105" s="59"/>
      <c r="D1105" s="47"/>
      <c r="E1105" s="47"/>
      <c r="F1105" s="47"/>
      <c r="G1105" s="47">
        <v>1</v>
      </c>
      <c r="H1105" s="48"/>
    </row>
    <row r="1106" spans="1:8" x14ac:dyDescent="0.3">
      <c r="B1106" s="61" t="s">
        <v>22</v>
      </c>
      <c r="C1106" s="62"/>
      <c r="D1106" s="140">
        <f xml:space="preserve"> D1103 * D1104 * D1105</f>
        <v>0</v>
      </c>
      <c r="E1106" s="140">
        <f xml:space="preserve"> E1103 * E1104 * E1105</f>
        <v>0</v>
      </c>
      <c r="F1106" s="140">
        <f t="shared" ref="F1106" si="75" xml:space="preserve"> ROUNDDOWN(F1103 * F1104 * F1105,0)</f>
        <v>0</v>
      </c>
      <c r="G1106" s="140">
        <f t="shared" ref="G1106" si="76" xml:space="preserve"> ROUNDDOWN(G1103 * G1104 * G1105,0)</f>
        <v>2361</v>
      </c>
      <c r="H1106" s="140">
        <f t="shared" ref="H1106" si="77" xml:space="preserve"> ROUNDDOWN(H1103 * H1104 * H1105,0)</f>
        <v>0</v>
      </c>
    </row>
    <row r="1107" spans="1:8" x14ac:dyDescent="0.3">
      <c r="B1107" s="22"/>
      <c r="C1107" s="32"/>
      <c r="D1107" s="39"/>
      <c r="E1107" s="39"/>
      <c r="F1107" s="39"/>
      <c r="G1107" s="176"/>
      <c r="H1107" s="39"/>
    </row>
    <row r="1108" spans="1:8" ht="18.2" x14ac:dyDescent="0.35">
      <c r="A1108" s="44" t="s">
        <v>119</v>
      </c>
      <c r="C1108" s="32"/>
      <c r="D1108" s="2">
        <f>StartYear</f>
        <v>2016</v>
      </c>
      <c r="E1108" s="2">
        <f>D1108+1</f>
        <v>2017</v>
      </c>
      <c r="F1108" s="2">
        <f>E1108+1</f>
        <v>2018</v>
      </c>
      <c r="G1108" s="2">
        <f>F1108+1</f>
        <v>2019</v>
      </c>
      <c r="H1108" s="2">
        <f>G1108+1</f>
        <v>2020</v>
      </c>
    </row>
    <row r="1109" spans="1:8" x14ac:dyDescent="0.3">
      <c r="B1109" s="64" t="s">
        <v>10</v>
      </c>
      <c r="C1109" s="59"/>
      <c r="D1109" s="10">
        <f>IF( $E687 = "Eligible", D1106 * 'Facility Detail'!$B$1614, 0 )</f>
        <v>0</v>
      </c>
      <c r="E1109" s="118">
        <f>IF( $E687 = "Eligible", E1106 * 'Facility Detail'!$B$1614, 0 )</f>
        <v>0</v>
      </c>
      <c r="F1109" s="118">
        <f>IF( $E687 = "Eligible", F1106 * 'Facility Detail'!$B$1614, 0 )</f>
        <v>0</v>
      </c>
      <c r="G1109" s="118">
        <f>IF( $E687 = "Eligible", G1106 * 'Facility Detail'!$B$1614, 0 )</f>
        <v>0</v>
      </c>
      <c r="H1109" s="11">
        <f>IF( $E687 = "Eligible", H1106 * 'Facility Detail'!$B$1614, 0 )</f>
        <v>0</v>
      </c>
    </row>
    <row r="1110" spans="1:8" x14ac:dyDescent="0.3">
      <c r="B1110" s="64" t="s">
        <v>6</v>
      </c>
      <c r="C1110" s="59"/>
      <c r="D1110" s="51">
        <f>IF( $F687 = "Eligible", D1106, 0 )</f>
        <v>0</v>
      </c>
      <c r="E1110" s="119">
        <f>IF( $F687 = "Eligible", E1106, 0 )</f>
        <v>0</v>
      </c>
      <c r="F1110" s="119">
        <f>IF( $F687 = "Eligible", F1106, 0 )</f>
        <v>0</v>
      </c>
      <c r="G1110" s="119">
        <f>IF( $F687 = "Eligible", G1106, 0 )</f>
        <v>0</v>
      </c>
      <c r="H1110" s="52">
        <f>IF( $F687 = "Eligible", H1106, 0 )</f>
        <v>0</v>
      </c>
    </row>
    <row r="1111" spans="1:8" x14ac:dyDescent="0.3">
      <c r="B1111" s="63" t="s">
        <v>121</v>
      </c>
      <c r="C1111" s="62"/>
      <c r="D1111" s="40">
        <f>SUM(D1109:D1110)</f>
        <v>0</v>
      </c>
      <c r="E1111" s="40">
        <f>SUM(E1109:E1110)</f>
        <v>0</v>
      </c>
      <c r="F1111" s="40">
        <f>SUM(F1109:F1110)</f>
        <v>0</v>
      </c>
      <c r="G1111" s="40">
        <f>SUM(G1109:G1110)</f>
        <v>0</v>
      </c>
      <c r="H1111" s="40">
        <f>SUM(H1109:H1110)</f>
        <v>0</v>
      </c>
    </row>
    <row r="1112" spans="1:8" x14ac:dyDescent="0.3">
      <c r="B1112" s="32"/>
      <c r="C1112" s="32"/>
      <c r="D1112" s="33"/>
      <c r="E1112" s="33"/>
      <c r="F1112" s="33"/>
      <c r="G1112" s="178"/>
      <c r="H1112" s="33"/>
    </row>
    <row r="1113" spans="1:8" ht="18.2" x14ac:dyDescent="0.35">
      <c r="A1113" s="41" t="s">
        <v>30</v>
      </c>
      <c r="C1113" s="32"/>
      <c r="D1113" s="2">
        <f>StartYear</f>
        <v>2016</v>
      </c>
      <c r="E1113" s="2">
        <f>D1113+1</f>
        <v>2017</v>
      </c>
      <c r="F1113" s="2">
        <f>E1113+1</f>
        <v>2018</v>
      </c>
      <c r="G1113" s="2">
        <f>F1113+1</f>
        <v>2019</v>
      </c>
      <c r="H1113" s="2">
        <f>G1113+1</f>
        <v>2020</v>
      </c>
    </row>
    <row r="1114" spans="1:8" x14ac:dyDescent="0.3">
      <c r="B1114" s="64" t="s">
        <v>47</v>
      </c>
      <c r="C1114" s="59"/>
      <c r="D1114" s="3"/>
      <c r="E1114" s="3"/>
      <c r="F1114" s="3"/>
      <c r="G1114" s="3"/>
      <c r="H1114" s="4"/>
    </row>
    <row r="1115" spans="1:8" x14ac:dyDescent="0.3">
      <c r="B1115" s="65" t="s">
        <v>23</v>
      </c>
      <c r="C1115" s="66"/>
      <c r="D1115" s="146"/>
      <c r="E1115" s="146"/>
      <c r="F1115" s="146"/>
      <c r="G1115" s="146"/>
      <c r="H1115" s="147"/>
    </row>
    <row r="1116" spans="1:8" x14ac:dyDescent="0.3">
      <c r="B1116" s="75" t="s">
        <v>89</v>
      </c>
      <c r="C1116" s="74"/>
      <c r="D1116" s="213"/>
      <c r="E1116" s="148"/>
      <c r="F1116" s="148"/>
      <c r="G1116" s="148"/>
      <c r="H1116" s="149"/>
    </row>
    <row r="1117" spans="1:8" x14ac:dyDescent="0.3">
      <c r="B1117" s="35" t="s">
        <v>90</v>
      </c>
      <c r="D1117" s="6">
        <f>SUM(D1114:D1116)</f>
        <v>0</v>
      </c>
      <c r="E1117" s="6">
        <f>SUM(E1114:E1116)</f>
        <v>0</v>
      </c>
      <c r="F1117" s="6">
        <f>SUM(F1114:F1116)</f>
        <v>0</v>
      </c>
      <c r="G1117" s="6">
        <f t="shared" ref="G1117" si="78">SUM(G1114:G1116)</f>
        <v>0</v>
      </c>
      <c r="H1117" s="6">
        <f t="shared" ref="H1117" si="79">SUM(H1114:H1116)</f>
        <v>0</v>
      </c>
    </row>
    <row r="1118" spans="1:8" x14ac:dyDescent="0.3">
      <c r="B1118" s="5"/>
      <c r="D1118" s="6"/>
      <c r="E1118" s="6"/>
      <c r="F1118" s="6"/>
      <c r="G1118" s="176"/>
      <c r="H1118" s="6"/>
    </row>
    <row r="1119" spans="1:8" ht="18.2" x14ac:dyDescent="0.35">
      <c r="A1119" s="8" t="s">
        <v>100</v>
      </c>
      <c r="D1119" s="2">
        <f>StartYear</f>
        <v>2016</v>
      </c>
      <c r="E1119" s="2">
        <f>D1119+1</f>
        <v>2017</v>
      </c>
      <c r="F1119" s="2">
        <f>E1119+1</f>
        <v>2018</v>
      </c>
      <c r="G1119" s="2">
        <f>F1119+1</f>
        <v>2019</v>
      </c>
      <c r="H1119" s="2">
        <f>G1119+1</f>
        <v>2020</v>
      </c>
    </row>
    <row r="1120" spans="1:8" x14ac:dyDescent="0.3">
      <c r="B1120" s="64" t="str">
        <f>(StartYear-1) &amp; " Surplus Applied to " &amp; StartYear</f>
        <v>2015 Surplus Applied to 2016</v>
      </c>
      <c r="C1120" s="32"/>
      <c r="D1120" s="205">
        <v>0</v>
      </c>
      <c r="E1120" s="206"/>
      <c r="F1120" s="206"/>
      <c r="G1120" s="206"/>
      <c r="H1120" s="207"/>
    </row>
    <row r="1121" spans="1:8" x14ac:dyDescent="0.3">
      <c r="B1121" s="64" t="str">
        <f>StartYear &amp; " Surplus Applied to " &amp; (StartYear-1)</f>
        <v>2016 Surplus Applied to 2015</v>
      </c>
      <c r="C1121" s="32"/>
      <c r="D1121" s="208">
        <v>0</v>
      </c>
      <c r="E1121" s="122"/>
      <c r="F1121" s="122"/>
      <c r="G1121" s="122"/>
      <c r="H1121" s="126"/>
    </row>
    <row r="1122" spans="1:8" x14ac:dyDescent="0.3">
      <c r="B1122" s="64" t="str">
        <f>( StartYear) &amp; " Surplus Applied to " &amp; ( StartYear + 1 )</f>
        <v>2016 Surplus Applied to 2017</v>
      </c>
      <c r="C1122" s="32"/>
      <c r="D1122" s="203">
        <f>D1106+D1111-D1117</f>
        <v>0</v>
      </c>
      <c r="E1122" s="204">
        <f>D1122</f>
        <v>0</v>
      </c>
      <c r="F1122" s="199"/>
      <c r="G1122" s="199"/>
      <c r="H1122" s="200"/>
    </row>
    <row r="1123" spans="1:8" x14ac:dyDescent="0.3">
      <c r="B1123" s="64" t="str">
        <f xml:space="preserve"> ( StartYear + 1 ) &amp; " Surplus Applied to " &amp; ( StartYear )</f>
        <v>2017 Surplus Applied to 2016</v>
      </c>
      <c r="C1123" s="59"/>
      <c r="D1123" s="143">
        <v>0</v>
      </c>
      <c r="E1123" s="9">
        <v>0</v>
      </c>
      <c r="F1123" s="122"/>
      <c r="G1123" s="122"/>
      <c r="H1123" s="126"/>
    </row>
    <row r="1124" spans="1:8" x14ac:dyDescent="0.3">
      <c r="B1124" s="128" t="str">
        <f xml:space="preserve"> ( StartYear + 1 ) &amp; " Surplus Applied to " &amp; ( StartYear + 2 )</f>
        <v>2017 Surplus Applied to 2018</v>
      </c>
      <c r="C1124" s="59"/>
      <c r="D1124" s="123"/>
      <c r="E1124" s="9">
        <v>0</v>
      </c>
      <c r="F1124" s="58">
        <f>E1124</f>
        <v>0</v>
      </c>
      <c r="G1124" s="122"/>
      <c r="H1124" s="126"/>
    </row>
    <row r="1125" spans="1:8" x14ac:dyDescent="0.3">
      <c r="B1125" s="128" t="str">
        <f xml:space="preserve"> ( StartYear + 2 ) &amp; " Surplus Applied to " &amp; ( StartYear + 1 )</f>
        <v>2018 Surplus Applied to 2017</v>
      </c>
      <c r="C1125" s="59"/>
      <c r="D1125" s="123"/>
      <c r="E1125" s="58">
        <v>0</v>
      </c>
      <c r="F1125" s="9">
        <v>0</v>
      </c>
      <c r="G1125" s="122"/>
      <c r="H1125" s="126"/>
    </row>
    <row r="1126" spans="1:8" x14ac:dyDescent="0.3">
      <c r="B1126" s="174" t="str">
        <f xml:space="preserve"> ( StartYear + 2 ) &amp; " Surplus Applied to " &amp; ( StartYear + 3 )</f>
        <v>2018 Surplus Applied to 2019</v>
      </c>
      <c r="C1126" s="32"/>
      <c r="D1126" s="123"/>
      <c r="E1126" s="122"/>
      <c r="F1126" s="9">
        <v>0</v>
      </c>
      <c r="G1126" s="58">
        <f>F1126</f>
        <v>0</v>
      </c>
      <c r="H1126" s="126"/>
    </row>
    <row r="1127" spans="1:8" x14ac:dyDescent="0.3">
      <c r="B1127" s="174" t="str">
        <f xml:space="preserve"> ( StartYear + 3 ) &amp; " Surplus Applied to " &amp; ( StartYear + 2 )</f>
        <v>2019 Surplus Applied to 2018</v>
      </c>
      <c r="C1127" s="32"/>
      <c r="D1127" s="123"/>
      <c r="E1127" s="122"/>
      <c r="F1127" s="58">
        <v>0</v>
      </c>
      <c r="G1127" s="9">
        <v>0</v>
      </c>
      <c r="H1127" s="126"/>
    </row>
    <row r="1128" spans="1:8" x14ac:dyDescent="0.3">
      <c r="B1128" s="174" t="str">
        <f xml:space="preserve"> ( StartYear + 3 ) &amp; " Surplus Applied to " &amp; ( StartYear + 4 )</f>
        <v>2019 Surplus Applied to 2020</v>
      </c>
      <c r="C1128" s="32"/>
      <c r="D1128" s="123"/>
      <c r="E1128" s="122"/>
      <c r="F1128" s="122"/>
      <c r="G1128" s="9">
        <f>G1106+G1111-G1117</f>
        <v>2361</v>
      </c>
      <c r="H1128" s="53">
        <f>G1128</f>
        <v>2361</v>
      </c>
    </row>
    <row r="1129" spans="1:8" x14ac:dyDescent="0.3">
      <c r="B1129" s="174" t="str">
        <f xml:space="preserve"> ( StartYear + 4 ) &amp; " Surplus Applied to " &amp; ( StartYear + 3 )</f>
        <v>2020 Surplus Applied to 2019</v>
      </c>
      <c r="C1129" s="32"/>
      <c r="D1129" s="124"/>
      <c r="E1129" s="125"/>
      <c r="F1129" s="125"/>
      <c r="G1129" s="54">
        <v>0</v>
      </c>
      <c r="H1129" s="46">
        <v>0</v>
      </c>
    </row>
    <row r="1130" spans="1:8" x14ac:dyDescent="0.3">
      <c r="B1130" s="35" t="s">
        <v>17</v>
      </c>
      <c r="D1130" s="6">
        <f>D1120-D1121+D1123-D1122</f>
        <v>0</v>
      </c>
      <c r="E1130" s="6">
        <f>E1122+E1125-E1123-E1124</f>
        <v>0</v>
      </c>
      <c r="F1130" s="6">
        <f>F1124+F1127-F1125-F1126</f>
        <v>0</v>
      </c>
      <c r="G1130" s="6">
        <f>G1126+G1129-G1127-G1128</f>
        <v>-2361</v>
      </c>
      <c r="H1130" s="6">
        <f>H1128 - H1129</f>
        <v>2361</v>
      </c>
    </row>
    <row r="1131" spans="1:8" x14ac:dyDescent="0.3">
      <c r="B1131" s="5"/>
      <c r="D1131" s="6"/>
      <c r="E1131" s="6"/>
      <c r="F1131" s="6"/>
      <c r="G1131" s="6"/>
      <c r="H1131" s="6"/>
    </row>
    <row r="1132" spans="1:8" x14ac:dyDescent="0.3">
      <c r="B1132" s="61" t="s">
        <v>12</v>
      </c>
      <c r="C1132" s="59"/>
      <c r="D1132" s="82"/>
      <c r="E1132" s="120"/>
      <c r="F1132" s="120"/>
      <c r="G1132" s="120"/>
      <c r="H1132" s="83"/>
    </row>
    <row r="1133" spans="1:8" x14ac:dyDescent="0.3">
      <c r="B1133" s="5"/>
      <c r="D1133" s="6"/>
      <c r="E1133" s="6"/>
      <c r="F1133" s="6"/>
      <c r="G1133" s="6"/>
      <c r="H1133" s="6"/>
    </row>
    <row r="1134" spans="1:8" ht="18.2" x14ac:dyDescent="0.35">
      <c r="A1134" s="41" t="s">
        <v>26</v>
      </c>
      <c r="C1134" s="59"/>
      <c r="D1134" s="121">
        <f xml:space="preserve"> D1106 + D1111 - D1117 + D1130 + D1132</f>
        <v>0</v>
      </c>
      <c r="E1134" s="121">
        <f xml:space="preserve"> E1106 + E1111 - E1117 + E1130 + E1132</f>
        <v>0</v>
      </c>
      <c r="F1134" s="121">
        <f t="shared" ref="F1134:H1134" si="80" xml:space="preserve"> F1106 + F1111 - F1117 + F1130 + F1132</f>
        <v>0</v>
      </c>
      <c r="G1134" s="121">
        <f t="shared" si="80"/>
        <v>0</v>
      </c>
      <c r="H1134" s="192">
        <f t="shared" si="80"/>
        <v>2361</v>
      </c>
    </row>
    <row r="1135" spans="1:8" x14ac:dyDescent="0.3">
      <c r="B1135" s="5"/>
      <c r="C1135" s="5" t="s">
        <v>169</v>
      </c>
      <c r="D1135" s="6"/>
      <c r="E1135" s="6"/>
      <c r="F1135" s="31"/>
      <c r="G1135" s="31"/>
      <c r="H1135" s="31"/>
    </row>
    <row r="1136" spans="1:8" ht="15.65" thickBot="1" x14ac:dyDescent="0.35"/>
    <row r="1137" spans="1:8" x14ac:dyDescent="0.3">
      <c r="A1137" s="7"/>
      <c r="B1137" s="7"/>
      <c r="C1137" s="7"/>
      <c r="D1137" s="179"/>
      <c r="E1137" s="7"/>
      <c r="F1137" s="7"/>
      <c r="G1137" s="7"/>
      <c r="H1137" s="7"/>
    </row>
    <row r="1138" spans="1:8" x14ac:dyDescent="0.3">
      <c r="B1138" s="32"/>
      <c r="C1138" s="32"/>
      <c r="D1138" s="22"/>
      <c r="E1138" s="32"/>
      <c r="F1138" s="32"/>
      <c r="G1138" s="32"/>
      <c r="H1138" s="32"/>
    </row>
    <row r="1139" spans="1:8" ht="21.3" x14ac:dyDescent="0.4">
      <c r="A1139" s="12" t="s">
        <v>4</v>
      </c>
      <c r="B1139" s="12"/>
      <c r="C1139" s="42" t="str">
        <f>B32</f>
        <v>Salmon Falls Wind Park, LLC - Salmon Falls Wind Park -- REC Only **</v>
      </c>
      <c r="D1139" s="43"/>
      <c r="E1139" s="22"/>
      <c r="F1139" s="22"/>
    </row>
    <row r="1140" spans="1:8" x14ac:dyDescent="0.3">
      <c r="C1140" s="22" t="s">
        <v>173</v>
      </c>
    </row>
    <row r="1141" spans="1:8" ht="18.2" x14ac:dyDescent="0.35">
      <c r="A1141" s="8" t="s">
        <v>21</v>
      </c>
      <c r="B1141" s="8"/>
      <c r="D1141" s="127">
        <f>StartYear</f>
        <v>2016</v>
      </c>
      <c r="E1141" s="2">
        <f>D1141+1</f>
        <v>2017</v>
      </c>
      <c r="F1141" s="2">
        <f>E1141+1</f>
        <v>2018</v>
      </c>
      <c r="G1141" s="2">
        <f>F1141+1</f>
        <v>2019</v>
      </c>
      <c r="H1141" s="2">
        <f>G1141+1</f>
        <v>2020</v>
      </c>
    </row>
    <row r="1142" spans="1:8" x14ac:dyDescent="0.3">
      <c r="B1142" s="64" t="str">
        <f>"Purchased from " &amp; C1139</f>
        <v>Purchased from Salmon Falls Wind Park, LLC - Salmon Falls Wind Park -- REC Only **</v>
      </c>
      <c r="C1142" s="59"/>
      <c r="D1142" s="3"/>
      <c r="E1142" s="3"/>
      <c r="F1142" s="3"/>
      <c r="G1142" s="3">
        <v>17090</v>
      </c>
      <c r="H1142" s="4"/>
    </row>
    <row r="1143" spans="1:8" x14ac:dyDescent="0.3">
      <c r="B1143" s="64" t="s">
        <v>25</v>
      </c>
      <c r="C1143" s="59"/>
      <c r="D1143" s="141"/>
      <c r="E1143" s="141"/>
      <c r="F1143" s="141"/>
      <c r="G1143" s="141">
        <v>1</v>
      </c>
      <c r="H1143" s="142"/>
    </row>
    <row r="1144" spans="1:8" x14ac:dyDescent="0.3">
      <c r="B1144" s="64" t="s">
        <v>20</v>
      </c>
      <c r="C1144" s="59"/>
      <c r="D1144" s="47"/>
      <c r="E1144" s="47"/>
      <c r="F1144" s="47"/>
      <c r="G1144" s="47">
        <v>1</v>
      </c>
      <c r="H1144" s="48"/>
    </row>
    <row r="1145" spans="1:8" x14ac:dyDescent="0.3">
      <c r="B1145" s="61" t="s">
        <v>22</v>
      </c>
      <c r="C1145" s="62"/>
      <c r="D1145" s="140">
        <f xml:space="preserve"> D1142 * D1143 * D1144</f>
        <v>0</v>
      </c>
      <c r="E1145" s="140">
        <f xml:space="preserve"> E1142 * E1143 * E1144</f>
        <v>0</v>
      </c>
      <c r="F1145" s="140">
        <f t="shared" ref="F1145" si="81" xml:space="preserve"> ROUNDDOWN(F1142 * F1143 * F1144,0)</f>
        <v>0</v>
      </c>
      <c r="G1145" s="140">
        <f t="shared" ref="G1145" si="82" xml:space="preserve"> ROUNDDOWN(G1142 * G1143 * G1144,0)</f>
        <v>17090</v>
      </c>
      <c r="H1145" s="140">
        <f t="shared" ref="H1145" si="83" xml:space="preserve"> ROUNDDOWN(H1142 * H1143 * H1144,0)</f>
        <v>0</v>
      </c>
    </row>
    <row r="1146" spans="1:8" x14ac:dyDescent="0.3">
      <c r="B1146" s="22"/>
      <c r="C1146" s="32"/>
      <c r="D1146" s="39"/>
      <c r="E1146" s="39"/>
      <c r="F1146" s="39"/>
      <c r="G1146" s="176"/>
      <c r="H1146" s="39"/>
    </row>
    <row r="1147" spans="1:8" ht="18.2" x14ac:dyDescent="0.35">
      <c r="A1147" s="44" t="s">
        <v>119</v>
      </c>
      <c r="C1147" s="32"/>
      <c r="D1147" s="2">
        <f>StartYear</f>
        <v>2016</v>
      </c>
      <c r="E1147" s="2">
        <f>D1147+1</f>
        <v>2017</v>
      </c>
      <c r="F1147" s="2">
        <f>E1147+1</f>
        <v>2018</v>
      </c>
      <c r="G1147" s="2">
        <f>F1147+1</f>
        <v>2019</v>
      </c>
      <c r="H1147" s="2">
        <f>G1147+1</f>
        <v>2020</v>
      </c>
    </row>
    <row r="1148" spans="1:8" x14ac:dyDescent="0.3">
      <c r="B1148" s="64" t="s">
        <v>10</v>
      </c>
      <c r="C1148" s="59"/>
      <c r="D1148" s="10">
        <f>IF( $E726 = "Eligible", D1145 * 'Facility Detail'!$B$1614, 0 )</f>
        <v>0</v>
      </c>
      <c r="E1148" s="118">
        <f>IF( $E726 = "Eligible", E1145 * 'Facility Detail'!$B$1614, 0 )</f>
        <v>0</v>
      </c>
      <c r="F1148" s="118">
        <f>IF( $E726 = "Eligible", F1145 * 'Facility Detail'!$B$1614, 0 )</f>
        <v>0</v>
      </c>
      <c r="G1148" s="118">
        <f>IF( $E726 = "Eligible", G1145 * 'Facility Detail'!$B$1614, 0 )</f>
        <v>0</v>
      </c>
      <c r="H1148" s="11">
        <f>IF( $E726 = "Eligible", H1145 * 'Facility Detail'!$B$1614, 0 )</f>
        <v>0</v>
      </c>
    </row>
    <row r="1149" spans="1:8" x14ac:dyDescent="0.3">
      <c r="B1149" s="64" t="s">
        <v>6</v>
      </c>
      <c r="C1149" s="59"/>
      <c r="D1149" s="51">
        <f>IF( $F726 = "Eligible", D1145, 0 )</f>
        <v>0</v>
      </c>
      <c r="E1149" s="119">
        <f>IF( $F726 = "Eligible", E1145, 0 )</f>
        <v>0</v>
      </c>
      <c r="F1149" s="119">
        <f>IF( $F726 = "Eligible", F1145, 0 )</f>
        <v>0</v>
      </c>
      <c r="G1149" s="119">
        <f>IF( $F726 = "Eligible", G1145, 0 )</f>
        <v>0</v>
      </c>
      <c r="H1149" s="52">
        <f>IF( $F726 = "Eligible", H1145, 0 )</f>
        <v>0</v>
      </c>
    </row>
    <row r="1150" spans="1:8" x14ac:dyDescent="0.3">
      <c r="B1150" s="63" t="s">
        <v>121</v>
      </c>
      <c r="C1150" s="62"/>
      <c r="D1150" s="40">
        <f>SUM(D1148:D1149)</f>
        <v>0</v>
      </c>
      <c r="E1150" s="40">
        <f>SUM(E1148:E1149)</f>
        <v>0</v>
      </c>
      <c r="F1150" s="40">
        <f>SUM(F1148:F1149)</f>
        <v>0</v>
      </c>
      <c r="G1150" s="40">
        <f>SUM(G1148:G1149)</f>
        <v>0</v>
      </c>
      <c r="H1150" s="40">
        <f>SUM(H1148:H1149)</f>
        <v>0</v>
      </c>
    </row>
    <row r="1151" spans="1:8" x14ac:dyDescent="0.3">
      <c r="B1151" s="32"/>
      <c r="C1151" s="32"/>
      <c r="D1151" s="33"/>
      <c r="E1151" s="33"/>
      <c r="F1151" s="33"/>
      <c r="G1151" s="178"/>
      <c r="H1151" s="33"/>
    </row>
    <row r="1152" spans="1:8" ht="18.2" x14ac:dyDescent="0.35">
      <c r="A1152" s="41" t="s">
        <v>30</v>
      </c>
      <c r="C1152" s="32"/>
      <c r="D1152" s="2">
        <f>StartYear</f>
        <v>2016</v>
      </c>
      <c r="E1152" s="2">
        <f>D1152+1</f>
        <v>2017</v>
      </c>
      <c r="F1152" s="2">
        <f>E1152+1</f>
        <v>2018</v>
      </c>
      <c r="G1152" s="2">
        <f>F1152+1</f>
        <v>2019</v>
      </c>
      <c r="H1152" s="2">
        <f>G1152+1</f>
        <v>2020</v>
      </c>
    </row>
    <row r="1153" spans="1:8" x14ac:dyDescent="0.3">
      <c r="B1153" s="64" t="s">
        <v>47</v>
      </c>
      <c r="C1153" s="59"/>
      <c r="D1153" s="3"/>
      <c r="E1153" s="3"/>
      <c r="F1153" s="3"/>
      <c r="G1153" s="3"/>
      <c r="H1153" s="4"/>
    </row>
    <row r="1154" spans="1:8" x14ac:dyDescent="0.3">
      <c r="B1154" s="65" t="s">
        <v>23</v>
      </c>
      <c r="C1154" s="66"/>
      <c r="D1154" s="146"/>
      <c r="E1154" s="146"/>
      <c r="F1154" s="146"/>
      <c r="G1154" s="146"/>
      <c r="H1154" s="147"/>
    </row>
    <row r="1155" spans="1:8" x14ac:dyDescent="0.3">
      <c r="B1155" s="75" t="s">
        <v>89</v>
      </c>
      <c r="C1155" s="74"/>
      <c r="D1155" s="213"/>
      <c r="E1155" s="148"/>
      <c r="F1155" s="148"/>
      <c r="G1155" s="148"/>
      <c r="H1155" s="149"/>
    </row>
    <row r="1156" spans="1:8" x14ac:dyDescent="0.3">
      <c r="B1156" s="35" t="s">
        <v>90</v>
      </c>
      <c r="D1156" s="6">
        <f>SUM(D1153:D1155)</f>
        <v>0</v>
      </c>
      <c r="E1156" s="6">
        <f>SUM(E1153:E1155)</f>
        <v>0</v>
      </c>
      <c r="F1156" s="6">
        <f>SUM(F1153:F1155)</f>
        <v>0</v>
      </c>
      <c r="G1156" s="6">
        <f t="shared" ref="G1156" si="84">SUM(G1153:G1155)</f>
        <v>0</v>
      </c>
      <c r="H1156" s="6">
        <f t="shared" ref="H1156" si="85">SUM(H1153:H1155)</f>
        <v>0</v>
      </c>
    </row>
    <row r="1157" spans="1:8" x14ac:dyDescent="0.3">
      <c r="B1157" s="5"/>
      <c r="D1157" s="6"/>
      <c r="E1157" s="6"/>
      <c r="F1157" s="6"/>
      <c r="G1157" s="176"/>
      <c r="H1157" s="6"/>
    </row>
    <row r="1158" spans="1:8" ht="18.2" x14ac:dyDescent="0.35">
      <c r="A1158" s="8" t="s">
        <v>100</v>
      </c>
      <c r="D1158" s="2">
        <f>StartYear</f>
        <v>2016</v>
      </c>
      <c r="E1158" s="2">
        <f>D1158+1</f>
        <v>2017</v>
      </c>
      <c r="F1158" s="2">
        <f>E1158+1</f>
        <v>2018</v>
      </c>
      <c r="G1158" s="2">
        <f>F1158+1</f>
        <v>2019</v>
      </c>
      <c r="H1158" s="2">
        <f>G1158+1</f>
        <v>2020</v>
      </c>
    </row>
    <row r="1159" spans="1:8" x14ac:dyDescent="0.3">
      <c r="B1159" s="64" t="str">
        <f>(StartYear-1) &amp; " Surplus Applied to " &amp; StartYear</f>
        <v>2015 Surplus Applied to 2016</v>
      </c>
      <c r="C1159" s="32"/>
      <c r="D1159" s="205">
        <v>0</v>
      </c>
      <c r="E1159" s="206"/>
      <c r="F1159" s="206"/>
      <c r="G1159" s="206"/>
      <c r="H1159" s="207"/>
    </row>
    <row r="1160" spans="1:8" x14ac:dyDescent="0.3">
      <c r="B1160" s="64" t="str">
        <f>StartYear &amp; " Surplus Applied to " &amp; (StartYear-1)</f>
        <v>2016 Surplus Applied to 2015</v>
      </c>
      <c r="C1160" s="32"/>
      <c r="D1160" s="208">
        <v>0</v>
      </c>
      <c r="E1160" s="122"/>
      <c r="F1160" s="122"/>
      <c r="G1160" s="122"/>
      <c r="H1160" s="126"/>
    </row>
    <row r="1161" spans="1:8" x14ac:dyDescent="0.3">
      <c r="B1161" s="64" t="str">
        <f>( StartYear) &amp; " Surplus Applied to " &amp; ( StartYear + 1 )</f>
        <v>2016 Surplus Applied to 2017</v>
      </c>
      <c r="C1161" s="32"/>
      <c r="D1161" s="203">
        <f>D1145+D1150-D1156</f>
        <v>0</v>
      </c>
      <c r="E1161" s="204">
        <f>D1161</f>
        <v>0</v>
      </c>
      <c r="F1161" s="199"/>
      <c r="G1161" s="199"/>
      <c r="H1161" s="200"/>
    </row>
    <row r="1162" spans="1:8" x14ac:dyDescent="0.3">
      <c r="B1162" s="64" t="str">
        <f xml:space="preserve"> ( StartYear + 1 ) &amp; " Surplus Applied to " &amp; ( StartYear )</f>
        <v>2017 Surplus Applied to 2016</v>
      </c>
      <c r="C1162" s="59"/>
      <c r="D1162" s="143">
        <v>0</v>
      </c>
      <c r="E1162" s="9">
        <v>0</v>
      </c>
      <c r="F1162" s="122"/>
      <c r="G1162" s="122"/>
      <c r="H1162" s="126"/>
    </row>
    <row r="1163" spans="1:8" x14ac:dyDescent="0.3">
      <c r="B1163" s="128" t="str">
        <f xml:space="preserve"> ( StartYear + 1 ) &amp; " Surplus Applied to " &amp; ( StartYear + 2 )</f>
        <v>2017 Surplus Applied to 2018</v>
      </c>
      <c r="C1163" s="59"/>
      <c r="D1163" s="123"/>
      <c r="E1163" s="9">
        <v>0</v>
      </c>
      <c r="F1163" s="58">
        <f>E1163</f>
        <v>0</v>
      </c>
      <c r="G1163" s="122"/>
      <c r="H1163" s="126"/>
    </row>
    <row r="1164" spans="1:8" x14ac:dyDescent="0.3">
      <c r="B1164" s="128" t="str">
        <f xml:space="preserve"> ( StartYear + 2 ) &amp; " Surplus Applied to " &amp; ( StartYear + 1 )</f>
        <v>2018 Surplus Applied to 2017</v>
      </c>
      <c r="C1164" s="59"/>
      <c r="D1164" s="123"/>
      <c r="E1164" s="58">
        <v>0</v>
      </c>
      <c r="F1164" s="9">
        <v>0</v>
      </c>
      <c r="G1164" s="122"/>
      <c r="H1164" s="126"/>
    </row>
    <row r="1165" spans="1:8" x14ac:dyDescent="0.3">
      <c r="B1165" s="174" t="str">
        <f xml:space="preserve"> ( StartYear + 2 ) &amp; " Surplus Applied to " &amp; ( StartYear + 3 )</f>
        <v>2018 Surplus Applied to 2019</v>
      </c>
      <c r="C1165" s="32"/>
      <c r="D1165" s="123"/>
      <c r="E1165" s="122"/>
      <c r="F1165" s="9">
        <v>0</v>
      </c>
      <c r="G1165" s="58">
        <f>F1165</f>
        <v>0</v>
      </c>
      <c r="H1165" s="126"/>
    </row>
    <row r="1166" spans="1:8" x14ac:dyDescent="0.3">
      <c r="B1166" s="174" t="str">
        <f xml:space="preserve"> ( StartYear + 3 ) &amp; " Surplus Applied to " &amp; ( StartYear + 2 )</f>
        <v>2019 Surplus Applied to 2018</v>
      </c>
      <c r="C1166" s="32"/>
      <c r="D1166" s="123"/>
      <c r="E1166" s="122"/>
      <c r="F1166" s="58">
        <v>0</v>
      </c>
      <c r="G1166" s="9">
        <v>0</v>
      </c>
      <c r="H1166" s="126"/>
    </row>
    <row r="1167" spans="1:8" x14ac:dyDescent="0.3">
      <c r="B1167" s="174" t="str">
        <f xml:space="preserve"> ( StartYear + 3 ) &amp; " Surplus Applied to " &amp; ( StartYear + 4 )</f>
        <v>2019 Surplus Applied to 2020</v>
      </c>
      <c r="C1167" s="32"/>
      <c r="D1167" s="123"/>
      <c r="E1167" s="122"/>
      <c r="F1167" s="122"/>
      <c r="G1167" s="9">
        <f>G1145+G1150-G1156</f>
        <v>17090</v>
      </c>
      <c r="H1167" s="53">
        <f>G1167</f>
        <v>17090</v>
      </c>
    </row>
    <row r="1168" spans="1:8" x14ac:dyDescent="0.3">
      <c r="B1168" s="174" t="str">
        <f xml:space="preserve"> ( StartYear + 4 ) &amp; " Surplus Applied to " &amp; ( StartYear + 3 )</f>
        <v>2020 Surplus Applied to 2019</v>
      </c>
      <c r="C1168" s="32"/>
      <c r="D1168" s="124"/>
      <c r="E1168" s="125"/>
      <c r="F1168" s="125"/>
      <c r="G1168" s="54">
        <v>0</v>
      </c>
      <c r="H1168" s="46">
        <v>0</v>
      </c>
    </row>
    <row r="1169" spans="1:8" x14ac:dyDescent="0.3">
      <c r="B1169" s="35" t="s">
        <v>17</v>
      </c>
      <c r="D1169" s="6">
        <f>D1159-D1160+D1162-D1161</f>
        <v>0</v>
      </c>
      <c r="E1169" s="6">
        <f>E1161+E1164-E1162-E1163</f>
        <v>0</v>
      </c>
      <c r="F1169" s="6">
        <f>F1163+F1166-F1164-F1165</f>
        <v>0</v>
      </c>
      <c r="G1169" s="6">
        <f>G1165+G1168-G1166-G1167</f>
        <v>-17090</v>
      </c>
      <c r="H1169" s="6">
        <f>H1167 - H1168</f>
        <v>17090</v>
      </c>
    </row>
    <row r="1170" spans="1:8" x14ac:dyDescent="0.3">
      <c r="B1170" s="5"/>
      <c r="D1170" s="6"/>
      <c r="E1170" s="6"/>
      <c r="F1170" s="6"/>
      <c r="G1170" s="6"/>
      <c r="H1170" s="6"/>
    </row>
    <row r="1171" spans="1:8" x14ac:dyDescent="0.3">
      <c r="B1171" s="61" t="s">
        <v>12</v>
      </c>
      <c r="C1171" s="59"/>
      <c r="D1171" s="82"/>
      <c r="E1171" s="120"/>
      <c r="F1171" s="120"/>
      <c r="G1171" s="120"/>
      <c r="H1171" s="83"/>
    </row>
    <row r="1172" spans="1:8" x14ac:dyDescent="0.3">
      <c r="B1172" s="5"/>
      <c r="D1172" s="6"/>
      <c r="E1172" s="6"/>
      <c r="F1172" s="6"/>
      <c r="G1172" s="6"/>
      <c r="H1172" s="6"/>
    </row>
    <row r="1173" spans="1:8" ht="18.2" x14ac:dyDescent="0.35">
      <c r="A1173" s="41" t="s">
        <v>26</v>
      </c>
      <c r="C1173" s="59"/>
      <c r="D1173" s="121">
        <f xml:space="preserve"> D1145 + D1150 - D1156 + D1169 + D1171</f>
        <v>0</v>
      </c>
      <c r="E1173" s="121">
        <f xml:space="preserve"> E1145 + E1150 - E1156 + E1169 + E1171</f>
        <v>0</v>
      </c>
      <c r="F1173" s="121">
        <f t="shared" ref="F1173:H1173" si="86" xml:space="preserve"> F1145 + F1150 - F1156 + F1169 + F1171</f>
        <v>0</v>
      </c>
      <c r="G1173" s="121">
        <f t="shared" si="86"/>
        <v>0</v>
      </c>
      <c r="H1173" s="192">
        <f t="shared" si="86"/>
        <v>17090</v>
      </c>
    </row>
    <row r="1174" spans="1:8" x14ac:dyDescent="0.3">
      <c r="B1174" s="5"/>
      <c r="C1174" s="5" t="s">
        <v>169</v>
      </c>
      <c r="D1174" s="6"/>
      <c r="E1174" s="6"/>
      <c r="F1174" s="31"/>
      <c r="G1174" s="31"/>
      <c r="H1174" s="31"/>
    </row>
    <row r="1175" spans="1:8" ht="15.65" thickBot="1" x14ac:dyDescent="0.35"/>
    <row r="1176" spans="1:8" x14ac:dyDescent="0.3">
      <c r="A1176" s="7"/>
      <c r="B1176" s="7"/>
      <c r="C1176" s="7"/>
      <c r="D1176" s="179"/>
      <c r="E1176" s="7"/>
      <c r="F1176" s="7"/>
      <c r="G1176" s="7"/>
      <c r="H1176" s="7"/>
    </row>
    <row r="1177" spans="1:8" x14ac:dyDescent="0.3">
      <c r="B1177" s="32"/>
      <c r="C1177" s="32"/>
      <c r="D1177" s="22"/>
      <c r="E1177" s="32"/>
      <c r="F1177" s="32"/>
      <c r="G1177" s="32"/>
      <c r="H1177" s="32"/>
    </row>
    <row r="1178" spans="1:8" ht="21.3" x14ac:dyDescent="0.4">
      <c r="A1178" s="12" t="s">
        <v>4</v>
      </c>
      <c r="B1178" s="12"/>
      <c r="C1178" s="42" t="str">
        <f>B33</f>
        <v>Sawtooth Wind Project - Sawtooth Wind Project -- REC Only **</v>
      </c>
      <c r="D1178" s="43"/>
      <c r="E1178" s="22"/>
      <c r="F1178" s="22"/>
    </row>
    <row r="1179" spans="1:8" x14ac:dyDescent="0.3">
      <c r="C1179" s="22" t="s">
        <v>173</v>
      </c>
    </row>
    <row r="1180" spans="1:8" ht="18.2" x14ac:dyDescent="0.35">
      <c r="A1180" s="8" t="s">
        <v>21</v>
      </c>
      <c r="B1180" s="8"/>
      <c r="D1180" s="127">
        <f>StartYear</f>
        <v>2016</v>
      </c>
      <c r="E1180" s="2">
        <f>D1180+1</f>
        <v>2017</v>
      </c>
      <c r="F1180" s="2">
        <f>E1180+1</f>
        <v>2018</v>
      </c>
      <c r="G1180" s="2">
        <f>F1180+1</f>
        <v>2019</v>
      </c>
      <c r="H1180" s="2">
        <f>G1180+1</f>
        <v>2020</v>
      </c>
    </row>
    <row r="1181" spans="1:8" x14ac:dyDescent="0.3">
      <c r="B1181" s="64" t="str">
        <f>"Purchased from " &amp; C1178</f>
        <v>Purchased from Sawtooth Wind Project - Sawtooth Wind Project -- REC Only **</v>
      </c>
      <c r="C1181" s="59"/>
      <c r="D1181" s="3"/>
      <c r="E1181" s="3"/>
      <c r="F1181" s="3"/>
      <c r="G1181" s="3">
        <v>30077</v>
      </c>
      <c r="H1181" s="4"/>
    </row>
    <row r="1182" spans="1:8" x14ac:dyDescent="0.3">
      <c r="B1182" s="64" t="s">
        <v>25</v>
      </c>
      <c r="C1182" s="59"/>
      <c r="D1182" s="141"/>
      <c r="E1182" s="141"/>
      <c r="F1182" s="141"/>
      <c r="G1182" s="141">
        <v>1</v>
      </c>
      <c r="H1182" s="142"/>
    </row>
    <row r="1183" spans="1:8" x14ac:dyDescent="0.3">
      <c r="B1183" s="64" t="s">
        <v>20</v>
      </c>
      <c r="C1183" s="59"/>
      <c r="D1183" s="47"/>
      <c r="E1183" s="47"/>
      <c r="F1183" s="47"/>
      <c r="G1183" s="47">
        <v>1</v>
      </c>
      <c r="H1183" s="48"/>
    </row>
    <row r="1184" spans="1:8" x14ac:dyDescent="0.3">
      <c r="B1184" s="61" t="s">
        <v>22</v>
      </c>
      <c r="C1184" s="62"/>
      <c r="D1184" s="140">
        <f xml:space="preserve"> D1181 * D1182 * D1183</f>
        <v>0</v>
      </c>
      <c r="E1184" s="140">
        <f xml:space="preserve"> E1181 * E1182 * E1183</f>
        <v>0</v>
      </c>
      <c r="F1184" s="140">
        <f t="shared" ref="F1184" si="87" xml:space="preserve"> ROUNDDOWN(F1181 * F1182 * F1183,0)</f>
        <v>0</v>
      </c>
      <c r="G1184" s="140">
        <f t="shared" ref="G1184" si="88" xml:space="preserve"> ROUNDDOWN(G1181 * G1182 * G1183,0)</f>
        <v>30077</v>
      </c>
      <c r="H1184" s="140">
        <f t="shared" ref="H1184" si="89" xml:space="preserve"> ROUNDDOWN(H1181 * H1182 * H1183,0)</f>
        <v>0</v>
      </c>
    </row>
    <row r="1185" spans="1:8" x14ac:dyDescent="0.3">
      <c r="B1185" s="22"/>
      <c r="C1185" s="32"/>
      <c r="D1185" s="39"/>
      <c r="E1185" s="39"/>
      <c r="F1185" s="39"/>
      <c r="G1185" s="176"/>
      <c r="H1185" s="39"/>
    </row>
    <row r="1186" spans="1:8" ht="18.2" x14ac:dyDescent="0.35">
      <c r="A1186" s="44" t="s">
        <v>119</v>
      </c>
      <c r="C1186" s="32"/>
      <c r="D1186" s="2">
        <f>StartYear</f>
        <v>2016</v>
      </c>
      <c r="E1186" s="2">
        <f>D1186+1</f>
        <v>2017</v>
      </c>
      <c r="F1186" s="2">
        <f>E1186+1</f>
        <v>2018</v>
      </c>
      <c r="G1186" s="2">
        <f>F1186+1</f>
        <v>2019</v>
      </c>
      <c r="H1186" s="2">
        <f>G1186+1</f>
        <v>2020</v>
      </c>
    </row>
    <row r="1187" spans="1:8" x14ac:dyDescent="0.3">
      <c r="B1187" s="64" t="s">
        <v>10</v>
      </c>
      <c r="C1187" s="59"/>
      <c r="D1187" s="10">
        <f>IF( $E430 = "Eligible", D1184 * 'Facility Detail'!$B$1614, 0 )</f>
        <v>0</v>
      </c>
      <c r="E1187" s="118">
        <f>IF( $E430 = "Eligible", E1184 * 'Facility Detail'!$B$1614, 0 )</f>
        <v>0</v>
      </c>
      <c r="F1187" s="118">
        <f>IF( $E765 = "Eligible", F1184 * 'Facility Detail'!$B$1614, 0 )</f>
        <v>0</v>
      </c>
      <c r="G1187" s="118">
        <f>IF( $E765 = "Eligible", G1184 * 'Facility Detail'!$B$1614, 0 )</f>
        <v>0</v>
      </c>
      <c r="H1187" s="11">
        <f>IF( $E765 = "Eligible", H1184 * 'Facility Detail'!$B$1614, 0 )</f>
        <v>0</v>
      </c>
    </row>
    <row r="1188" spans="1:8" x14ac:dyDescent="0.3">
      <c r="B1188" s="64" t="s">
        <v>6</v>
      </c>
      <c r="C1188" s="59"/>
      <c r="D1188" s="51">
        <f>IF( $F430 = "Eligible", D1184, 0 )</f>
        <v>0</v>
      </c>
      <c r="E1188" s="119">
        <f>IF( $F430 = "Eligible", E1184, 0 )</f>
        <v>0</v>
      </c>
      <c r="F1188" s="119">
        <f>IF( $F765 = "Eligible", F1184, 0 )</f>
        <v>0</v>
      </c>
      <c r="G1188" s="119">
        <f>IF( $F765 = "Eligible", G1184, 0 )</f>
        <v>0</v>
      </c>
      <c r="H1188" s="52">
        <f>IF( $F765 = "Eligible", H1184, 0 )</f>
        <v>0</v>
      </c>
    </row>
    <row r="1189" spans="1:8" x14ac:dyDescent="0.3">
      <c r="B1189" s="63" t="s">
        <v>121</v>
      </c>
      <c r="C1189" s="62"/>
      <c r="D1189" s="40">
        <f>SUM(D1187:D1188)</f>
        <v>0</v>
      </c>
      <c r="E1189" s="40">
        <f>SUM(E1187:E1188)</f>
        <v>0</v>
      </c>
      <c r="F1189" s="40">
        <f>SUM(F1187:F1188)</f>
        <v>0</v>
      </c>
      <c r="G1189" s="40">
        <f>SUM(G1187:G1188)</f>
        <v>0</v>
      </c>
      <c r="H1189" s="40">
        <f>SUM(H1187:H1188)</f>
        <v>0</v>
      </c>
    </row>
    <row r="1190" spans="1:8" x14ac:dyDescent="0.3">
      <c r="B1190" s="32"/>
      <c r="C1190" s="32"/>
      <c r="D1190" s="33"/>
      <c r="E1190" s="33"/>
      <c r="F1190" s="33"/>
      <c r="G1190" s="178"/>
      <c r="H1190" s="33"/>
    </row>
    <row r="1191" spans="1:8" ht="18.2" x14ac:dyDescent="0.35">
      <c r="A1191" s="41" t="s">
        <v>30</v>
      </c>
      <c r="C1191" s="32"/>
      <c r="D1191" s="2">
        <f>StartYear</f>
        <v>2016</v>
      </c>
      <c r="E1191" s="2">
        <f>D1191+1</f>
        <v>2017</v>
      </c>
      <c r="F1191" s="2">
        <f>E1191+1</f>
        <v>2018</v>
      </c>
      <c r="G1191" s="2">
        <f>F1191+1</f>
        <v>2019</v>
      </c>
      <c r="H1191" s="2">
        <f>G1191+1</f>
        <v>2020</v>
      </c>
    </row>
    <row r="1192" spans="1:8" x14ac:dyDescent="0.3">
      <c r="B1192" s="64" t="s">
        <v>47</v>
      </c>
      <c r="C1192" s="59"/>
      <c r="D1192" s="3"/>
      <c r="E1192" s="3"/>
      <c r="F1192" s="3"/>
      <c r="G1192" s="3"/>
      <c r="H1192" s="4"/>
    </row>
    <row r="1193" spans="1:8" x14ac:dyDescent="0.3">
      <c r="B1193" s="65" t="s">
        <v>23</v>
      </c>
      <c r="C1193" s="66"/>
      <c r="D1193" s="146"/>
      <c r="E1193" s="146"/>
      <c r="F1193" s="146"/>
      <c r="G1193" s="146"/>
      <c r="H1193" s="147"/>
    </row>
    <row r="1194" spans="1:8" x14ac:dyDescent="0.3">
      <c r="B1194" s="75" t="s">
        <v>89</v>
      </c>
      <c r="C1194" s="74"/>
      <c r="D1194" s="213"/>
      <c r="E1194" s="148"/>
      <c r="F1194" s="148"/>
      <c r="G1194" s="148"/>
      <c r="H1194" s="149"/>
    </row>
    <row r="1195" spans="1:8" x14ac:dyDescent="0.3">
      <c r="B1195" s="35" t="s">
        <v>90</v>
      </c>
      <c r="D1195" s="6">
        <f>SUM(D1192:D1194)</f>
        <v>0</v>
      </c>
      <c r="E1195" s="6">
        <f>SUM(E1192:E1194)</f>
        <v>0</v>
      </c>
      <c r="F1195" s="6">
        <f>SUM(F1192:F1194)</f>
        <v>0</v>
      </c>
      <c r="G1195" s="6">
        <f t="shared" ref="G1195" si="90">SUM(G1192:G1194)</f>
        <v>0</v>
      </c>
      <c r="H1195" s="6">
        <f t="shared" ref="H1195" si="91">SUM(H1192:H1194)</f>
        <v>0</v>
      </c>
    </row>
    <row r="1196" spans="1:8" x14ac:dyDescent="0.3">
      <c r="B1196" s="5"/>
      <c r="D1196" s="6"/>
      <c r="E1196" s="6"/>
      <c r="F1196" s="6"/>
      <c r="G1196" s="176"/>
      <c r="H1196" s="6"/>
    </row>
    <row r="1197" spans="1:8" ht="18.2" x14ac:dyDescent="0.35">
      <c r="A1197" s="8" t="s">
        <v>100</v>
      </c>
      <c r="D1197" s="2">
        <f>StartYear</f>
        <v>2016</v>
      </c>
      <c r="E1197" s="2">
        <f>D1197+1</f>
        <v>2017</v>
      </c>
      <c r="F1197" s="2">
        <f>E1197+1</f>
        <v>2018</v>
      </c>
      <c r="G1197" s="2">
        <f>F1197+1</f>
        <v>2019</v>
      </c>
      <c r="H1197" s="2">
        <f>G1197+1</f>
        <v>2020</v>
      </c>
    </row>
    <row r="1198" spans="1:8" x14ac:dyDescent="0.3">
      <c r="B1198" s="64" t="str">
        <f>(StartYear-1) &amp; " Surplus Applied to " &amp; StartYear</f>
        <v>2015 Surplus Applied to 2016</v>
      </c>
      <c r="C1198" s="32"/>
      <c r="D1198" s="205">
        <v>0</v>
      </c>
      <c r="E1198" s="206"/>
      <c r="F1198" s="206"/>
      <c r="G1198" s="206"/>
      <c r="H1198" s="207"/>
    </row>
    <row r="1199" spans="1:8" x14ac:dyDescent="0.3">
      <c r="B1199" s="64" t="str">
        <f>StartYear &amp; " Surplus Applied to " &amp; (StartYear-1)</f>
        <v>2016 Surplus Applied to 2015</v>
      </c>
      <c r="C1199" s="32"/>
      <c r="D1199" s="208">
        <v>0</v>
      </c>
      <c r="E1199" s="122"/>
      <c r="F1199" s="122"/>
      <c r="G1199" s="122"/>
      <c r="H1199" s="126"/>
    </row>
    <row r="1200" spans="1:8" x14ac:dyDescent="0.3">
      <c r="B1200" s="64" t="str">
        <f>( StartYear) &amp; " Surplus Applied to " &amp; ( StartYear + 1 )</f>
        <v>2016 Surplus Applied to 2017</v>
      </c>
      <c r="C1200" s="32"/>
      <c r="D1200" s="203">
        <f>D1184+D1189-D1195</f>
        <v>0</v>
      </c>
      <c r="E1200" s="204">
        <f>D1200</f>
        <v>0</v>
      </c>
      <c r="F1200" s="199"/>
      <c r="G1200" s="199"/>
      <c r="H1200" s="200"/>
    </row>
    <row r="1201" spans="1:8" x14ac:dyDescent="0.3">
      <c r="B1201" s="64" t="str">
        <f xml:space="preserve"> ( StartYear + 1 ) &amp; " Surplus Applied to " &amp; ( StartYear )</f>
        <v>2017 Surplus Applied to 2016</v>
      </c>
      <c r="C1201" s="59"/>
      <c r="D1201" s="143">
        <v>0</v>
      </c>
      <c r="E1201" s="9">
        <v>0</v>
      </c>
      <c r="F1201" s="122"/>
      <c r="G1201" s="122"/>
      <c r="H1201" s="126"/>
    </row>
    <row r="1202" spans="1:8" x14ac:dyDescent="0.3">
      <c r="B1202" s="128" t="str">
        <f xml:space="preserve"> ( StartYear + 1 ) &amp; " Surplus Applied to " &amp; ( StartYear + 2 )</f>
        <v>2017 Surplus Applied to 2018</v>
      </c>
      <c r="C1202" s="59"/>
      <c r="D1202" s="123"/>
      <c r="E1202" s="9">
        <v>0</v>
      </c>
      <c r="F1202" s="58">
        <f>E1202</f>
        <v>0</v>
      </c>
      <c r="G1202" s="122"/>
      <c r="H1202" s="126"/>
    </row>
    <row r="1203" spans="1:8" x14ac:dyDescent="0.3">
      <c r="B1203" s="128" t="str">
        <f xml:space="preserve"> ( StartYear + 2 ) &amp; " Surplus Applied to " &amp; ( StartYear + 1 )</f>
        <v>2018 Surplus Applied to 2017</v>
      </c>
      <c r="C1203" s="59"/>
      <c r="D1203" s="123"/>
      <c r="E1203" s="58">
        <v>0</v>
      </c>
      <c r="F1203" s="9">
        <v>0</v>
      </c>
      <c r="G1203" s="122"/>
      <c r="H1203" s="126"/>
    </row>
    <row r="1204" spans="1:8" x14ac:dyDescent="0.3">
      <c r="B1204" s="174" t="str">
        <f xml:space="preserve"> ( StartYear + 2 ) &amp; " Surplus Applied to " &amp; ( StartYear + 3 )</f>
        <v>2018 Surplus Applied to 2019</v>
      </c>
      <c r="C1204" s="32"/>
      <c r="D1204" s="123"/>
      <c r="E1204" s="122"/>
      <c r="F1204" s="9">
        <v>0</v>
      </c>
      <c r="G1204" s="58">
        <f>F1204</f>
        <v>0</v>
      </c>
      <c r="H1204" s="126"/>
    </row>
    <row r="1205" spans="1:8" x14ac:dyDescent="0.3">
      <c r="B1205" s="174" t="str">
        <f xml:space="preserve"> ( StartYear + 3 ) &amp; " Surplus Applied to " &amp; ( StartYear + 2 )</f>
        <v>2019 Surplus Applied to 2018</v>
      </c>
      <c r="C1205" s="32"/>
      <c r="D1205" s="123"/>
      <c r="E1205" s="122"/>
      <c r="F1205" s="58">
        <v>0</v>
      </c>
      <c r="G1205" s="9">
        <v>0</v>
      </c>
      <c r="H1205" s="126"/>
    </row>
    <row r="1206" spans="1:8" x14ac:dyDescent="0.3">
      <c r="B1206" s="174" t="str">
        <f xml:space="preserve"> ( StartYear + 3 ) &amp; " Surplus Applied to " &amp; ( StartYear + 4 )</f>
        <v>2019 Surplus Applied to 2020</v>
      </c>
      <c r="C1206" s="32"/>
      <c r="D1206" s="123"/>
      <c r="E1206" s="122"/>
      <c r="F1206" s="122"/>
      <c r="G1206" s="9">
        <f>G1184+G1189-G1195</f>
        <v>30077</v>
      </c>
      <c r="H1206" s="53">
        <f>G1206</f>
        <v>30077</v>
      </c>
    </row>
    <row r="1207" spans="1:8" x14ac:dyDescent="0.3">
      <c r="B1207" s="174" t="str">
        <f xml:space="preserve"> ( StartYear + 4 ) &amp; " Surplus Applied to " &amp; ( StartYear + 3 )</f>
        <v>2020 Surplus Applied to 2019</v>
      </c>
      <c r="C1207" s="32"/>
      <c r="D1207" s="124"/>
      <c r="E1207" s="125"/>
      <c r="F1207" s="125"/>
      <c r="G1207" s="54">
        <v>0</v>
      </c>
      <c r="H1207" s="46">
        <v>0</v>
      </c>
    </row>
    <row r="1208" spans="1:8" x14ac:dyDescent="0.3">
      <c r="B1208" s="35" t="s">
        <v>17</v>
      </c>
      <c r="D1208" s="6">
        <f>D1198-D1199+D1201-D1200</f>
        <v>0</v>
      </c>
      <c r="E1208" s="6">
        <f>E1200+E1203-E1201-E1202</f>
        <v>0</v>
      </c>
      <c r="F1208" s="6">
        <f>F1202+F1205-F1203-F1204</f>
        <v>0</v>
      </c>
      <c r="G1208" s="6">
        <f>G1204+G1207-G1205-G1206</f>
        <v>-30077</v>
      </c>
      <c r="H1208" s="6">
        <f>H1206 - H1207</f>
        <v>30077</v>
      </c>
    </row>
    <row r="1209" spans="1:8" x14ac:dyDescent="0.3">
      <c r="B1209" s="5"/>
      <c r="D1209" s="6"/>
      <c r="E1209" s="6"/>
      <c r="F1209" s="6"/>
      <c r="G1209" s="6"/>
      <c r="H1209" s="6"/>
    </row>
    <row r="1210" spans="1:8" x14ac:dyDescent="0.3">
      <c r="B1210" s="61" t="s">
        <v>12</v>
      </c>
      <c r="C1210" s="59"/>
      <c r="D1210" s="82"/>
      <c r="E1210" s="120"/>
      <c r="F1210" s="120"/>
      <c r="G1210" s="120"/>
      <c r="H1210" s="83"/>
    </row>
    <row r="1211" spans="1:8" x14ac:dyDescent="0.3">
      <c r="B1211" s="5"/>
      <c r="D1211" s="6"/>
      <c r="E1211" s="6"/>
      <c r="F1211" s="6"/>
      <c r="G1211" s="6"/>
      <c r="H1211" s="6"/>
    </row>
    <row r="1212" spans="1:8" ht="18.2" x14ac:dyDescent="0.35">
      <c r="A1212" s="41" t="s">
        <v>26</v>
      </c>
      <c r="C1212" s="59"/>
      <c r="D1212" s="121">
        <f xml:space="preserve"> D1184 + D1189 - D1195 + D1208 + D1210</f>
        <v>0</v>
      </c>
      <c r="E1212" s="121">
        <f xml:space="preserve"> E1184 + E1189 - E1195 + E1208 + E1210</f>
        <v>0</v>
      </c>
      <c r="F1212" s="121">
        <f t="shared" ref="F1212:H1212" si="92" xml:space="preserve"> F1184 + F1189 - F1195 + F1208 + F1210</f>
        <v>0</v>
      </c>
      <c r="G1212" s="121">
        <f t="shared" si="92"/>
        <v>0</v>
      </c>
      <c r="H1212" s="192">
        <f t="shared" si="92"/>
        <v>30077</v>
      </c>
    </row>
    <row r="1213" spans="1:8" x14ac:dyDescent="0.3">
      <c r="B1213" s="5"/>
      <c r="C1213" s="5" t="s">
        <v>169</v>
      </c>
      <c r="D1213" s="6"/>
      <c r="E1213" s="6"/>
      <c r="F1213" s="31"/>
      <c r="G1213" s="31"/>
      <c r="H1213" s="31"/>
    </row>
    <row r="1214" spans="1:8" ht="15.65" thickBot="1" x14ac:dyDescent="0.35"/>
    <row r="1215" spans="1:8" x14ac:dyDescent="0.3">
      <c r="A1215" s="7"/>
      <c r="B1215" s="7"/>
      <c r="C1215" s="7"/>
      <c r="D1215" s="179"/>
      <c r="E1215" s="7"/>
      <c r="F1215" s="7"/>
      <c r="G1215" s="7"/>
      <c r="H1215" s="7"/>
    </row>
    <row r="1216" spans="1:8" x14ac:dyDescent="0.3">
      <c r="B1216" s="32"/>
      <c r="C1216" s="32"/>
      <c r="D1216" s="22"/>
      <c r="E1216" s="32"/>
      <c r="F1216" s="32"/>
      <c r="G1216" s="32"/>
      <c r="H1216" s="32"/>
    </row>
    <row r="1217" spans="1:8" ht="21.3" x14ac:dyDescent="0.4">
      <c r="A1217" s="12" t="s">
        <v>4</v>
      </c>
      <c r="B1217" s="12"/>
      <c r="C1217" s="42" t="str">
        <f>B34</f>
        <v>Thousand Springs Wind Park, LLC - Thousand Springs Wind Park -- REC Only **</v>
      </c>
      <c r="D1217" s="43"/>
      <c r="E1217" s="22"/>
      <c r="F1217" s="22"/>
    </row>
    <row r="1218" spans="1:8" x14ac:dyDescent="0.3">
      <c r="C1218" s="22" t="s">
        <v>173</v>
      </c>
    </row>
    <row r="1219" spans="1:8" ht="18.2" x14ac:dyDescent="0.35">
      <c r="A1219" s="8" t="s">
        <v>21</v>
      </c>
      <c r="B1219" s="8"/>
      <c r="D1219" s="127">
        <f>StartYear</f>
        <v>2016</v>
      </c>
      <c r="E1219" s="2">
        <f>D1219+1</f>
        <v>2017</v>
      </c>
      <c r="F1219" s="2">
        <f>E1219+1</f>
        <v>2018</v>
      </c>
      <c r="G1219" s="2">
        <f>F1219+1</f>
        <v>2019</v>
      </c>
      <c r="H1219" s="2">
        <f>G1219+1</f>
        <v>2020</v>
      </c>
    </row>
    <row r="1220" spans="1:8" x14ac:dyDescent="0.3">
      <c r="B1220" s="64" t="str">
        <f>"Purchased from " &amp; C1217</f>
        <v>Purchased from Thousand Springs Wind Park, LLC - Thousand Springs Wind Park -- REC Only **</v>
      </c>
      <c r="C1220" s="59"/>
      <c r="D1220" s="3"/>
      <c r="E1220" s="3"/>
      <c r="F1220" s="3"/>
      <c r="G1220" s="3">
        <v>8681</v>
      </c>
      <c r="H1220" s="4"/>
    </row>
    <row r="1221" spans="1:8" x14ac:dyDescent="0.3">
      <c r="B1221" s="64" t="s">
        <v>25</v>
      </c>
      <c r="C1221" s="59"/>
      <c r="D1221" s="141"/>
      <c r="E1221" s="141"/>
      <c r="F1221" s="141"/>
      <c r="G1221" s="141">
        <v>1</v>
      </c>
      <c r="H1221" s="142"/>
    </row>
    <row r="1222" spans="1:8" x14ac:dyDescent="0.3">
      <c r="B1222" s="64" t="s">
        <v>20</v>
      </c>
      <c r="C1222" s="59"/>
      <c r="D1222" s="47"/>
      <c r="E1222" s="47"/>
      <c r="F1222" s="47"/>
      <c r="G1222" s="47">
        <v>1</v>
      </c>
      <c r="H1222" s="48"/>
    </row>
    <row r="1223" spans="1:8" x14ac:dyDescent="0.3">
      <c r="B1223" s="61" t="s">
        <v>22</v>
      </c>
      <c r="C1223" s="62"/>
      <c r="D1223" s="140">
        <f xml:space="preserve"> D1220 * D1221 * D1222</f>
        <v>0</v>
      </c>
      <c r="E1223" s="140">
        <f xml:space="preserve"> E1220 * E1221 * E1222</f>
        <v>0</v>
      </c>
      <c r="F1223" s="140">
        <f t="shared" ref="F1223:H1223" si="93" xml:space="preserve"> ROUNDDOWN(F1220 * F1221 * F1222,0)</f>
        <v>0</v>
      </c>
      <c r="G1223" s="140">
        <f t="shared" si="93"/>
        <v>8681</v>
      </c>
      <c r="H1223" s="140">
        <f t="shared" si="93"/>
        <v>0</v>
      </c>
    </row>
    <row r="1224" spans="1:8" x14ac:dyDescent="0.3">
      <c r="B1224" s="22"/>
      <c r="C1224" s="32"/>
      <c r="D1224" s="39"/>
      <c r="E1224" s="39"/>
      <c r="F1224" s="39"/>
      <c r="G1224" s="176"/>
      <c r="H1224" s="39"/>
    </row>
    <row r="1225" spans="1:8" ht="18.2" x14ac:dyDescent="0.35">
      <c r="A1225" s="44" t="s">
        <v>119</v>
      </c>
      <c r="C1225" s="32"/>
      <c r="D1225" s="2">
        <f>StartYear</f>
        <v>2016</v>
      </c>
      <c r="E1225" s="2">
        <f>D1225+1</f>
        <v>2017</v>
      </c>
      <c r="F1225" s="2">
        <f>E1225+1</f>
        <v>2018</v>
      </c>
      <c r="G1225" s="2">
        <f>F1225+1</f>
        <v>2019</v>
      </c>
      <c r="H1225" s="2">
        <f>G1225+1</f>
        <v>2020</v>
      </c>
    </row>
    <row r="1226" spans="1:8" x14ac:dyDescent="0.3">
      <c r="B1226" s="64" t="s">
        <v>10</v>
      </c>
      <c r="C1226" s="59"/>
      <c r="D1226" s="10">
        <f>IF( $E467 = "Eligible", D1223 * 'Facility Detail'!$B$1614, 0 )</f>
        <v>0</v>
      </c>
      <c r="E1226" s="118">
        <f>IF( $E467 = "Eligible", E1223 * 'Facility Detail'!$B$1614, 0 )</f>
        <v>0</v>
      </c>
      <c r="F1226" s="118">
        <f>IF( $E804 = "Eligible", F1223 * 'Facility Detail'!$B$1614, 0 )</f>
        <v>0</v>
      </c>
      <c r="G1226" s="118">
        <f>IF( $E804 = "Eligible", G1223 * 'Facility Detail'!$B$1614, 0 )</f>
        <v>0</v>
      </c>
      <c r="H1226" s="11">
        <f>IF( $E804 = "Eligible", H1223 * 'Facility Detail'!$B$1614, 0 )</f>
        <v>0</v>
      </c>
    </row>
    <row r="1227" spans="1:8" x14ac:dyDescent="0.3">
      <c r="B1227" s="64" t="s">
        <v>6</v>
      </c>
      <c r="C1227" s="59"/>
      <c r="D1227" s="51">
        <f>IF( $F467 = "Eligible", D1223, 0 )</f>
        <v>0</v>
      </c>
      <c r="E1227" s="119">
        <f>IF( $F467 = "Eligible", E1223, 0 )</f>
        <v>0</v>
      </c>
      <c r="F1227" s="119">
        <f>IF( $F804 = "Eligible", F1223, 0 )</f>
        <v>0</v>
      </c>
      <c r="G1227" s="119">
        <f>IF( $F804 = "Eligible", G1223, 0 )</f>
        <v>0</v>
      </c>
      <c r="H1227" s="52">
        <f>IF( $F804 = "Eligible", H1223, 0 )</f>
        <v>0</v>
      </c>
    </row>
    <row r="1228" spans="1:8" x14ac:dyDescent="0.3">
      <c r="B1228" s="63" t="s">
        <v>121</v>
      </c>
      <c r="C1228" s="62"/>
      <c r="D1228" s="40">
        <f>SUM(D1226:D1227)</f>
        <v>0</v>
      </c>
      <c r="E1228" s="40">
        <f>SUM(E1226:E1227)</f>
        <v>0</v>
      </c>
      <c r="F1228" s="40">
        <f>SUM(F1226:F1227)</f>
        <v>0</v>
      </c>
      <c r="G1228" s="40">
        <f>SUM(G1226:G1227)</f>
        <v>0</v>
      </c>
      <c r="H1228" s="40">
        <f>SUM(H1226:H1227)</f>
        <v>0</v>
      </c>
    </row>
    <row r="1229" spans="1:8" x14ac:dyDescent="0.3">
      <c r="B1229" s="32"/>
      <c r="C1229" s="32"/>
      <c r="D1229" s="33"/>
      <c r="E1229" s="33"/>
      <c r="F1229" s="33"/>
      <c r="G1229" s="178"/>
      <c r="H1229" s="33"/>
    </row>
    <row r="1230" spans="1:8" ht="18.2" x14ac:dyDescent="0.35">
      <c r="A1230" s="41" t="s">
        <v>30</v>
      </c>
      <c r="C1230" s="32"/>
      <c r="D1230" s="2">
        <f>StartYear</f>
        <v>2016</v>
      </c>
      <c r="E1230" s="2">
        <f>D1230+1</f>
        <v>2017</v>
      </c>
      <c r="F1230" s="2">
        <f>E1230+1</f>
        <v>2018</v>
      </c>
      <c r="G1230" s="2">
        <f>F1230+1</f>
        <v>2019</v>
      </c>
      <c r="H1230" s="2">
        <f>G1230+1</f>
        <v>2020</v>
      </c>
    </row>
    <row r="1231" spans="1:8" x14ac:dyDescent="0.3">
      <c r="B1231" s="64" t="s">
        <v>47</v>
      </c>
      <c r="C1231" s="59"/>
      <c r="D1231" s="3"/>
      <c r="E1231" s="3"/>
      <c r="F1231" s="3"/>
      <c r="G1231" s="3"/>
      <c r="H1231" s="4"/>
    </row>
    <row r="1232" spans="1:8" x14ac:dyDescent="0.3">
      <c r="B1232" s="65" t="s">
        <v>23</v>
      </c>
      <c r="C1232" s="66"/>
      <c r="D1232" s="146"/>
      <c r="E1232" s="146"/>
      <c r="F1232" s="146"/>
      <c r="G1232" s="146"/>
      <c r="H1232" s="147"/>
    </row>
    <row r="1233" spans="1:8" x14ac:dyDescent="0.3">
      <c r="B1233" s="75" t="s">
        <v>89</v>
      </c>
      <c r="C1233" s="74"/>
      <c r="D1233" s="213"/>
      <c r="E1233" s="148"/>
      <c r="F1233" s="148"/>
      <c r="G1233" s="148"/>
      <c r="H1233" s="149"/>
    </row>
    <row r="1234" spans="1:8" x14ac:dyDescent="0.3">
      <c r="B1234" s="35" t="s">
        <v>90</v>
      </c>
      <c r="D1234" s="6">
        <f>SUM(D1231:D1233)</f>
        <v>0</v>
      </c>
      <c r="E1234" s="6">
        <f>SUM(E1231:E1233)</f>
        <v>0</v>
      </c>
      <c r="F1234" s="6">
        <f>SUM(F1231:F1233)</f>
        <v>0</v>
      </c>
      <c r="G1234" s="6">
        <f t="shared" ref="G1234" si="94">SUM(G1231:G1233)</f>
        <v>0</v>
      </c>
      <c r="H1234" s="6">
        <f t="shared" ref="H1234" si="95">SUM(H1231:H1233)</f>
        <v>0</v>
      </c>
    </row>
    <row r="1235" spans="1:8" x14ac:dyDescent="0.3">
      <c r="B1235" s="5"/>
      <c r="D1235" s="6"/>
      <c r="E1235" s="6"/>
      <c r="F1235" s="6"/>
      <c r="G1235" s="176"/>
      <c r="H1235" s="6"/>
    </row>
    <row r="1236" spans="1:8" ht="18.2" x14ac:dyDescent="0.35">
      <c r="A1236" s="8" t="s">
        <v>100</v>
      </c>
      <c r="D1236" s="2">
        <f>StartYear</f>
        <v>2016</v>
      </c>
      <c r="E1236" s="2">
        <f>D1236+1</f>
        <v>2017</v>
      </c>
      <c r="F1236" s="2">
        <f>E1236+1</f>
        <v>2018</v>
      </c>
      <c r="G1236" s="2">
        <f>F1236+1</f>
        <v>2019</v>
      </c>
      <c r="H1236" s="2">
        <f>G1236+1</f>
        <v>2020</v>
      </c>
    </row>
    <row r="1237" spans="1:8" x14ac:dyDescent="0.3">
      <c r="B1237" s="64" t="str">
        <f>(StartYear-1) &amp; " Surplus Applied to " &amp; StartYear</f>
        <v>2015 Surplus Applied to 2016</v>
      </c>
      <c r="C1237" s="32"/>
      <c r="D1237" s="205">
        <v>0</v>
      </c>
      <c r="E1237" s="206"/>
      <c r="F1237" s="206"/>
      <c r="G1237" s="206"/>
      <c r="H1237" s="207"/>
    </row>
    <row r="1238" spans="1:8" x14ac:dyDescent="0.3">
      <c r="B1238" s="64" t="str">
        <f>StartYear &amp; " Surplus Applied to " &amp; (StartYear-1)</f>
        <v>2016 Surplus Applied to 2015</v>
      </c>
      <c r="C1238" s="32"/>
      <c r="D1238" s="208">
        <v>0</v>
      </c>
      <c r="E1238" s="122"/>
      <c r="F1238" s="122"/>
      <c r="G1238" s="122"/>
      <c r="H1238" s="126"/>
    </row>
    <row r="1239" spans="1:8" x14ac:dyDescent="0.3">
      <c r="B1239" s="64" t="str">
        <f>( StartYear) &amp; " Surplus Applied to " &amp; ( StartYear + 1 )</f>
        <v>2016 Surplus Applied to 2017</v>
      </c>
      <c r="C1239" s="32"/>
      <c r="D1239" s="203">
        <f>D1223+D1228-D1234</f>
        <v>0</v>
      </c>
      <c r="E1239" s="204">
        <f>D1239</f>
        <v>0</v>
      </c>
      <c r="F1239" s="199"/>
      <c r="G1239" s="199"/>
      <c r="H1239" s="200"/>
    </row>
    <row r="1240" spans="1:8" x14ac:dyDescent="0.3">
      <c r="B1240" s="64" t="str">
        <f xml:space="preserve"> ( StartYear + 1 ) &amp; " Surplus Applied to " &amp; ( StartYear )</f>
        <v>2017 Surplus Applied to 2016</v>
      </c>
      <c r="C1240" s="59"/>
      <c r="D1240" s="143">
        <v>0</v>
      </c>
      <c r="E1240" s="9">
        <v>0</v>
      </c>
      <c r="F1240" s="122"/>
      <c r="G1240" s="122"/>
      <c r="H1240" s="126"/>
    </row>
    <row r="1241" spans="1:8" x14ac:dyDescent="0.3">
      <c r="B1241" s="128" t="str">
        <f xml:space="preserve"> ( StartYear + 1 ) &amp; " Surplus Applied to " &amp; ( StartYear + 2 )</f>
        <v>2017 Surplus Applied to 2018</v>
      </c>
      <c r="C1241" s="59"/>
      <c r="D1241" s="123"/>
      <c r="E1241" s="9">
        <v>0</v>
      </c>
      <c r="F1241" s="58">
        <f>E1241</f>
        <v>0</v>
      </c>
      <c r="G1241" s="122"/>
      <c r="H1241" s="126"/>
    </row>
    <row r="1242" spans="1:8" x14ac:dyDescent="0.3">
      <c r="B1242" s="128" t="str">
        <f xml:space="preserve"> ( StartYear + 2 ) &amp; " Surplus Applied to " &amp; ( StartYear + 1 )</f>
        <v>2018 Surplus Applied to 2017</v>
      </c>
      <c r="C1242" s="59"/>
      <c r="D1242" s="123"/>
      <c r="E1242" s="58">
        <v>0</v>
      </c>
      <c r="F1242" s="9">
        <v>0</v>
      </c>
      <c r="G1242" s="122"/>
      <c r="H1242" s="126"/>
    </row>
    <row r="1243" spans="1:8" x14ac:dyDescent="0.3">
      <c r="B1243" s="174" t="str">
        <f xml:space="preserve"> ( StartYear + 2 ) &amp; " Surplus Applied to " &amp; ( StartYear + 3 )</f>
        <v>2018 Surplus Applied to 2019</v>
      </c>
      <c r="C1243" s="32"/>
      <c r="D1243" s="123"/>
      <c r="E1243" s="122"/>
      <c r="F1243" s="9">
        <v>0</v>
      </c>
      <c r="G1243" s="58">
        <f>F1243</f>
        <v>0</v>
      </c>
      <c r="H1243" s="126"/>
    </row>
    <row r="1244" spans="1:8" x14ac:dyDescent="0.3">
      <c r="B1244" s="174" t="str">
        <f xml:space="preserve"> ( StartYear + 3 ) &amp; " Surplus Applied to " &amp; ( StartYear + 2 )</f>
        <v>2019 Surplus Applied to 2018</v>
      </c>
      <c r="C1244" s="32"/>
      <c r="D1244" s="123"/>
      <c r="E1244" s="122"/>
      <c r="F1244" s="58">
        <v>0</v>
      </c>
      <c r="G1244" s="9">
        <v>0</v>
      </c>
      <c r="H1244" s="126"/>
    </row>
    <row r="1245" spans="1:8" x14ac:dyDescent="0.3">
      <c r="B1245" s="174" t="str">
        <f xml:space="preserve"> ( StartYear + 3 ) &amp; " Surplus Applied to " &amp; ( StartYear + 4 )</f>
        <v>2019 Surplus Applied to 2020</v>
      </c>
      <c r="C1245" s="32"/>
      <c r="D1245" s="123"/>
      <c r="E1245" s="122"/>
      <c r="F1245" s="122"/>
      <c r="G1245" s="9">
        <f>G1223+G1228-G1234</f>
        <v>8681</v>
      </c>
      <c r="H1245" s="53">
        <f>G1245</f>
        <v>8681</v>
      </c>
    </row>
    <row r="1246" spans="1:8" x14ac:dyDescent="0.3">
      <c r="B1246" s="174" t="str">
        <f xml:space="preserve"> ( StartYear + 4 ) &amp; " Surplus Applied to " &amp; ( StartYear + 3 )</f>
        <v>2020 Surplus Applied to 2019</v>
      </c>
      <c r="C1246" s="32"/>
      <c r="D1246" s="124"/>
      <c r="E1246" s="125"/>
      <c r="F1246" s="125"/>
      <c r="G1246" s="54">
        <v>0</v>
      </c>
      <c r="H1246" s="46">
        <v>0</v>
      </c>
    </row>
    <row r="1247" spans="1:8" x14ac:dyDescent="0.3">
      <c r="B1247" s="35" t="s">
        <v>17</v>
      </c>
      <c r="D1247" s="6">
        <f>D1237-D1238+D1240-D1239</f>
        <v>0</v>
      </c>
      <c r="E1247" s="6">
        <f>E1239+E1242-E1240-E1241</f>
        <v>0</v>
      </c>
      <c r="F1247" s="6">
        <f>F1241+F1244-F1242-F1243</f>
        <v>0</v>
      </c>
      <c r="G1247" s="6">
        <f>G1243+G1246-G1244-G1245</f>
        <v>-8681</v>
      </c>
      <c r="H1247" s="6">
        <f>H1245 - H1246</f>
        <v>8681</v>
      </c>
    </row>
    <row r="1248" spans="1:8" x14ac:dyDescent="0.3">
      <c r="B1248" s="5"/>
      <c r="D1248" s="6"/>
      <c r="E1248" s="6"/>
      <c r="F1248" s="6"/>
      <c r="G1248" s="6"/>
      <c r="H1248" s="6"/>
    </row>
    <row r="1249" spans="1:8" x14ac:dyDescent="0.3">
      <c r="B1249" s="61" t="s">
        <v>12</v>
      </c>
      <c r="C1249" s="59"/>
      <c r="D1249" s="82"/>
      <c r="E1249" s="120"/>
      <c r="F1249" s="120"/>
      <c r="G1249" s="120"/>
      <c r="H1249" s="83"/>
    </row>
    <row r="1250" spans="1:8" x14ac:dyDescent="0.3">
      <c r="B1250" s="5"/>
      <c r="D1250" s="6"/>
      <c r="E1250" s="6"/>
      <c r="F1250" s="6"/>
      <c r="G1250" s="6"/>
      <c r="H1250" s="6"/>
    </row>
    <row r="1251" spans="1:8" ht="18.2" x14ac:dyDescent="0.35">
      <c r="A1251" s="41" t="s">
        <v>26</v>
      </c>
      <c r="C1251" s="59"/>
      <c r="D1251" s="121">
        <f xml:space="preserve"> D1223 + D1228 - D1234 + D1247 + D1249</f>
        <v>0</v>
      </c>
      <c r="E1251" s="121">
        <f xml:space="preserve"> E1223 + E1228 - E1234 + E1247 + E1249</f>
        <v>0</v>
      </c>
      <c r="F1251" s="121">
        <f t="shared" ref="F1251:H1251" si="96" xml:space="preserve"> F1223 + F1228 - F1234 + F1247 + F1249</f>
        <v>0</v>
      </c>
      <c r="G1251" s="121">
        <f t="shared" si="96"/>
        <v>0</v>
      </c>
      <c r="H1251" s="192">
        <f t="shared" si="96"/>
        <v>8681</v>
      </c>
    </row>
    <row r="1252" spans="1:8" x14ac:dyDescent="0.3">
      <c r="B1252" s="5"/>
      <c r="C1252" s="5" t="s">
        <v>169</v>
      </c>
      <c r="D1252" s="6"/>
      <c r="E1252" s="6"/>
      <c r="F1252" s="31"/>
      <c r="G1252" s="31"/>
      <c r="H1252" s="31"/>
    </row>
    <row r="1253" spans="1:8" ht="15.65" thickBot="1" x14ac:dyDescent="0.35"/>
    <row r="1254" spans="1:8" x14ac:dyDescent="0.3">
      <c r="A1254" s="7"/>
      <c r="B1254" s="7"/>
      <c r="C1254" s="7"/>
      <c r="D1254" s="179"/>
      <c r="E1254" s="7"/>
      <c r="F1254" s="7"/>
      <c r="G1254" s="7"/>
      <c r="H1254" s="7"/>
    </row>
    <row r="1255" spans="1:8" x14ac:dyDescent="0.3">
      <c r="B1255" s="32"/>
      <c r="C1255" s="32"/>
      <c r="D1255" s="22"/>
      <c r="E1255" s="32"/>
      <c r="F1255" s="32"/>
      <c r="G1255" s="32"/>
      <c r="H1255" s="32"/>
    </row>
    <row r="1256" spans="1:8" ht="21.3" x14ac:dyDescent="0.4">
      <c r="A1256" s="12" t="s">
        <v>4</v>
      </c>
      <c r="B1256" s="12"/>
      <c r="C1256" s="42" t="str">
        <f>B35</f>
        <v>Tuana Gulch Wind Park, LLC - Tuana Gulch Wind Park -- REC Only **</v>
      </c>
      <c r="D1256" s="43"/>
      <c r="E1256" s="22"/>
      <c r="F1256" s="22"/>
    </row>
    <row r="1257" spans="1:8" x14ac:dyDescent="0.3">
      <c r="C1257" s="22" t="s">
        <v>173</v>
      </c>
    </row>
    <row r="1258" spans="1:8" ht="18.2" x14ac:dyDescent="0.35">
      <c r="A1258" s="8" t="s">
        <v>21</v>
      </c>
      <c r="B1258" s="8"/>
      <c r="D1258" s="127">
        <f>StartYear</f>
        <v>2016</v>
      </c>
      <c r="E1258" s="2">
        <f>D1258+1</f>
        <v>2017</v>
      </c>
      <c r="F1258" s="2">
        <f>E1258+1</f>
        <v>2018</v>
      </c>
      <c r="G1258" s="2">
        <f>F1258+1</f>
        <v>2019</v>
      </c>
      <c r="H1258" s="2">
        <f>G1258+1</f>
        <v>2020</v>
      </c>
    </row>
    <row r="1259" spans="1:8" x14ac:dyDescent="0.3">
      <c r="B1259" s="64" t="str">
        <f>"Purchased from " &amp; C1256</f>
        <v>Purchased from Tuana Gulch Wind Park, LLC - Tuana Gulch Wind Park -- REC Only **</v>
      </c>
      <c r="C1259" s="59"/>
      <c r="D1259" s="3"/>
      <c r="E1259" s="3"/>
      <c r="F1259" s="3"/>
      <c r="G1259" s="3">
        <v>7912</v>
      </c>
      <c r="H1259" s="4"/>
    </row>
    <row r="1260" spans="1:8" x14ac:dyDescent="0.3">
      <c r="B1260" s="64" t="s">
        <v>25</v>
      </c>
      <c r="C1260" s="59"/>
      <c r="D1260" s="141"/>
      <c r="E1260" s="141"/>
      <c r="F1260" s="141"/>
      <c r="G1260" s="141">
        <v>1</v>
      </c>
      <c r="H1260" s="142"/>
    </row>
    <row r="1261" spans="1:8" x14ac:dyDescent="0.3">
      <c r="B1261" s="64" t="s">
        <v>20</v>
      </c>
      <c r="C1261" s="59"/>
      <c r="D1261" s="47"/>
      <c r="E1261" s="47"/>
      <c r="F1261" s="47"/>
      <c r="G1261" s="47">
        <v>1</v>
      </c>
      <c r="H1261" s="48"/>
    </row>
    <row r="1262" spans="1:8" x14ac:dyDescent="0.3">
      <c r="B1262" s="61" t="s">
        <v>22</v>
      </c>
      <c r="C1262" s="62"/>
      <c r="D1262" s="140">
        <f xml:space="preserve"> D1259 * D1260 * D1261</f>
        <v>0</v>
      </c>
      <c r="E1262" s="140">
        <f xml:space="preserve"> E1259 * E1260 * E1261</f>
        <v>0</v>
      </c>
      <c r="F1262" s="140">
        <f t="shared" ref="F1262:H1262" si="97" xml:space="preserve"> ROUNDDOWN(F1259 * F1260 * F1261,0)</f>
        <v>0</v>
      </c>
      <c r="G1262" s="140">
        <f t="shared" si="97"/>
        <v>7912</v>
      </c>
      <c r="H1262" s="140">
        <f t="shared" si="97"/>
        <v>0</v>
      </c>
    </row>
    <row r="1263" spans="1:8" x14ac:dyDescent="0.3">
      <c r="B1263" s="22"/>
      <c r="C1263" s="32"/>
      <c r="D1263" s="39"/>
      <c r="E1263" s="39"/>
      <c r="F1263" s="39"/>
      <c r="G1263" s="176"/>
      <c r="H1263" s="39"/>
    </row>
    <row r="1264" spans="1:8" ht="18.2" x14ac:dyDescent="0.35">
      <c r="A1264" s="44" t="s">
        <v>119</v>
      </c>
      <c r="C1264" s="32"/>
      <c r="D1264" s="2">
        <f>StartYear</f>
        <v>2016</v>
      </c>
      <c r="E1264" s="2">
        <f>D1264+1</f>
        <v>2017</v>
      </c>
      <c r="F1264" s="2">
        <f>E1264+1</f>
        <v>2018</v>
      </c>
      <c r="G1264" s="2">
        <f>F1264+1</f>
        <v>2019</v>
      </c>
      <c r="H1264" s="2">
        <f>G1264+1</f>
        <v>2020</v>
      </c>
    </row>
    <row r="1265" spans="1:8" x14ac:dyDescent="0.3">
      <c r="B1265" s="64" t="s">
        <v>10</v>
      </c>
      <c r="C1265" s="59"/>
      <c r="D1265" s="10">
        <f>IF( $E504 = "Eligible", D1262 * 'Facility Detail'!$B$1614, 0 )</f>
        <v>0</v>
      </c>
      <c r="E1265" s="118">
        <f>IF( $E504 = "Eligible", E1262 * 'Facility Detail'!$B$1614, 0 )</f>
        <v>0</v>
      </c>
      <c r="F1265" s="118">
        <f>IF( $E843 = "Eligible", F1262 * 'Facility Detail'!$B$1614, 0 )</f>
        <v>0</v>
      </c>
      <c r="G1265" s="118">
        <f>IF( $E843 = "Eligible", G1262 * 'Facility Detail'!$B$1614, 0 )</f>
        <v>0</v>
      </c>
      <c r="H1265" s="11">
        <f>IF( $E843 = "Eligible", H1262 * 'Facility Detail'!$B$1614, 0 )</f>
        <v>0</v>
      </c>
    </row>
    <row r="1266" spans="1:8" x14ac:dyDescent="0.3">
      <c r="B1266" s="64" t="s">
        <v>6</v>
      </c>
      <c r="C1266" s="59"/>
      <c r="D1266" s="51">
        <f>IF( $F504 = "Eligible", D1262, 0 )</f>
        <v>0</v>
      </c>
      <c r="E1266" s="119">
        <f>IF( $F504 = "Eligible", E1262, 0 )</f>
        <v>0</v>
      </c>
      <c r="F1266" s="119">
        <f>IF( $F843 = "Eligible", F1262, 0 )</f>
        <v>0</v>
      </c>
      <c r="G1266" s="119">
        <f>IF( $F843 = "Eligible", G1262, 0 )</f>
        <v>0</v>
      </c>
      <c r="H1266" s="52">
        <f>IF( $F843 = "Eligible", H1262, 0 )</f>
        <v>0</v>
      </c>
    </row>
    <row r="1267" spans="1:8" x14ac:dyDescent="0.3">
      <c r="B1267" s="63" t="s">
        <v>121</v>
      </c>
      <c r="C1267" s="62"/>
      <c r="D1267" s="40">
        <f>SUM(D1265:D1266)</f>
        <v>0</v>
      </c>
      <c r="E1267" s="40">
        <f>SUM(E1265:E1266)</f>
        <v>0</v>
      </c>
      <c r="F1267" s="40">
        <f>SUM(F1265:F1266)</f>
        <v>0</v>
      </c>
      <c r="G1267" s="40">
        <f>SUM(G1265:G1266)</f>
        <v>0</v>
      </c>
      <c r="H1267" s="40">
        <f>SUM(H1265:H1266)</f>
        <v>0</v>
      </c>
    </row>
    <row r="1268" spans="1:8" x14ac:dyDescent="0.3">
      <c r="B1268" s="32"/>
      <c r="C1268" s="32"/>
      <c r="D1268" s="33"/>
      <c r="E1268" s="33"/>
      <c r="F1268" s="33"/>
      <c r="G1268" s="178"/>
      <c r="H1268" s="33"/>
    </row>
    <row r="1269" spans="1:8" ht="18.2" x14ac:dyDescent="0.35">
      <c r="A1269" s="41" t="s">
        <v>30</v>
      </c>
      <c r="C1269" s="32"/>
      <c r="D1269" s="2">
        <f>StartYear</f>
        <v>2016</v>
      </c>
      <c r="E1269" s="2">
        <f>D1269+1</f>
        <v>2017</v>
      </c>
      <c r="F1269" s="2">
        <f>E1269+1</f>
        <v>2018</v>
      </c>
      <c r="G1269" s="2">
        <f>F1269+1</f>
        <v>2019</v>
      </c>
      <c r="H1269" s="2">
        <f>G1269+1</f>
        <v>2020</v>
      </c>
    </row>
    <row r="1270" spans="1:8" x14ac:dyDescent="0.3">
      <c r="B1270" s="64" t="s">
        <v>47</v>
      </c>
      <c r="C1270" s="59"/>
      <c r="D1270" s="3"/>
      <c r="E1270" s="3"/>
      <c r="F1270" s="3"/>
      <c r="G1270" s="3"/>
      <c r="H1270" s="4"/>
    </row>
    <row r="1271" spans="1:8" x14ac:dyDescent="0.3">
      <c r="B1271" s="65" t="s">
        <v>23</v>
      </c>
      <c r="C1271" s="66"/>
      <c r="D1271" s="146"/>
      <c r="E1271" s="146"/>
      <c r="F1271" s="146"/>
      <c r="G1271" s="146"/>
      <c r="H1271" s="147"/>
    </row>
    <row r="1272" spans="1:8" x14ac:dyDescent="0.3">
      <c r="B1272" s="75" t="s">
        <v>89</v>
      </c>
      <c r="C1272" s="74"/>
      <c r="D1272" s="213"/>
      <c r="E1272" s="148"/>
      <c r="F1272" s="148"/>
      <c r="G1272" s="148"/>
      <c r="H1272" s="149"/>
    </row>
    <row r="1273" spans="1:8" x14ac:dyDescent="0.3">
      <c r="B1273" s="35" t="s">
        <v>90</v>
      </c>
      <c r="D1273" s="6">
        <f>SUM(D1270:D1272)</f>
        <v>0</v>
      </c>
      <c r="E1273" s="6">
        <f>SUM(E1270:E1272)</f>
        <v>0</v>
      </c>
      <c r="F1273" s="6">
        <f>SUM(F1270:F1272)</f>
        <v>0</v>
      </c>
      <c r="G1273" s="6">
        <f t="shared" ref="G1273" si="98">SUM(G1270:G1272)</f>
        <v>0</v>
      </c>
      <c r="H1273" s="6">
        <f t="shared" ref="H1273" si="99">SUM(H1270:H1272)</f>
        <v>0</v>
      </c>
    </row>
    <row r="1274" spans="1:8" x14ac:dyDescent="0.3">
      <c r="B1274" s="5"/>
      <c r="D1274" s="6"/>
      <c r="E1274" s="6"/>
      <c r="F1274" s="6"/>
      <c r="G1274" s="176"/>
      <c r="H1274" s="6"/>
    </row>
    <row r="1275" spans="1:8" ht="18.2" x14ac:dyDescent="0.35">
      <c r="A1275" s="8" t="s">
        <v>100</v>
      </c>
      <c r="D1275" s="2">
        <f>StartYear</f>
        <v>2016</v>
      </c>
      <c r="E1275" s="2">
        <f>D1275+1</f>
        <v>2017</v>
      </c>
      <c r="F1275" s="2">
        <f>E1275+1</f>
        <v>2018</v>
      </c>
      <c r="G1275" s="2">
        <f>F1275+1</f>
        <v>2019</v>
      </c>
      <c r="H1275" s="2">
        <f>G1275+1</f>
        <v>2020</v>
      </c>
    </row>
    <row r="1276" spans="1:8" x14ac:dyDescent="0.3">
      <c r="B1276" s="64" t="str">
        <f>(StartYear-1) &amp; " Surplus Applied to " &amp; StartYear</f>
        <v>2015 Surplus Applied to 2016</v>
      </c>
      <c r="C1276" s="32"/>
      <c r="D1276" s="205">
        <v>0</v>
      </c>
      <c r="E1276" s="206"/>
      <c r="F1276" s="206"/>
      <c r="G1276" s="206"/>
      <c r="H1276" s="207"/>
    </row>
    <row r="1277" spans="1:8" x14ac:dyDescent="0.3">
      <c r="B1277" s="64" t="str">
        <f>StartYear &amp; " Surplus Applied to " &amp; (StartYear-1)</f>
        <v>2016 Surplus Applied to 2015</v>
      </c>
      <c r="C1277" s="32"/>
      <c r="D1277" s="208">
        <v>0</v>
      </c>
      <c r="E1277" s="122"/>
      <c r="F1277" s="122"/>
      <c r="G1277" s="122"/>
      <c r="H1277" s="126"/>
    </row>
    <row r="1278" spans="1:8" x14ac:dyDescent="0.3">
      <c r="B1278" s="64" t="str">
        <f>( StartYear) &amp; " Surplus Applied to " &amp; ( StartYear + 1 )</f>
        <v>2016 Surplus Applied to 2017</v>
      </c>
      <c r="C1278" s="32"/>
      <c r="D1278" s="203">
        <f>D1262+D1267-D1273</f>
        <v>0</v>
      </c>
      <c r="E1278" s="204">
        <f>D1278</f>
        <v>0</v>
      </c>
      <c r="F1278" s="199"/>
      <c r="G1278" s="199"/>
      <c r="H1278" s="200"/>
    </row>
    <row r="1279" spans="1:8" x14ac:dyDescent="0.3">
      <c r="B1279" s="64" t="str">
        <f xml:space="preserve"> ( StartYear + 1 ) &amp; " Surplus Applied to " &amp; ( StartYear )</f>
        <v>2017 Surplus Applied to 2016</v>
      </c>
      <c r="C1279" s="59"/>
      <c r="D1279" s="143">
        <v>0</v>
      </c>
      <c r="E1279" s="9">
        <v>0</v>
      </c>
      <c r="F1279" s="122"/>
      <c r="G1279" s="122"/>
      <c r="H1279" s="126"/>
    </row>
    <row r="1280" spans="1:8" x14ac:dyDescent="0.3">
      <c r="B1280" s="128" t="str">
        <f xml:space="preserve"> ( StartYear + 1 ) &amp; " Surplus Applied to " &amp; ( StartYear + 2 )</f>
        <v>2017 Surplus Applied to 2018</v>
      </c>
      <c r="C1280" s="59"/>
      <c r="D1280" s="123"/>
      <c r="E1280" s="9">
        <v>0</v>
      </c>
      <c r="F1280" s="58">
        <f>E1280</f>
        <v>0</v>
      </c>
      <c r="G1280" s="122"/>
      <c r="H1280" s="126"/>
    </row>
    <row r="1281" spans="1:8" x14ac:dyDescent="0.3">
      <c r="B1281" s="128" t="str">
        <f xml:space="preserve"> ( StartYear + 2 ) &amp; " Surplus Applied to " &amp; ( StartYear + 1 )</f>
        <v>2018 Surplus Applied to 2017</v>
      </c>
      <c r="C1281" s="59"/>
      <c r="D1281" s="123"/>
      <c r="E1281" s="58">
        <v>0</v>
      </c>
      <c r="F1281" s="9">
        <v>0</v>
      </c>
      <c r="G1281" s="122"/>
      <c r="H1281" s="126"/>
    </row>
    <row r="1282" spans="1:8" x14ac:dyDescent="0.3">
      <c r="B1282" s="174" t="str">
        <f xml:space="preserve"> ( StartYear + 2 ) &amp; " Surplus Applied to " &amp; ( StartYear + 3 )</f>
        <v>2018 Surplus Applied to 2019</v>
      </c>
      <c r="C1282" s="32"/>
      <c r="D1282" s="123"/>
      <c r="E1282" s="122"/>
      <c r="F1282" s="9">
        <v>0</v>
      </c>
      <c r="G1282" s="58">
        <f>F1282</f>
        <v>0</v>
      </c>
      <c r="H1282" s="126"/>
    </row>
    <row r="1283" spans="1:8" x14ac:dyDescent="0.3">
      <c r="B1283" s="174" t="str">
        <f xml:space="preserve"> ( StartYear + 3 ) &amp; " Surplus Applied to " &amp; ( StartYear + 2 )</f>
        <v>2019 Surplus Applied to 2018</v>
      </c>
      <c r="C1283" s="32"/>
      <c r="D1283" s="123"/>
      <c r="E1283" s="122"/>
      <c r="F1283" s="58">
        <v>0</v>
      </c>
      <c r="G1283" s="9">
        <v>0</v>
      </c>
      <c r="H1283" s="126"/>
    </row>
    <row r="1284" spans="1:8" x14ac:dyDescent="0.3">
      <c r="B1284" s="174" t="str">
        <f xml:space="preserve"> ( StartYear + 3 ) &amp; " Surplus Applied to " &amp; ( StartYear + 4 )</f>
        <v>2019 Surplus Applied to 2020</v>
      </c>
      <c r="C1284" s="32"/>
      <c r="D1284" s="123"/>
      <c r="E1284" s="122"/>
      <c r="F1284" s="122"/>
      <c r="G1284" s="9">
        <f>G1262+G1267-G1273</f>
        <v>7912</v>
      </c>
      <c r="H1284" s="53">
        <f>G1284</f>
        <v>7912</v>
      </c>
    </row>
    <row r="1285" spans="1:8" x14ac:dyDescent="0.3">
      <c r="B1285" s="174" t="str">
        <f xml:space="preserve"> ( StartYear + 4 ) &amp; " Surplus Applied to " &amp; ( StartYear + 3 )</f>
        <v>2020 Surplus Applied to 2019</v>
      </c>
      <c r="C1285" s="32"/>
      <c r="D1285" s="124"/>
      <c r="E1285" s="125"/>
      <c r="F1285" s="125"/>
      <c r="G1285" s="54">
        <v>0</v>
      </c>
      <c r="H1285" s="46">
        <v>0</v>
      </c>
    </row>
    <row r="1286" spans="1:8" x14ac:dyDescent="0.3">
      <c r="B1286" s="35" t="s">
        <v>17</v>
      </c>
      <c r="D1286" s="6">
        <f>D1276-D1277+D1279-D1278</f>
        <v>0</v>
      </c>
      <c r="E1286" s="6">
        <f>E1278+E1281-E1279-E1280</f>
        <v>0</v>
      </c>
      <c r="F1286" s="6">
        <f>F1280+F1283-F1281-F1282</f>
        <v>0</v>
      </c>
      <c r="G1286" s="6">
        <f>G1282+G1285-G1283-G1284</f>
        <v>-7912</v>
      </c>
      <c r="H1286" s="6">
        <f>H1284 - H1285</f>
        <v>7912</v>
      </c>
    </row>
    <row r="1287" spans="1:8" x14ac:dyDescent="0.3">
      <c r="B1287" s="5"/>
      <c r="D1287" s="6"/>
      <c r="E1287" s="6"/>
      <c r="F1287" s="6"/>
      <c r="G1287" s="6"/>
      <c r="H1287" s="6"/>
    </row>
    <row r="1288" spans="1:8" x14ac:dyDescent="0.3">
      <c r="B1288" s="61" t="s">
        <v>12</v>
      </c>
      <c r="C1288" s="59"/>
      <c r="D1288" s="82"/>
      <c r="E1288" s="120"/>
      <c r="F1288" s="120"/>
      <c r="G1288" s="120"/>
      <c r="H1288" s="83"/>
    </row>
    <row r="1289" spans="1:8" x14ac:dyDescent="0.3">
      <c r="B1289" s="5"/>
      <c r="D1289" s="6"/>
      <c r="E1289" s="6"/>
      <c r="F1289" s="6"/>
      <c r="G1289" s="6"/>
      <c r="H1289" s="6"/>
    </row>
    <row r="1290" spans="1:8" ht="18.2" x14ac:dyDescent="0.35">
      <c r="A1290" s="41" t="s">
        <v>26</v>
      </c>
      <c r="C1290" s="59"/>
      <c r="D1290" s="121">
        <f xml:space="preserve"> D1262 + D1267 - D1273 + D1286 + D1288</f>
        <v>0</v>
      </c>
      <c r="E1290" s="121">
        <f xml:space="preserve"> E1262 + E1267 - E1273 + E1286 + E1288</f>
        <v>0</v>
      </c>
      <c r="F1290" s="121">
        <f t="shared" ref="F1290:H1290" si="100" xml:space="preserve"> F1262 + F1267 - F1273 + F1286 + F1288</f>
        <v>0</v>
      </c>
      <c r="G1290" s="121">
        <f t="shared" si="100"/>
        <v>0</v>
      </c>
      <c r="H1290" s="192">
        <f t="shared" si="100"/>
        <v>7912</v>
      </c>
    </row>
    <row r="1291" spans="1:8" x14ac:dyDescent="0.3">
      <c r="B1291" s="5"/>
      <c r="C1291" s="5" t="s">
        <v>169</v>
      </c>
      <c r="D1291" s="6"/>
      <c r="E1291" s="6"/>
      <c r="F1291" s="31"/>
      <c r="G1291" s="31"/>
      <c r="H1291" s="31"/>
    </row>
    <row r="1292" spans="1:8" ht="15.65" thickBot="1" x14ac:dyDescent="0.35"/>
    <row r="1293" spans="1:8" x14ac:dyDescent="0.3">
      <c r="A1293" s="7"/>
      <c r="B1293" s="7"/>
      <c r="C1293" s="7"/>
      <c r="D1293" s="179"/>
      <c r="E1293" s="7"/>
      <c r="F1293" s="7"/>
      <c r="G1293" s="7"/>
      <c r="H1293" s="7"/>
    </row>
    <row r="1294" spans="1:8" x14ac:dyDescent="0.3">
      <c r="B1294" s="32"/>
      <c r="C1294" s="32"/>
      <c r="D1294" s="22"/>
      <c r="E1294" s="32"/>
      <c r="F1294" s="32"/>
      <c r="G1294" s="32"/>
      <c r="H1294" s="32"/>
    </row>
    <row r="1295" spans="1:8" ht="21.3" x14ac:dyDescent="0.4">
      <c r="A1295" s="12" t="s">
        <v>4</v>
      </c>
      <c r="B1295" s="12"/>
      <c r="C1295" s="42" t="str">
        <f>B36</f>
        <v>Tuana Springs Energy, LLC - Tuana Springs -- REC Only **</v>
      </c>
      <c r="D1295" s="43"/>
      <c r="E1295" s="22"/>
      <c r="F1295" s="22"/>
    </row>
    <row r="1296" spans="1:8" x14ac:dyDescent="0.3">
      <c r="C1296" s="22" t="s">
        <v>173</v>
      </c>
    </row>
    <row r="1297" spans="1:8" ht="18.2" x14ac:dyDescent="0.35">
      <c r="A1297" s="8" t="s">
        <v>21</v>
      </c>
      <c r="B1297" s="8"/>
      <c r="D1297" s="127">
        <f>StartYear</f>
        <v>2016</v>
      </c>
      <c r="E1297" s="2">
        <f>D1297+1</f>
        <v>2017</v>
      </c>
      <c r="F1297" s="2">
        <f>E1297+1</f>
        <v>2018</v>
      </c>
      <c r="G1297" s="2">
        <f>F1297+1</f>
        <v>2019</v>
      </c>
      <c r="H1297" s="2">
        <f>G1297+1</f>
        <v>2020</v>
      </c>
    </row>
    <row r="1298" spans="1:8" x14ac:dyDescent="0.3">
      <c r="B1298" s="64" t="str">
        <f>"Purchased from " &amp; C1295</f>
        <v>Purchased from Tuana Springs Energy, LLC - Tuana Springs -- REC Only **</v>
      </c>
      <c r="C1298" s="59"/>
      <c r="D1298" s="3"/>
      <c r="E1298" s="3"/>
      <c r="F1298" s="3"/>
      <c r="G1298" s="3">
        <v>17961</v>
      </c>
      <c r="H1298" s="4"/>
    </row>
    <row r="1299" spans="1:8" x14ac:dyDescent="0.3">
      <c r="B1299" s="64" t="s">
        <v>25</v>
      </c>
      <c r="C1299" s="59"/>
      <c r="D1299" s="141"/>
      <c r="E1299" s="141"/>
      <c r="F1299" s="141"/>
      <c r="G1299" s="141">
        <v>1</v>
      </c>
      <c r="H1299" s="142"/>
    </row>
    <row r="1300" spans="1:8" x14ac:dyDescent="0.3">
      <c r="B1300" s="64" t="s">
        <v>20</v>
      </c>
      <c r="C1300" s="59"/>
      <c r="D1300" s="47"/>
      <c r="E1300" s="47"/>
      <c r="F1300" s="47"/>
      <c r="G1300" s="47">
        <v>1</v>
      </c>
      <c r="H1300" s="48"/>
    </row>
    <row r="1301" spans="1:8" x14ac:dyDescent="0.3">
      <c r="B1301" s="61" t="s">
        <v>22</v>
      </c>
      <c r="C1301" s="62"/>
      <c r="D1301" s="140">
        <f xml:space="preserve"> D1298 * D1299 * D1300</f>
        <v>0</v>
      </c>
      <c r="E1301" s="140">
        <f xml:space="preserve"> E1298 * E1299 * E1300</f>
        <v>0</v>
      </c>
      <c r="F1301" s="140">
        <f t="shared" ref="F1301:H1301" si="101" xml:space="preserve"> ROUNDDOWN(F1298 * F1299 * F1300,0)</f>
        <v>0</v>
      </c>
      <c r="G1301" s="140">
        <f t="shared" si="101"/>
        <v>17961</v>
      </c>
      <c r="H1301" s="140">
        <f t="shared" si="101"/>
        <v>0</v>
      </c>
    </row>
    <row r="1302" spans="1:8" x14ac:dyDescent="0.3">
      <c r="B1302" s="22"/>
      <c r="C1302" s="32"/>
      <c r="D1302" s="39"/>
      <c r="E1302" s="39"/>
      <c r="F1302" s="39"/>
      <c r="G1302" s="176"/>
      <c r="H1302" s="39"/>
    </row>
    <row r="1303" spans="1:8" ht="18.2" x14ac:dyDescent="0.35">
      <c r="A1303" s="44" t="s">
        <v>119</v>
      </c>
      <c r="C1303" s="32"/>
      <c r="D1303" s="2">
        <f>StartYear</f>
        <v>2016</v>
      </c>
      <c r="E1303" s="2">
        <f>D1303+1</f>
        <v>2017</v>
      </c>
      <c r="F1303" s="2">
        <f>E1303+1</f>
        <v>2018</v>
      </c>
      <c r="G1303" s="2">
        <f>F1303+1</f>
        <v>2019</v>
      </c>
      <c r="H1303" s="2">
        <f>G1303+1</f>
        <v>2020</v>
      </c>
    </row>
    <row r="1304" spans="1:8" x14ac:dyDescent="0.3">
      <c r="B1304" s="64" t="s">
        <v>10</v>
      </c>
      <c r="C1304" s="59"/>
      <c r="D1304" s="10">
        <f>IF( $E541 = "Eligible", D1301 * 'Facility Detail'!$B$1614, 0 )</f>
        <v>0</v>
      </c>
      <c r="E1304" s="118">
        <f>IF( $E541 = "Eligible", E1301 * 'Facility Detail'!$B$1614, 0 )</f>
        <v>0</v>
      </c>
      <c r="F1304" s="118">
        <f>IF( $E882 = "Eligible", F1301 * 'Facility Detail'!$B$1614, 0 )</f>
        <v>0</v>
      </c>
      <c r="G1304" s="118">
        <f>IF( $E882 = "Eligible", G1301 * 'Facility Detail'!$B$1614, 0 )</f>
        <v>0</v>
      </c>
      <c r="H1304" s="11">
        <f>IF( $E882 = "Eligible", H1301 * 'Facility Detail'!$B$1614, 0 )</f>
        <v>0</v>
      </c>
    </row>
    <row r="1305" spans="1:8" x14ac:dyDescent="0.3">
      <c r="B1305" s="64" t="s">
        <v>6</v>
      </c>
      <c r="C1305" s="59"/>
      <c r="D1305" s="51">
        <f>IF( $F541 = "Eligible", D1301, 0 )</f>
        <v>0</v>
      </c>
      <c r="E1305" s="119">
        <f>IF( $F541 = "Eligible", E1301, 0 )</f>
        <v>0</v>
      </c>
      <c r="F1305" s="119">
        <f>IF( $F882 = "Eligible", F1301, 0 )</f>
        <v>0</v>
      </c>
      <c r="G1305" s="119">
        <f>IF( $F882 = "Eligible", G1301, 0 )</f>
        <v>0</v>
      </c>
      <c r="H1305" s="52">
        <f>IF( $F882 = "Eligible", H1301, 0 )</f>
        <v>0</v>
      </c>
    </row>
    <row r="1306" spans="1:8" x14ac:dyDescent="0.3">
      <c r="B1306" s="63" t="s">
        <v>121</v>
      </c>
      <c r="C1306" s="62"/>
      <c r="D1306" s="40">
        <f>SUM(D1304:D1305)</f>
        <v>0</v>
      </c>
      <c r="E1306" s="40">
        <f>SUM(E1304:E1305)</f>
        <v>0</v>
      </c>
      <c r="F1306" s="40">
        <f>SUM(F1304:F1305)</f>
        <v>0</v>
      </c>
      <c r="G1306" s="40">
        <f>SUM(G1304:G1305)</f>
        <v>0</v>
      </c>
      <c r="H1306" s="40">
        <f>SUM(H1304:H1305)</f>
        <v>0</v>
      </c>
    </row>
    <row r="1307" spans="1:8" x14ac:dyDescent="0.3">
      <c r="B1307" s="32"/>
      <c r="C1307" s="32"/>
      <c r="D1307" s="33"/>
      <c r="E1307" s="33"/>
      <c r="F1307" s="33"/>
      <c r="G1307" s="178"/>
      <c r="H1307" s="33"/>
    </row>
    <row r="1308" spans="1:8" ht="18.2" x14ac:dyDescent="0.35">
      <c r="A1308" s="41" t="s">
        <v>30</v>
      </c>
      <c r="C1308" s="32"/>
      <c r="D1308" s="2">
        <f>StartYear</f>
        <v>2016</v>
      </c>
      <c r="E1308" s="2">
        <f>D1308+1</f>
        <v>2017</v>
      </c>
      <c r="F1308" s="2">
        <f>E1308+1</f>
        <v>2018</v>
      </c>
      <c r="G1308" s="2">
        <f>F1308+1</f>
        <v>2019</v>
      </c>
      <c r="H1308" s="2">
        <f>G1308+1</f>
        <v>2020</v>
      </c>
    </row>
    <row r="1309" spans="1:8" x14ac:dyDescent="0.3">
      <c r="B1309" s="64" t="s">
        <v>47</v>
      </c>
      <c r="C1309" s="59"/>
      <c r="D1309" s="3"/>
      <c r="E1309" s="3"/>
      <c r="F1309" s="3"/>
      <c r="G1309" s="3"/>
      <c r="H1309" s="4"/>
    </row>
    <row r="1310" spans="1:8" x14ac:dyDescent="0.3">
      <c r="B1310" s="65" t="s">
        <v>23</v>
      </c>
      <c r="C1310" s="66"/>
      <c r="D1310" s="146"/>
      <c r="E1310" s="146"/>
      <c r="F1310" s="146"/>
      <c r="G1310" s="146"/>
      <c r="H1310" s="147"/>
    </row>
    <row r="1311" spans="1:8" x14ac:dyDescent="0.3">
      <c r="B1311" s="75" t="s">
        <v>89</v>
      </c>
      <c r="C1311" s="74"/>
      <c r="D1311" s="213"/>
      <c r="E1311" s="148"/>
      <c r="F1311" s="148"/>
      <c r="G1311" s="148"/>
      <c r="H1311" s="149"/>
    </row>
    <row r="1312" spans="1:8" x14ac:dyDescent="0.3">
      <c r="B1312" s="35" t="s">
        <v>90</v>
      </c>
      <c r="D1312" s="6">
        <f>SUM(D1309:D1311)</f>
        <v>0</v>
      </c>
      <c r="E1312" s="6">
        <f>SUM(E1309:E1311)</f>
        <v>0</v>
      </c>
      <c r="F1312" s="6">
        <f>SUM(F1309:F1311)</f>
        <v>0</v>
      </c>
      <c r="G1312" s="6">
        <f t="shared" ref="G1312" si="102">SUM(G1309:G1311)</f>
        <v>0</v>
      </c>
      <c r="H1312" s="6">
        <f t="shared" ref="H1312" si="103">SUM(H1309:H1311)</f>
        <v>0</v>
      </c>
    </row>
    <row r="1313" spans="1:8" x14ac:dyDescent="0.3">
      <c r="B1313" s="5"/>
      <c r="D1313" s="6"/>
      <c r="E1313" s="6"/>
      <c r="F1313" s="6"/>
      <c r="G1313" s="176"/>
      <c r="H1313" s="6"/>
    </row>
    <row r="1314" spans="1:8" ht="18.2" x14ac:dyDescent="0.35">
      <c r="A1314" s="8" t="s">
        <v>100</v>
      </c>
      <c r="D1314" s="2">
        <f>StartYear</f>
        <v>2016</v>
      </c>
      <c r="E1314" s="2">
        <f>D1314+1</f>
        <v>2017</v>
      </c>
      <c r="F1314" s="2">
        <f>E1314+1</f>
        <v>2018</v>
      </c>
      <c r="G1314" s="2">
        <f>F1314+1</f>
        <v>2019</v>
      </c>
      <c r="H1314" s="2">
        <f>G1314+1</f>
        <v>2020</v>
      </c>
    </row>
    <row r="1315" spans="1:8" x14ac:dyDescent="0.3">
      <c r="B1315" s="64" t="str">
        <f>(StartYear-1) &amp; " Surplus Applied to " &amp; StartYear</f>
        <v>2015 Surplus Applied to 2016</v>
      </c>
      <c r="C1315" s="32"/>
      <c r="D1315" s="205">
        <v>0</v>
      </c>
      <c r="E1315" s="206"/>
      <c r="F1315" s="206"/>
      <c r="G1315" s="206"/>
      <c r="H1315" s="207"/>
    </row>
    <row r="1316" spans="1:8" x14ac:dyDescent="0.3">
      <c r="B1316" s="64" t="str">
        <f>StartYear &amp; " Surplus Applied to " &amp; (StartYear-1)</f>
        <v>2016 Surplus Applied to 2015</v>
      </c>
      <c r="C1316" s="32"/>
      <c r="D1316" s="208">
        <v>0</v>
      </c>
      <c r="E1316" s="122"/>
      <c r="F1316" s="122"/>
      <c r="G1316" s="122"/>
      <c r="H1316" s="126"/>
    </row>
    <row r="1317" spans="1:8" x14ac:dyDescent="0.3">
      <c r="B1317" s="64" t="str">
        <f>( StartYear) &amp; " Surplus Applied to " &amp; ( StartYear + 1 )</f>
        <v>2016 Surplus Applied to 2017</v>
      </c>
      <c r="C1317" s="32"/>
      <c r="D1317" s="203">
        <f>D1301+D1306-D1312</f>
        <v>0</v>
      </c>
      <c r="E1317" s="204">
        <f>D1317</f>
        <v>0</v>
      </c>
      <c r="F1317" s="199"/>
      <c r="G1317" s="199"/>
      <c r="H1317" s="200"/>
    </row>
    <row r="1318" spans="1:8" x14ac:dyDescent="0.3">
      <c r="B1318" s="64" t="str">
        <f xml:space="preserve"> ( StartYear + 1 ) &amp; " Surplus Applied to " &amp; ( StartYear )</f>
        <v>2017 Surplus Applied to 2016</v>
      </c>
      <c r="C1318" s="59"/>
      <c r="D1318" s="143">
        <v>0</v>
      </c>
      <c r="E1318" s="9">
        <v>0</v>
      </c>
      <c r="F1318" s="122"/>
      <c r="G1318" s="122"/>
      <c r="H1318" s="126"/>
    </row>
    <row r="1319" spans="1:8" x14ac:dyDescent="0.3">
      <c r="B1319" s="128" t="str">
        <f xml:space="preserve"> ( StartYear + 1 ) &amp; " Surplus Applied to " &amp; ( StartYear + 2 )</f>
        <v>2017 Surplus Applied to 2018</v>
      </c>
      <c r="C1319" s="59"/>
      <c r="D1319" s="123"/>
      <c r="E1319" s="9">
        <v>0</v>
      </c>
      <c r="F1319" s="58">
        <f>E1319</f>
        <v>0</v>
      </c>
      <c r="G1319" s="122"/>
      <c r="H1319" s="126"/>
    </row>
    <row r="1320" spans="1:8" x14ac:dyDescent="0.3">
      <c r="B1320" s="128" t="str">
        <f xml:space="preserve"> ( StartYear + 2 ) &amp; " Surplus Applied to " &amp; ( StartYear + 1 )</f>
        <v>2018 Surplus Applied to 2017</v>
      </c>
      <c r="C1320" s="59"/>
      <c r="D1320" s="123"/>
      <c r="E1320" s="58">
        <v>0</v>
      </c>
      <c r="F1320" s="9">
        <v>0</v>
      </c>
      <c r="G1320" s="122"/>
      <c r="H1320" s="126"/>
    </row>
    <row r="1321" spans="1:8" x14ac:dyDescent="0.3">
      <c r="B1321" s="174" t="str">
        <f xml:space="preserve"> ( StartYear + 2 ) &amp; " Surplus Applied to " &amp; ( StartYear + 3 )</f>
        <v>2018 Surplus Applied to 2019</v>
      </c>
      <c r="C1321" s="32"/>
      <c r="D1321" s="123"/>
      <c r="E1321" s="122"/>
      <c r="F1321" s="9">
        <v>0</v>
      </c>
      <c r="G1321" s="58">
        <f>F1321</f>
        <v>0</v>
      </c>
      <c r="H1321" s="126"/>
    </row>
    <row r="1322" spans="1:8" x14ac:dyDescent="0.3">
      <c r="B1322" s="174" t="str">
        <f xml:space="preserve"> ( StartYear + 3 ) &amp; " Surplus Applied to " &amp; ( StartYear + 2 )</f>
        <v>2019 Surplus Applied to 2018</v>
      </c>
      <c r="C1322" s="32"/>
      <c r="D1322" s="123"/>
      <c r="E1322" s="122"/>
      <c r="F1322" s="58">
        <v>0</v>
      </c>
      <c r="G1322" s="9">
        <v>0</v>
      </c>
      <c r="H1322" s="126"/>
    </row>
    <row r="1323" spans="1:8" x14ac:dyDescent="0.3">
      <c r="B1323" s="174" t="str">
        <f xml:space="preserve"> ( StartYear + 3 ) &amp; " Surplus Applied to " &amp; ( StartYear + 4 )</f>
        <v>2019 Surplus Applied to 2020</v>
      </c>
      <c r="C1323" s="32"/>
      <c r="D1323" s="123"/>
      <c r="E1323" s="122"/>
      <c r="F1323" s="122"/>
      <c r="G1323" s="9">
        <f>G1301+G1306-G1312</f>
        <v>17961</v>
      </c>
      <c r="H1323" s="53">
        <f>G1323</f>
        <v>17961</v>
      </c>
    </row>
    <row r="1324" spans="1:8" x14ac:dyDescent="0.3">
      <c r="B1324" s="174" t="str">
        <f xml:space="preserve"> ( StartYear + 4 ) &amp; " Surplus Applied to " &amp; ( StartYear + 3 )</f>
        <v>2020 Surplus Applied to 2019</v>
      </c>
      <c r="C1324" s="32"/>
      <c r="D1324" s="124"/>
      <c r="E1324" s="125"/>
      <c r="F1324" s="125"/>
      <c r="G1324" s="54">
        <v>0</v>
      </c>
      <c r="H1324" s="46">
        <v>0</v>
      </c>
    </row>
    <row r="1325" spans="1:8" x14ac:dyDescent="0.3">
      <c r="B1325" s="35" t="s">
        <v>17</v>
      </c>
      <c r="D1325" s="6">
        <f>D1315-D1316+D1318-D1317</f>
        <v>0</v>
      </c>
      <c r="E1325" s="6">
        <f>E1317+E1320-E1318-E1319</f>
        <v>0</v>
      </c>
      <c r="F1325" s="6">
        <f>F1319+F1322-F1320-F1321</f>
        <v>0</v>
      </c>
      <c r="G1325" s="6">
        <f>G1321+G1324-G1322-G1323</f>
        <v>-17961</v>
      </c>
      <c r="H1325" s="6">
        <f>H1323 - H1324</f>
        <v>17961</v>
      </c>
    </row>
    <row r="1326" spans="1:8" x14ac:dyDescent="0.3">
      <c r="B1326" s="5"/>
      <c r="D1326" s="6"/>
      <c r="E1326" s="6"/>
      <c r="F1326" s="6"/>
      <c r="G1326" s="6"/>
      <c r="H1326" s="6"/>
    </row>
    <row r="1327" spans="1:8" x14ac:dyDescent="0.3">
      <c r="B1327" s="61" t="s">
        <v>12</v>
      </c>
      <c r="C1327" s="59"/>
      <c r="D1327" s="82"/>
      <c r="E1327" s="120"/>
      <c r="F1327" s="120"/>
      <c r="G1327" s="120"/>
      <c r="H1327" s="83"/>
    </row>
    <row r="1328" spans="1:8" x14ac:dyDescent="0.3">
      <c r="B1328" s="5"/>
      <c r="D1328" s="6"/>
      <c r="E1328" s="6"/>
      <c r="F1328" s="6"/>
      <c r="G1328" s="6"/>
      <c r="H1328" s="6"/>
    </row>
    <row r="1329" spans="1:8" ht="18.2" x14ac:dyDescent="0.35">
      <c r="A1329" s="41" t="s">
        <v>26</v>
      </c>
      <c r="C1329" s="59"/>
      <c r="D1329" s="121">
        <f xml:space="preserve"> D1301 + D1306 - D1312 + D1325 + D1327</f>
        <v>0</v>
      </c>
      <c r="E1329" s="121">
        <f xml:space="preserve"> E1301 + E1306 - E1312 + E1325 + E1327</f>
        <v>0</v>
      </c>
      <c r="F1329" s="121">
        <f t="shared" ref="F1329:H1329" si="104" xml:space="preserve"> F1301 + F1306 - F1312 + F1325 + F1327</f>
        <v>0</v>
      </c>
      <c r="G1329" s="121">
        <f t="shared" si="104"/>
        <v>0</v>
      </c>
      <c r="H1329" s="192">
        <f t="shared" si="104"/>
        <v>17961</v>
      </c>
    </row>
    <row r="1330" spans="1:8" x14ac:dyDescent="0.3">
      <c r="B1330" s="5"/>
      <c r="C1330" s="5" t="s">
        <v>169</v>
      </c>
      <c r="D1330" s="6"/>
      <c r="E1330" s="6"/>
      <c r="F1330" s="31"/>
      <c r="G1330" s="31"/>
      <c r="H1330" s="31"/>
    </row>
    <row r="1331" spans="1:8" ht="15.65" thickBot="1" x14ac:dyDescent="0.35"/>
    <row r="1332" spans="1:8" x14ac:dyDescent="0.3">
      <c r="A1332" s="7"/>
      <c r="B1332" s="7"/>
      <c r="C1332" s="7"/>
      <c r="D1332" s="179"/>
      <c r="E1332" s="7"/>
      <c r="F1332" s="7"/>
      <c r="G1332" s="7"/>
      <c r="H1332" s="7"/>
    </row>
    <row r="1333" spans="1:8" x14ac:dyDescent="0.3">
      <c r="B1333" s="32"/>
      <c r="C1333" s="32"/>
      <c r="D1333" s="22"/>
      <c r="E1333" s="32"/>
      <c r="F1333" s="32"/>
      <c r="G1333" s="32"/>
      <c r="H1333" s="32"/>
    </row>
    <row r="1334" spans="1:8" ht="21.3" x14ac:dyDescent="0.4">
      <c r="A1334" s="12" t="s">
        <v>4</v>
      </c>
      <c r="B1334" s="12"/>
      <c r="C1334" s="42" t="str">
        <f>B37</f>
        <v>White Creek Wind 1 - White Creek -- REC Only **</v>
      </c>
      <c r="D1334" s="43"/>
      <c r="E1334" s="22"/>
      <c r="F1334" s="22"/>
    </row>
    <row r="1335" spans="1:8" x14ac:dyDescent="0.3">
      <c r="C1335" s="22" t="s">
        <v>173</v>
      </c>
    </row>
    <row r="1336" spans="1:8" ht="18.2" x14ac:dyDescent="0.35">
      <c r="A1336" s="8" t="s">
        <v>21</v>
      </c>
      <c r="B1336" s="8"/>
      <c r="D1336" s="127">
        <f>StartYear</f>
        <v>2016</v>
      </c>
      <c r="E1336" s="2">
        <f>D1336+1</f>
        <v>2017</v>
      </c>
      <c r="F1336" s="2">
        <f>E1336+1</f>
        <v>2018</v>
      </c>
      <c r="G1336" s="2">
        <f>F1336+1</f>
        <v>2019</v>
      </c>
      <c r="H1336" s="2">
        <f>G1336+1</f>
        <v>2020</v>
      </c>
    </row>
    <row r="1337" spans="1:8" x14ac:dyDescent="0.3">
      <c r="B1337" s="64" t="str">
        <f>"Purchased from " &amp; C1334</f>
        <v>Purchased from White Creek Wind 1 - White Creek -- REC Only **</v>
      </c>
      <c r="C1337" s="59"/>
      <c r="D1337" s="3"/>
      <c r="E1337" s="3"/>
      <c r="F1337" s="3"/>
      <c r="G1337" s="3">
        <v>2797</v>
      </c>
      <c r="H1337" s="4"/>
    </row>
    <row r="1338" spans="1:8" x14ac:dyDescent="0.3">
      <c r="B1338" s="64" t="s">
        <v>25</v>
      </c>
      <c r="C1338" s="59"/>
      <c r="D1338" s="141"/>
      <c r="E1338" s="141"/>
      <c r="F1338" s="141"/>
      <c r="G1338" s="141">
        <v>1</v>
      </c>
      <c r="H1338" s="142"/>
    </row>
    <row r="1339" spans="1:8" x14ac:dyDescent="0.3">
      <c r="B1339" s="64" t="s">
        <v>20</v>
      </c>
      <c r="C1339" s="59"/>
      <c r="D1339" s="47"/>
      <c r="E1339" s="47"/>
      <c r="F1339" s="47"/>
      <c r="G1339" s="47">
        <v>1</v>
      </c>
      <c r="H1339" s="48"/>
    </row>
    <row r="1340" spans="1:8" x14ac:dyDescent="0.3">
      <c r="B1340" s="61" t="s">
        <v>22</v>
      </c>
      <c r="C1340" s="62"/>
      <c r="D1340" s="140">
        <f xml:space="preserve"> D1337 * D1338 * D1339</f>
        <v>0</v>
      </c>
      <c r="E1340" s="140">
        <f xml:space="preserve"> E1337 * E1338 * E1339</f>
        <v>0</v>
      </c>
      <c r="F1340" s="140">
        <f t="shared" ref="F1340:H1340" si="105" xml:space="preserve"> ROUNDDOWN(F1337 * F1338 * F1339,0)</f>
        <v>0</v>
      </c>
      <c r="G1340" s="140">
        <f t="shared" si="105"/>
        <v>2797</v>
      </c>
      <c r="H1340" s="140">
        <f t="shared" si="105"/>
        <v>0</v>
      </c>
    </row>
    <row r="1341" spans="1:8" x14ac:dyDescent="0.3">
      <c r="B1341" s="22"/>
      <c r="C1341" s="32"/>
      <c r="D1341" s="39"/>
      <c r="E1341" s="39"/>
      <c r="F1341" s="39"/>
      <c r="G1341" s="176"/>
      <c r="H1341" s="39"/>
    </row>
    <row r="1342" spans="1:8" ht="18.2" x14ac:dyDescent="0.35">
      <c r="A1342" s="44" t="s">
        <v>119</v>
      </c>
      <c r="C1342" s="32"/>
      <c r="D1342" s="2">
        <f>StartYear</f>
        <v>2016</v>
      </c>
      <c r="E1342" s="2">
        <f>D1342+1</f>
        <v>2017</v>
      </c>
      <c r="F1342" s="2">
        <f>E1342+1</f>
        <v>2018</v>
      </c>
      <c r="G1342" s="2">
        <f>F1342+1</f>
        <v>2019</v>
      </c>
      <c r="H1342" s="2">
        <f>G1342+1</f>
        <v>2020</v>
      </c>
    </row>
    <row r="1343" spans="1:8" x14ac:dyDescent="0.3">
      <c r="B1343" s="64" t="s">
        <v>10</v>
      </c>
      <c r="C1343" s="59"/>
      <c r="D1343" s="10">
        <f>IF( $E578 = "Eligible", D1340 * 'Facility Detail'!$B$1614, 0 )</f>
        <v>0</v>
      </c>
      <c r="E1343" s="118">
        <f>IF( $E578 = "Eligible", E1340 * 'Facility Detail'!$B$1614, 0 )</f>
        <v>0</v>
      </c>
      <c r="F1343" s="118">
        <f>IF( $E921 = "Eligible", F1340 * 'Facility Detail'!$B$1614, 0 )</f>
        <v>0</v>
      </c>
      <c r="G1343" s="118">
        <f>IF( $E921 = "Eligible", G1340 * 'Facility Detail'!$B$1614, 0 )</f>
        <v>0</v>
      </c>
      <c r="H1343" s="11">
        <f>IF( $E921 = "Eligible", H1340 * 'Facility Detail'!$B$1614, 0 )</f>
        <v>0</v>
      </c>
    </row>
    <row r="1344" spans="1:8" x14ac:dyDescent="0.3">
      <c r="B1344" s="64" t="s">
        <v>6</v>
      </c>
      <c r="C1344" s="59"/>
      <c r="D1344" s="51">
        <f>IF( $F578 = "Eligible", D1340, 0 )</f>
        <v>0</v>
      </c>
      <c r="E1344" s="119">
        <f>IF( $F578 = "Eligible", E1340, 0 )</f>
        <v>0</v>
      </c>
      <c r="F1344" s="119">
        <f>IF( $F921 = "Eligible", F1340, 0 )</f>
        <v>0</v>
      </c>
      <c r="G1344" s="119">
        <f>IF( $F921 = "Eligible", G1340, 0 )</f>
        <v>0</v>
      </c>
      <c r="H1344" s="52">
        <f>IF( $F921 = "Eligible", H1340, 0 )</f>
        <v>0</v>
      </c>
    </row>
    <row r="1345" spans="1:8" x14ac:dyDescent="0.3">
      <c r="B1345" s="63" t="s">
        <v>121</v>
      </c>
      <c r="C1345" s="62"/>
      <c r="D1345" s="40">
        <f>SUM(D1343:D1344)</f>
        <v>0</v>
      </c>
      <c r="E1345" s="40">
        <f>SUM(E1343:E1344)</f>
        <v>0</v>
      </c>
      <c r="F1345" s="40">
        <f>SUM(F1343:F1344)</f>
        <v>0</v>
      </c>
      <c r="G1345" s="40">
        <f>SUM(G1343:G1344)</f>
        <v>0</v>
      </c>
      <c r="H1345" s="40">
        <f>SUM(H1343:H1344)</f>
        <v>0</v>
      </c>
    </row>
    <row r="1346" spans="1:8" x14ac:dyDescent="0.3">
      <c r="B1346" s="32"/>
      <c r="C1346" s="32"/>
      <c r="D1346" s="33"/>
      <c r="E1346" s="33"/>
      <c r="F1346" s="33"/>
      <c r="G1346" s="178"/>
      <c r="H1346" s="33"/>
    </row>
    <row r="1347" spans="1:8" ht="18.2" x14ac:dyDescent="0.35">
      <c r="A1347" s="41" t="s">
        <v>30</v>
      </c>
      <c r="C1347" s="32"/>
      <c r="D1347" s="2">
        <f>StartYear</f>
        <v>2016</v>
      </c>
      <c r="E1347" s="2">
        <f>D1347+1</f>
        <v>2017</v>
      </c>
      <c r="F1347" s="2">
        <f>E1347+1</f>
        <v>2018</v>
      </c>
      <c r="G1347" s="2">
        <f>F1347+1</f>
        <v>2019</v>
      </c>
      <c r="H1347" s="2">
        <f>G1347+1</f>
        <v>2020</v>
      </c>
    </row>
    <row r="1348" spans="1:8" x14ac:dyDescent="0.3">
      <c r="B1348" s="64" t="s">
        <v>47</v>
      </c>
      <c r="C1348" s="59"/>
      <c r="D1348" s="3"/>
      <c r="E1348" s="3"/>
      <c r="F1348" s="3"/>
      <c r="G1348" s="3"/>
      <c r="H1348" s="4"/>
    </row>
    <row r="1349" spans="1:8" x14ac:dyDescent="0.3">
      <c r="B1349" s="65" t="s">
        <v>23</v>
      </c>
      <c r="C1349" s="66"/>
      <c r="D1349" s="146"/>
      <c r="E1349" s="146"/>
      <c r="F1349" s="146"/>
      <c r="G1349" s="146"/>
      <c r="H1349" s="147"/>
    </row>
    <row r="1350" spans="1:8" x14ac:dyDescent="0.3">
      <c r="B1350" s="75" t="s">
        <v>89</v>
      </c>
      <c r="C1350" s="74"/>
      <c r="D1350" s="213"/>
      <c r="E1350" s="148"/>
      <c r="F1350" s="148"/>
      <c r="G1350" s="148"/>
      <c r="H1350" s="149"/>
    </row>
    <row r="1351" spans="1:8" x14ac:dyDescent="0.3">
      <c r="B1351" s="35" t="s">
        <v>90</v>
      </c>
      <c r="D1351" s="6">
        <f>SUM(D1348:D1350)</f>
        <v>0</v>
      </c>
      <c r="E1351" s="6">
        <f>SUM(E1348:E1350)</f>
        <v>0</v>
      </c>
      <c r="F1351" s="6">
        <f>SUM(F1348:F1350)</f>
        <v>0</v>
      </c>
      <c r="G1351" s="6">
        <f t="shared" ref="G1351" si="106">SUM(G1348:G1350)</f>
        <v>0</v>
      </c>
      <c r="H1351" s="6">
        <f t="shared" ref="H1351" si="107">SUM(H1348:H1350)</f>
        <v>0</v>
      </c>
    </row>
    <row r="1352" spans="1:8" x14ac:dyDescent="0.3">
      <c r="B1352" s="5"/>
      <c r="D1352" s="6"/>
      <c r="E1352" s="6"/>
      <c r="F1352" s="6"/>
      <c r="G1352" s="176"/>
      <c r="H1352" s="6"/>
    </row>
    <row r="1353" spans="1:8" ht="18.2" x14ac:dyDescent="0.35">
      <c r="A1353" s="8" t="s">
        <v>100</v>
      </c>
      <c r="D1353" s="2">
        <f>StartYear</f>
        <v>2016</v>
      </c>
      <c r="E1353" s="2">
        <f>D1353+1</f>
        <v>2017</v>
      </c>
      <c r="F1353" s="2">
        <f>E1353+1</f>
        <v>2018</v>
      </c>
      <c r="G1353" s="2">
        <f>F1353+1</f>
        <v>2019</v>
      </c>
      <c r="H1353" s="2">
        <f>G1353+1</f>
        <v>2020</v>
      </c>
    </row>
    <row r="1354" spans="1:8" x14ac:dyDescent="0.3">
      <c r="B1354" s="64" t="str">
        <f>(StartYear-1) &amp; " Surplus Applied to " &amp; StartYear</f>
        <v>2015 Surplus Applied to 2016</v>
      </c>
      <c r="C1354" s="32"/>
      <c r="D1354" s="205">
        <v>0</v>
      </c>
      <c r="E1354" s="206"/>
      <c r="F1354" s="206"/>
      <c r="G1354" s="206"/>
      <c r="H1354" s="207"/>
    </row>
    <row r="1355" spans="1:8" x14ac:dyDescent="0.3">
      <c r="B1355" s="64" t="str">
        <f>StartYear &amp; " Surplus Applied to " &amp; (StartYear-1)</f>
        <v>2016 Surplus Applied to 2015</v>
      </c>
      <c r="C1355" s="32"/>
      <c r="D1355" s="208">
        <v>0</v>
      </c>
      <c r="E1355" s="122"/>
      <c r="F1355" s="122"/>
      <c r="G1355" s="122"/>
      <c r="H1355" s="126"/>
    </row>
    <row r="1356" spans="1:8" x14ac:dyDescent="0.3">
      <c r="B1356" s="64" t="str">
        <f>( StartYear) &amp; " Surplus Applied to " &amp; ( StartYear + 1 )</f>
        <v>2016 Surplus Applied to 2017</v>
      </c>
      <c r="C1356" s="32"/>
      <c r="D1356" s="203">
        <f>D1340+D1345-D1351</f>
        <v>0</v>
      </c>
      <c r="E1356" s="204">
        <f>D1356</f>
        <v>0</v>
      </c>
      <c r="F1356" s="199"/>
      <c r="G1356" s="199"/>
      <c r="H1356" s="200"/>
    </row>
    <row r="1357" spans="1:8" x14ac:dyDescent="0.3">
      <c r="B1357" s="64" t="str">
        <f xml:space="preserve"> ( StartYear + 1 ) &amp; " Surplus Applied to " &amp; ( StartYear )</f>
        <v>2017 Surplus Applied to 2016</v>
      </c>
      <c r="C1357" s="59"/>
      <c r="D1357" s="143">
        <v>0</v>
      </c>
      <c r="E1357" s="9">
        <v>0</v>
      </c>
      <c r="F1357" s="122"/>
      <c r="G1357" s="122"/>
      <c r="H1357" s="126"/>
    </row>
    <row r="1358" spans="1:8" x14ac:dyDescent="0.3">
      <c r="B1358" s="128" t="str">
        <f xml:space="preserve"> ( StartYear + 1 ) &amp; " Surplus Applied to " &amp; ( StartYear + 2 )</f>
        <v>2017 Surplus Applied to 2018</v>
      </c>
      <c r="C1358" s="59"/>
      <c r="D1358" s="123"/>
      <c r="E1358" s="9">
        <v>0</v>
      </c>
      <c r="F1358" s="58">
        <f>E1358</f>
        <v>0</v>
      </c>
      <c r="G1358" s="122"/>
      <c r="H1358" s="126"/>
    </row>
    <row r="1359" spans="1:8" x14ac:dyDescent="0.3">
      <c r="B1359" s="128" t="str">
        <f xml:space="preserve"> ( StartYear + 2 ) &amp; " Surplus Applied to " &amp; ( StartYear + 1 )</f>
        <v>2018 Surplus Applied to 2017</v>
      </c>
      <c r="C1359" s="59"/>
      <c r="D1359" s="123"/>
      <c r="E1359" s="58">
        <v>0</v>
      </c>
      <c r="F1359" s="9">
        <v>0</v>
      </c>
      <c r="G1359" s="122"/>
      <c r="H1359" s="126"/>
    </row>
    <row r="1360" spans="1:8" x14ac:dyDescent="0.3">
      <c r="B1360" s="174" t="str">
        <f xml:space="preserve"> ( StartYear + 2 ) &amp; " Surplus Applied to " &amp; ( StartYear + 3 )</f>
        <v>2018 Surplus Applied to 2019</v>
      </c>
      <c r="C1360" s="32"/>
      <c r="D1360" s="123"/>
      <c r="E1360" s="122"/>
      <c r="F1360" s="9">
        <v>0</v>
      </c>
      <c r="G1360" s="58">
        <f>F1360</f>
        <v>0</v>
      </c>
      <c r="H1360" s="126"/>
    </row>
    <row r="1361" spans="1:8" x14ac:dyDescent="0.3">
      <c r="B1361" s="174" t="str">
        <f xml:space="preserve"> ( StartYear + 3 ) &amp; " Surplus Applied to " &amp; ( StartYear + 2 )</f>
        <v>2019 Surplus Applied to 2018</v>
      </c>
      <c r="C1361" s="32"/>
      <c r="D1361" s="123"/>
      <c r="E1361" s="122"/>
      <c r="F1361" s="58">
        <v>0</v>
      </c>
      <c r="G1361" s="9">
        <v>0</v>
      </c>
      <c r="H1361" s="126"/>
    </row>
    <row r="1362" spans="1:8" x14ac:dyDescent="0.3">
      <c r="B1362" s="174" t="str">
        <f xml:space="preserve"> ( StartYear + 3 ) &amp; " Surplus Applied to " &amp; ( StartYear + 4 )</f>
        <v>2019 Surplus Applied to 2020</v>
      </c>
      <c r="C1362" s="32"/>
      <c r="D1362" s="123"/>
      <c r="E1362" s="122"/>
      <c r="F1362" s="122"/>
      <c r="G1362" s="9">
        <f>G1340+G1345-G1351</f>
        <v>2797</v>
      </c>
      <c r="H1362" s="53">
        <f>G1362</f>
        <v>2797</v>
      </c>
    </row>
    <row r="1363" spans="1:8" x14ac:dyDescent="0.3">
      <c r="B1363" s="174" t="str">
        <f xml:space="preserve"> ( StartYear + 4 ) &amp; " Surplus Applied to " &amp; ( StartYear + 3 )</f>
        <v>2020 Surplus Applied to 2019</v>
      </c>
      <c r="C1363" s="32"/>
      <c r="D1363" s="124"/>
      <c r="E1363" s="125"/>
      <c r="F1363" s="125"/>
      <c r="G1363" s="54">
        <v>0</v>
      </c>
      <c r="H1363" s="46">
        <v>0</v>
      </c>
    </row>
    <row r="1364" spans="1:8" x14ac:dyDescent="0.3">
      <c r="B1364" s="35" t="s">
        <v>17</v>
      </c>
      <c r="D1364" s="6">
        <f>D1354-D1355+D1357-D1356</f>
        <v>0</v>
      </c>
      <c r="E1364" s="6">
        <f>E1356+E1359-E1357-E1358</f>
        <v>0</v>
      </c>
      <c r="F1364" s="6">
        <f>F1358+F1361-F1359-F1360</f>
        <v>0</v>
      </c>
      <c r="G1364" s="6">
        <f>G1360+G1363-G1361-G1362</f>
        <v>-2797</v>
      </c>
      <c r="H1364" s="6">
        <f>H1362 - H1363</f>
        <v>2797</v>
      </c>
    </row>
    <row r="1365" spans="1:8" x14ac:dyDescent="0.3">
      <c r="B1365" s="5"/>
      <c r="D1365" s="6"/>
      <c r="E1365" s="6"/>
      <c r="F1365" s="6"/>
      <c r="G1365" s="6"/>
      <c r="H1365" s="6"/>
    </row>
    <row r="1366" spans="1:8" x14ac:dyDescent="0.3">
      <c r="B1366" s="61" t="s">
        <v>12</v>
      </c>
      <c r="C1366" s="59"/>
      <c r="D1366" s="82"/>
      <c r="E1366" s="120"/>
      <c r="F1366" s="120"/>
      <c r="G1366" s="120"/>
      <c r="H1366" s="83"/>
    </row>
    <row r="1367" spans="1:8" x14ac:dyDescent="0.3">
      <c r="B1367" s="5"/>
      <c r="D1367" s="6"/>
      <c r="E1367" s="6"/>
      <c r="F1367" s="6"/>
      <c r="G1367" s="6"/>
      <c r="H1367" s="6"/>
    </row>
    <row r="1368" spans="1:8" ht="18.2" x14ac:dyDescent="0.35">
      <c r="A1368" s="41" t="s">
        <v>26</v>
      </c>
      <c r="C1368" s="59"/>
      <c r="D1368" s="121">
        <f xml:space="preserve"> D1340 + D1345 - D1351 + D1364 + D1366</f>
        <v>0</v>
      </c>
      <c r="E1368" s="121">
        <f xml:space="preserve"> E1340 + E1345 - E1351 + E1364 + E1366</f>
        <v>0</v>
      </c>
      <c r="F1368" s="121">
        <f t="shared" ref="F1368:H1368" si="108" xml:space="preserve"> F1340 + F1345 - F1351 + F1364 + F1366</f>
        <v>0</v>
      </c>
      <c r="G1368" s="121">
        <f t="shared" si="108"/>
        <v>0</v>
      </c>
      <c r="H1368" s="192">
        <f t="shared" si="108"/>
        <v>2797</v>
      </c>
    </row>
    <row r="1369" spans="1:8" x14ac:dyDescent="0.3">
      <c r="B1369" s="5"/>
      <c r="C1369" s="5" t="s">
        <v>169</v>
      </c>
      <c r="D1369" s="6"/>
      <c r="E1369" s="6"/>
      <c r="F1369" s="31"/>
      <c r="G1369" s="31"/>
      <c r="H1369" s="31"/>
    </row>
    <row r="1370" spans="1:8" ht="15.65" thickBot="1" x14ac:dyDescent="0.35"/>
    <row r="1371" spans="1:8" x14ac:dyDescent="0.3">
      <c r="A1371" s="7"/>
      <c r="B1371" s="7"/>
      <c r="C1371" s="7"/>
      <c r="D1371" s="179"/>
      <c r="E1371" s="7"/>
      <c r="F1371" s="7"/>
      <c r="G1371" s="7"/>
      <c r="H1371" s="7"/>
    </row>
    <row r="1372" spans="1:8" x14ac:dyDescent="0.3">
      <c r="B1372" s="32"/>
      <c r="C1372" s="32"/>
      <c r="D1372" s="22"/>
      <c r="E1372" s="32"/>
      <c r="F1372" s="32"/>
      <c r="G1372" s="32"/>
      <c r="H1372" s="32"/>
    </row>
    <row r="1373" spans="1:8" ht="21.3" x14ac:dyDescent="0.4">
      <c r="A1373" s="12" t="s">
        <v>4</v>
      </c>
      <c r="B1373" s="12"/>
      <c r="C1373" s="42" t="str">
        <f>B38</f>
        <v>Facility 35</v>
      </c>
      <c r="D1373" s="43"/>
      <c r="E1373" s="22"/>
      <c r="F1373" s="22"/>
    </row>
    <row r="1374" spans="1:8" x14ac:dyDescent="0.3">
      <c r="C1374" s="22" t="s">
        <v>173</v>
      </c>
    </row>
    <row r="1375" spans="1:8" ht="18.2" x14ac:dyDescent="0.35">
      <c r="A1375" s="8" t="s">
        <v>21</v>
      </c>
      <c r="B1375" s="8"/>
      <c r="D1375" s="127">
        <f>StartYear</f>
        <v>2016</v>
      </c>
      <c r="E1375" s="2">
        <f>D1375+1</f>
        <v>2017</v>
      </c>
      <c r="F1375" s="2">
        <f>E1375+1</f>
        <v>2018</v>
      </c>
      <c r="G1375" s="2">
        <f>F1375+1</f>
        <v>2019</v>
      </c>
      <c r="H1375" s="2">
        <f>G1375+1</f>
        <v>2020</v>
      </c>
    </row>
    <row r="1376" spans="1:8" x14ac:dyDescent="0.3">
      <c r="B1376" s="64" t="str">
        <f>"Purchased from " &amp; C1373</f>
        <v>Purchased from Facility 35</v>
      </c>
      <c r="C1376" s="59"/>
      <c r="D1376" s="3"/>
      <c r="E1376" s="3"/>
      <c r="F1376" s="3"/>
      <c r="G1376" s="3"/>
      <c r="H1376" s="4"/>
    </row>
    <row r="1377" spans="1:8" x14ac:dyDescent="0.3">
      <c r="B1377" s="64" t="s">
        <v>25</v>
      </c>
      <c r="C1377" s="59"/>
      <c r="D1377" s="141"/>
      <c r="E1377" s="141"/>
      <c r="F1377" s="141"/>
      <c r="G1377" s="141"/>
      <c r="H1377" s="142"/>
    </row>
    <row r="1378" spans="1:8" x14ac:dyDescent="0.3">
      <c r="B1378" s="64" t="s">
        <v>20</v>
      </c>
      <c r="C1378" s="59"/>
      <c r="D1378" s="47"/>
      <c r="E1378" s="47"/>
      <c r="F1378" s="47"/>
      <c r="G1378" s="47"/>
      <c r="H1378" s="48"/>
    </row>
    <row r="1379" spans="1:8" x14ac:dyDescent="0.3">
      <c r="B1379" s="61" t="s">
        <v>22</v>
      </c>
      <c r="C1379" s="62"/>
      <c r="D1379" s="140">
        <f xml:space="preserve"> D1376 * D1377 * D1378</f>
        <v>0</v>
      </c>
      <c r="E1379" s="140">
        <f xml:space="preserve"> E1376 * E1377 * E1378</f>
        <v>0</v>
      </c>
      <c r="F1379" s="140">
        <f t="shared" ref="F1379:H1379" si="109" xml:space="preserve"> ROUNDDOWN(F1376 * F1377 * F1378,0)</f>
        <v>0</v>
      </c>
      <c r="G1379" s="140">
        <f t="shared" si="109"/>
        <v>0</v>
      </c>
      <c r="H1379" s="140">
        <f t="shared" si="109"/>
        <v>0</v>
      </c>
    </row>
    <row r="1380" spans="1:8" x14ac:dyDescent="0.3">
      <c r="B1380" s="22"/>
      <c r="C1380" s="32"/>
      <c r="D1380" s="39"/>
      <c r="E1380" s="39"/>
      <c r="F1380" s="39"/>
      <c r="G1380" s="176"/>
      <c r="H1380" s="39"/>
    </row>
    <row r="1381" spans="1:8" ht="18.2" x14ac:dyDescent="0.35">
      <c r="A1381" s="44" t="s">
        <v>119</v>
      </c>
      <c r="C1381" s="32"/>
      <c r="D1381" s="2">
        <f>StartYear</f>
        <v>2016</v>
      </c>
      <c r="E1381" s="2">
        <f>D1381+1</f>
        <v>2017</v>
      </c>
      <c r="F1381" s="2">
        <f>E1381+1</f>
        <v>2018</v>
      </c>
      <c r="G1381" s="2">
        <f>F1381+1</f>
        <v>2019</v>
      </c>
      <c r="H1381" s="2">
        <f>G1381+1</f>
        <v>2020</v>
      </c>
    </row>
    <row r="1382" spans="1:8" x14ac:dyDescent="0.3">
      <c r="B1382" s="64" t="s">
        <v>10</v>
      </c>
      <c r="C1382" s="59"/>
      <c r="D1382" s="10">
        <f>IF( $E615 = "Eligible", D1379 * 'Facility Detail'!$B$1614, 0 )</f>
        <v>0</v>
      </c>
      <c r="E1382" s="118">
        <f>IF( $E615 = "Eligible", E1379 * 'Facility Detail'!$B$1614, 0 )</f>
        <v>0</v>
      </c>
      <c r="F1382" s="118">
        <f>IF( $E960 = "Eligible", F1379 * 'Facility Detail'!$B$1614, 0 )</f>
        <v>0</v>
      </c>
      <c r="G1382" s="118">
        <f>IF( $E960 = "Eligible", G1379 * 'Facility Detail'!$B$1614, 0 )</f>
        <v>0</v>
      </c>
      <c r="H1382" s="11">
        <f>IF( $E960 = "Eligible", H1379 * 'Facility Detail'!$B$1614, 0 )</f>
        <v>0</v>
      </c>
    </row>
    <row r="1383" spans="1:8" x14ac:dyDescent="0.3">
      <c r="B1383" s="64" t="s">
        <v>6</v>
      </c>
      <c r="C1383" s="59"/>
      <c r="D1383" s="51">
        <f>IF( $F615 = "Eligible", D1379, 0 )</f>
        <v>0</v>
      </c>
      <c r="E1383" s="119">
        <f>IF( $F615 = "Eligible", E1379, 0 )</f>
        <v>0</v>
      </c>
      <c r="F1383" s="119">
        <f>IF( $F960 = "Eligible", F1379, 0 )</f>
        <v>0</v>
      </c>
      <c r="G1383" s="119">
        <f>IF( $F960 = "Eligible", G1379, 0 )</f>
        <v>0</v>
      </c>
      <c r="H1383" s="52">
        <f>IF( $F960 = "Eligible", H1379, 0 )</f>
        <v>0</v>
      </c>
    </row>
    <row r="1384" spans="1:8" x14ac:dyDescent="0.3">
      <c r="B1384" s="63" t="s">
        <v>121</v>
      </c>
      <c r="C1384" s="62"/>
      <c r="D1384" s="40">
        <f>SUM(D1382:D1383)</f>
        <v>0</v>
      </c>
      <c r="E1384" s="40">
        <f>SUM(E1382:E1383)</f>
        <v>0</v>
      </c>
      <c r="F1384" s="40">
        <f>SUM(F1382:F1383)</f>
        <v>0</v>
      </c>
      <c r="G1384" s="40">
        <f>SUM(G1382:G1383)</f>
        <v>0</v>
      </c>
      <c r="H1384" s="40">
        <f>SUM(H1382:H1383)</f>
        <v>0</v>
      </c>
    </row>
    <row r="1385" spans="1:8" x14ac:dyDescent="0.3">
      <c r="B1385" s="32"/>
      <c r="C1385" s="32"/>
      <c r="D1385" s="33"/>
      <c r="E1385" s="33"/>
      <c r="F1385" s="33"/>
      <c r="G1385" s="178"/>
      <c r="H1385" s="33"/>
    </row>
    <row r="1386" spans="1:8" ht="18.2" x14ac:dyDescent="0.35">
      <c r="A1386" s="41" t="s">
        <v>30</v>
      </c>
      <c r="C1386" s="32"/>
      <c r="D1386" s="2">
        <f>StartYear</f>
        <v>2016</v>
      </c>
      <c r="E1386" s="2">
        <f>D1386+1</f>
        <v>2017</v>
      </c>
      <c r="F1386" s="2">
        <f>E1386+1</f>
        <v>2018</v>
      </c>
      <c r="G1386" s="2">
        <f>F1386+1</f>
        <v>2019</v>
      </c>
      <c r="H1386" s="2">
        <f>G1386+1</f>
        <v>2020</v>
      </c>
    </row>
    <row r="1387" spans="1:8" x14ac:dyDescent="0.3">
      <c r="B1387" s="64" t="s">
        <v>47</v>
      </c>
      <c r="C1387" s="59"/>
      <c r="D1387" s="3"/>
      <c r="E1387" s="3"/>
      <c r="F1387" s="3"/>
      <c r="G1387" s="3"/>
      <c r="H1387" s="4"/>
    </row>
    <row r="1388" spans="1:8" x14ac:dyDescent="0.3">
      <c r="B1388" s="65" t="s">
        <v>23</v>
      </c>
      <c r="C1388" s="66"/>
      <c r="D1388" s="146"/>
      <c r="E1388" s="146"/>
      <c r="F1388" s="146"/>
      <c r="G1388" s="146"/>
      <c r="H1388" s="147"/>
    </row>
    <row r="1389" spans="1:8" x14ac:dyDescent="0.3">
      <c r="B1389" s="75" t="s">
        <v>89</v>
      </c>
      <c r="C1389" s="74"/>
      <c r="D1389" s="213"/>
      <c r="E1389" s="148"/>
      <c r="F1389" s="148"/>
      <c r="G1389" s="148"/>
      <c r="H1389" s="149"/>
    </row>
    <row r="1390" spans="1:8" x14ac:dyDescent="0.3">
      <c r="B1390" s="35" t="s">
        <v>90</v>
      </c>
      <c r="D1390" s="6">
        <f>SUM(D1387:D1389)</f>
        <v>0</v>
      </c>
      <c r="E1390" s="6">
        <f>SUM(E1387:E1389)</f>
        <v>0</v>
      </c>
      <c r="F1390" s="6">
        <f>SUM(F1387:F1389)</f>
        <v>0</v>
      </c>
      <c r="G1390" s="6">
        <f t="shared" ref="G1390" si="110">SUM(G1387:G1389)</f>
        <v>0</v>
      </c>
      <c r="H1390" s="6">
        <f t="shared" ref="H1390" si="111">SUM(H1387:H1389)</f>
        <v>0</v>
      </c>
    </row>
    <row r="1391" spans="1:8" x14ac:dyDescent="0.3">
      <c r="B1391" s="5"/>
      <c r="D1391" s="6"/>
      <c r="E1391" s="6"/>
      <c r="F1391" s="6"/>
      <c r="G1391" s="176"/>
      <c r="H1391" s="6"/>
    </row>
    <row r="1392" spans="1:8" ht="18.2" x14ac:dyDescent="0.35">
      <c r="A1392" s="8" t="s">
        <v>100</v>
      </c>
      <c r="D1392" s="2">
        <f>StartYear</f>
        <v>2016</v>
      </c>
      <c r="E1392" s="2">
        <f>D1392+1</f>
        <v>2017</v>
      </c>
      <c r="F1392" s="2">
        <f>E1392+1</f>
        <v>2018</v>
      </c>
      <c r="G1392" s="2">
        <f>F1392+1</f>
        <v>2019</v>
      </c>
      <c r="H1392" s="2">
        <f>G1392+1</f>
        <v>2020</v>
      </c>
    </row>
    <row r="1393" spans="1:8" x14ac:dyDescent="0.3">
      <c r="B1393" s="64" t="str">
        <f>(StartYear-1) &amp; " Surplus Applied to " &amp; StartYear</f>
        <v>2015 Surplus Applied to 2016</v>
      </c>
      <c r="C1393" s="32"/>
      <c r="D1393" s="205">
        <v>0</v>
      </c>
      <c r="E1393" s="206"/>
      <c r="F1393" s="206"/>
      <c r="G1393" s="206"/>
      <c r="H1393" s="207"/>
    </row>
    <row r="1394" spans="1:8" x14ac:dyDescent="0.3">
      <c r="B1394" s="64" t="str">
        <f>StartYear &amp; " Surplus Applied to " &amp; (StartYear-1)</f>
        <v>2016 Surplus Applied to 2015</v>
      </c>
      <c r="C1394" s="32"/>
      <c r="D1394" s="208">
        <v>0</v>
      </c>
      <c r="E1394" s="122"/>
      <c r="F1394" s="122"/>
      <c r="G1394" s="122"/>
      <c r="H1394" s="126"/>
    </row>
    <row r="1395" spans="1:8" x14ac:dyDescent="0.3">
      <c r="B1395" s="64" t="str">
        <f>( StartYear) &amp; " Surplus Applied to " &amp; ( StartYear + 1 )</f>
        <v>2016 Surplus Applied to 2017</v>
      </c>
      <c r="C1395" s="32"/>
      <c r="D1395" s="203">
        <f>D1379+D1384-D1390</f>
        <v>0</v>
      </c>
      <c r="E1395" s="204">
        <f>D1395</f>
        <v>0</v>
      </c>
      <c r="F1395" s="199"/>
      <c r="G1395" s="199"/>
      <c r="H1395" s="200"/>
    </row>
    <row r="1396" spans="1:8" x14ac:dyDescent="0.3">
      <c r="B1396" s="64" t="str">
        <f xml:space="preserve"> ( StartYear + 1 ) &amp; " Surplus Applied to " &amp; ( StartYear )</f>
        <v>2017 Surplus Applied to 2016</v>
      </c>
      <c r="C1396" s="59"/>
      <c r="D1396" s="143">
        <v>0</v>
      </c>
      <c r="E1396" s="9">
        <v>0</v>
      </c>
      <c r="F1396" s="122"/>
      <c r="G1396" s="122"/>
      <c r="H1396" s="126"/>
    </row>
    <row r="1397" spans="1:8" x14ac:dyDescent="0.3">
      <c r="B1397" s="128" t="str">
        <f xml:space="preserve"> ( StartYear + 1 ) &amp; " Surplus Applied to " &amp; ( StartYear + 2 )</f>
        <v>2017 Surplus Applied to 2018</v>
      </c>
      <c r="C1397" s="59"/>
      <c r="D1397" s="123"/>
      <c r="E1397" s="9">
        <v>0</v>
      </c>
      <c r="F1397" s="58">
        <f>E1397</f>
        <v>0</v>
      </c>
      <c r="G1397" s="122"/>
      <c r="H1397" s="126"/>
    </row>
    <row r="1398" spans="1:8" x14ac:dyDescent="0.3">
      <c r="B1398" s="128" t="str">
        <f xml:space="preserve"> ( StartYear + 2 ) &amp; " Surplus Applied to " &amp; ( StartYear + 1 )</f>
        <v>2018 Surplus Applied to 2017</v>
      </c>
      <c r="C1398" s="59"/>
      <c r="D1398" s="123"/>
      <c r="E1398" s="58">
        <v>0</v>
      </c>
      <c r="F1398" s="9">
        <v>0</v>
      </c>
      <c r="G1398" s="122"/>
      <c r="H1398" s="126"/>
    </row>
    <row r="1399" spans="1:8" x14ac:dyDescent="0.3">
      <c r="B1399" s="174" t="str">
        <f xml:space="preserve"> ( StartYear + 2 ) &amp; " Surplus Applied to " &amp; ( StartYear + 3 )</f>
        <v>2018 Surplus Applied to 2019</v>
      </c>
      <c r="C1399" s="32"/>
      <c r="D1399" s="123"/>
      <c r="E1399" s="122"/>
      <c r="F1399" s="9">
        <v>0</v>
      </c>
      <c r="G1399" s="58">
        <f>F1399</f>
        <v>0</v>
      </c>
      <c r="H1399" s="126"/>
    </row>
    <row r="1400" spans="1:8" x14ac:dyDescent="0.3">
      <c r="B1400" s="174" t="str">
        <f xml:space="preserve"> ( StartYear + 3 ) &amp; " Surplus Applied to " &amp; ( StartYear + 2 )</f>
        <v>2019 Surplus Applied to 2018</v>
      </c>
      <c r="C1400" s="32"/>
      <c r="D1400" s="123"/>
      <c r="E1400" s="122"/>
      <c r="F1400" s="58">
        <v>0</v>
      </c>
      <c r="G1400" s="9">
        <v>0</v>
      </c>
      <c r="H1400" s="126"/>
    </row>
    <row r="1401" spans="1:8" x14ac:dyDescent="0.3">
      <c r="B1401" s="174" t="str">
        <f xml:space="preserve"> ( StartYear + 3 ) &amp; " Surplus Applied to " &amp; ( StartYear + 4 )</f>
        <v>2019 Surplus Applied to 2020</v>
      </c>
      <c r="C1401" s="32"/>
      <c r="D1401" s="123"/>
      <c r="E1401" s="122"/>
      <c r="F1401" s="122"/>
      <c r="G1401" s="9">
        <f>G1379+G1384-G1390</f>
        <v>0</v>
      </c>
      <c r="H1401" s="53">
        <f>G1401</f>
        <v>0</v>
      </c>
    </row>
    <row r="1402" spans="1:8" x14ac:dyDescent="0.3">
      <c r="B1402" s="174" t="str">
        <f xml:space="preserve"> ( StartYear + 4 ) &amp; " Surplus Applied to " &amp; ( StartYear + 3 )</f>
        <v>2020 Surplus Applied to 2019</v>
      </c>
      <c r="C1402" s="32"/>
      <c r="D1402" s="124"/>
      <c r="E1402" s="125"/>
      <c r="F1402" s="125"/>
      <c r="G1402" s="54">
        <v>0</v>
      </c>
      <c r="H1402" s="46">
        <v>0</v>
      </c>
    </row>
    <row r="1403" spans="1:8" x14ac:dyDescent="0.3">
      <c r="B1403" s="35" t="s">
        <v>17</v>
      </c>
      <c r="D1403" s="6">
        <f>D1393-D1394+D1396-D1395</f>
        <v>0</v>
      </c>
      <c r="E1403" s="6">
        <f>E1395+E1398-E1396-E1397</f>
        <v>0</v>
      </c>
      <c r="F1403" s="6">
        <f>F1397+F1400-F1398-F1399</f>
        <v>0</v>
      </c>
      <c r="G1403" s="6">
        <f>G1399+G1402-G1400-G1401</f>
        <v>0</v>
      </c>
      <c r="H1403" s="6">
        <f>H1401 - H1402</f>
        <v>0</v>
      </c>
    </row>
    <row r="1404" spans="1:8" x14ac:dyDescent="0.3">
      <c r="B1404" s="5"/>
      <c r="D1404" s="6"/>
      <c r="E1404" s="6"/>
      <c r="F1404" s="6"/>
      <c r="G1404" s="6"/>
      <c r="H1404" s="6"/>
    </row>
    <row r="1405" spans="1:8" x14ac:dyDescent="0.3">
      <c r="B1405" s="61" t="s">
        <v>12</v>
      </c>
      <c r="C1405" s="59"/>
      <c r="D1405" s="82"/>
      <c r="E1405" s="120"/>
      <c r="F1405" s="120"/>
      <c r="G1405" s="120"/>
      <c r="H1405" s="83"/>
    </row>
    <row r="1406" spans="1:8" x14ac:dyDescent="0.3">
      <c r="B1406" s="5"/>
      <c r="D1406" s="6"/>
      <c r="E1406" s="6"/>
      <c r="F1406" s="6"/>
      <c r="G1406" s="6"/>
      <c r="H1406" s="6"/>
    </row>
    <row r="1407" spans="1:8" ht="18.2" x14ac:dyDescent="0.35">
      <c r="A1407" s="41" t="s">
        <v>26</v>
      </c>
      <c r="C1407" s="59"/>
      <c r="D1407" s="121">
        <f xml:space="preserve"> D1379 + D1384 - D1390 + D1403 + D1405</f>
        <v>0</v>
      </c>
      <c r="E1407" s="121">
        <f xml:space="preserve"> E1379 + E1384 - E1390 + E1403 + E1405</f>
        <v>0</v>
      </c>
      <c r="F1407" s="121">
        <f t="shared" ref="F1407:H1407" si="112" xml:space="preserve"> F1379 + F1384 - F1390 + F1403 + F1405</f>
        <v>0</v>
      </c>
      <c r="G1407" s="121">
        <f t="shared" si="112"/>
        <v>0</v>
      </c>
      <c r="H1407" s="192">
        <f t="shared" si="112"/>
        <v>0</v>
      </c>
    </row>
    <row r="1408" spans="1:8" x14ac:dyDescent="0.3">
      <c r="B1408" s="5"/>
      <c r="C1408" s="5" t="s">
        <v>169</v>
      </c>
      <c r="D1408" s="6"/>
      <c r="E1408" s="6"/>
      <c r="F1408" s="31"/>
      <c r="G1408" s="31"/>
      <c r="H1408" s="31"/>
    </row>
    <row r="1409" spans="1:8" ht="15.65" thickBot="1" x14ac:dyDescent="0.35"/>
    <row r="1410" spans="1:8" x14ac:dyDescent="0.3">
      <c r="A1410" s="7"/>
      <c r="B1410" s="7"/>
      <c r="C1410" s="7"/>
      <c r="D1410" s="179"/>
      <c r="E1410" s="7"/>
      <c r="F1410" s="7"/>
      <c r="G1410" s="7"/>
      <c r="H1410" s="7"/>
    </row>
    <row r="1411" spans="1:8" x14ac:dyDescent="0.3">
      <c r="B1411" s="32"/>
      <c r="C1411" s="32"/>
      <c r="D1411" s="22"/>
      <c r="E1411" s="32"/>
      <c r="F1411" s="32"/>
      <c r="G1411" s="32"/>
      <c r="H1411" s="32"/>
    </row>
    <row r="1412" spans="1:8" ht="21.3" x14ac:dyDescent="0.4">
      <c r="A1412" s="12" t="s">
        <v>4</v>
      </c>
      <c r="B1412" s="12"/>
      <c r="C1412" s="42" t="str">
        <f>B39</f>
        <v>Facility 36</v>
      </c>
      <c r="D1412" s="43"/>
      <c r="E1412" s="22"/>
      <c r="F1412" s="22"/>
    </row>
    <row r="1414" spans="1:8" ht="18.2" x14ac:dyDescent="0.35">
      <c r="A1414" s="8" t="s">
        <v>21</v>
      </c>
      <c r="B1414" s="8"/>
      <c r="D1414" s="127">
        <f>StartYear</f>
        <v>2016</v>
      </c>
      <c r="E1414" s="2">
        <f>D1414+1</f>
        <v>2017</v>
      </c>
      <c r="F1414" s="2">
        <f>E1414+1</f>
        <v>2018</v>
      </c>
      <c r="G1414" s="2">
        <f>F1414+1</f>
        <v>2019</v>
      </c>
      <c r="H1414" s="2">
        <f>G1414+1</f>
        <v>2020</v>
      </c>
    </row>
    <row r="1415" spans="1:8" x14ac:dyDescent="0.3">
      <c r="B1415" s="64" t="str">
        <f>"Total MWh Produced / Purchased from " &amp; C1412</f>
        <v>Total MWh Produced / Purchased from Facility 36</v>
      </c>
      <c r="C1415" s="59"/>
      <c r="D1415" s="3"/>
      <c r="E1415" s="3"/>
      <c r="F1415" s="3"/>
      <c r="G1415" s="3"/>
      <c r="H1415" s="4"/>
    </row>
    <row r="1416" spans="1:8" x14ac:dyDescent="0.3">
      <c r="B1416" s="64" t="s">
        <v>25</v>
      </c>
      <c r="C1416" s="59"/>
      <c r="D1416" s="141"/>
      <c r="E1416" s="141"/>
      <c r="F1416" s="141"/>
      <c r="G1416" s="141"/>
      <c r="H1416" s="142"/>
    </row>
    <row r="1417" spans="1:8" x14ac:dyDescent="0.3">
      <c r="B1417" s="64" t="s">
        <v>20</v>
      </c>
      <c r="C1417" s="59"/>
      <c r="D1417" s="47"/>
      <c r="E1417" s="47"/>
      <c r="F1417" s="47"/>
      <c r="G1417" s="47"/>
      <c r="H1417" s="48"/>
    </row>
    <row r="1418" spans="1:8" x14ac:dyDescent="0.3">
      <c r="B1418" s="61" t="s">
        <v>22</v>
      </c>
      <c r="C1418" s="62"/>
      <c r="D1418" s="140">
        <f xml:space="preserve"> D1415 * D1416 * D1417</f>
        <v>0</v>
      </c>
      <c r="E1418" s="140">
        <f xml:space="preserve"> E1415 * E1416 * E1417</f>
        <v>0</v>
      </c>
      <c r="F1418" s="140">
        <f t="shared" ref="F1418:H1418" si="113" xml:space="preserve"> ROUNDDOWN(F1415 * F1416 * F1417,0)</f>
        <v>0</v>
      </c>
      <c r="G1418" s="140">
        <f t="shared" si="113"/>
        <v>0</v>
      </c>
      <c r="H1418" s="140">
        <f t="shared" si="113"/>
        <v>0</v>
      </c>
    </row>
    <row r="1419" spans="1:8" x14ac:dyDescent="0.3">
      <c r="B1419" s="22"/>
      <c r="C1419" s="32"/>
      <c r="D1419" s="39"/>
      <c r="E1419" s="39"/>
      <c r="F1419" s="39"/>
      <c r="G1419" s="176"/>
      <c r="H1419" s="39"/>
    </row>
    <row r="1420" spans="1:8" ht="18.2" x14ac:dyDescent="0.35">
      <c r="A1420" s="44" t="s">
        <v>119</v>
      </c>
      <c r="C1420" s="32"/>
      <c r="D1420" s="2">
        <f>StartYear</f>
        <v>2016</v>
      </c>
      <c r="E1420" s="2">
        <f>D1420+1</f>
        <v>2017</v>
      </c>
      <c r="F1420" s="2">
        <f>E1420+1</f>
        <v>2018</v>
      </c>
      <c r="G1420" s="2">
        <f>F1420+1</f>
        <v>2019</v>
      </c>
      <c r="H1420" s="2">
        <f>G1420+1</f>
        <v>2020</v>
      </c>
    </row>
    <row r="1421" spans="1:8" x14ac:dyDescent="0.3">
      <c r="B1421" s="64" t="s">
        <v>10</v>
      </c>
      <c r="C1421" s="59"/>
      <c r="D1421" s="10">
        <f>IF( $E652 = "Eligible", D1418 * 'Facility Detail'!$B$1614, 0 )</f>
        <v>0</v>
      </c>
      <c r="E1421" s="118">
        <f>IF( $E652 = "Eligible", E1418 * 'Facility Detail'!$B$1614, 0 )</f>
        <v>0</v>
      </c>
      <c r="F1421" s="118">
        <f>IF( $E999 = "Eligible", F1418 * 'Facility Detail'!$B$1614, 0 )</f>
        <v>0</v>
      </c>
      <c r="G1421" s="118">
        <f>IF( $E999 = "Eligible", G1418 * 'Facility Detail'!$B$1614, 0 )</f>
        <v>0</v>
      </c>
      <c r="H1421" s="11">
        <f>IF( $E999 = "Eligible", H1418 * 'Facility Detail'!$B$1614, 0 )</f>
        <v>0</v>
      </c>
    </row>
    <row r="1422" spans="1:8" x14ac:dyDescent="0.3">
      <c r="B1422" s="64" t="s">
        <v>6</v>
      </c>
      <c r="C1422" s="59"/>
      <c r="D1422" s="51">
        <f>IF( $F652 = "Eligible", D1418, 0 )</f>
        <v>0</v>
      </c>
      <c r="E1422" s="119">
        <f>IF( $F652 = "Eligible", E1418, 0 )</f>
        <v>0</v>
      </c>
      <c r="F1422" s="119">
        <f>IF( $F999 = "Eligible", F1418, 0 )</f>
        <v>0</v>
      </c>
      <c r="G1422" s="119">
        <f>IF( $F999 = "Eligible", G1418, 0 )</f>
        <v>0</v>
      </c>
      <c r="H1422" s="52">
        <f>IF( $F999 = "Eligible", H1418, 0 )</f>
        <v>0</v>
      </c>
    </row>
    <row r="1423" spans="1:8" x14ac:dyDescent="0.3">
      <c r="B1423" s="63" t="s">
        <v>121</v>
      </c>
      <c r="C1423" s="62"/>
      <c r="D1423" s="40">
        <f>SUM(D1421:D1422)</f>
        <v>0</v>
      </c>
      <c r="E1423" s="40">
        <f>SUM(E1421:E1422)</f>
        <v>0</v>
      </c>
      <c r="F1423" s="40">
        <f>SUM(F1421:F1422)</f>
        <v>0</v>
      </c>
      <c r="G1423" s="40">
        <f>SUM(G1421:G1422)</f>
        <v>0</v>
      </c>
      <c r="H1423" s="40">
        <f>SUM(H1421:H1422)</f>
        <v>0</v>
      </c>
    </row>
    <row r="1424" spans="1:8" x14ac:dyDescent="0.3">
      <c r="B1424" s="32"/>
      <c r="C1424" s="32"/>
      <c r="D1424" s="33"/>
      <c r="E1424" s="33"/>
      <c r="F1424" s="33"/>
      <c r="G1424" s="178"/>
      <c r="H1424" s="33"/>
    </row>
    <row r="1425" spans="1:8" ht="18.2" x14ac:dyDescent="0.35">
      <c r="A1425" s="41" t="s">
        <v>30</v>
      </c>
      <c r="C1425" s="32"/>
      <c r="D1425" s="2">
        <f>StartYear</f>
        <v>2016</v>
      </c>
      <c r="E1425" s="2">
        <f>D1425+1</f>
        <v>2017</v>
      </c>
      <c r="F1425" s="2">
        <f>E1425+1</f>
        <v>2018</v>
      </c>
      <c r="G1425" s="2">
        <f>F1425+1</f>
        <v>2019</v>
      </c>
      <c r="H1425" s="2">
        <f>G1425+1</f>
        <v>2020</v>
      </c>
    </row>
    <row r="1426" spans="1:8" x14ac:dyDescent="0.3">
      <c r="B1426" s="64" t="s">
        <v>47</v>
      </c>
      <c r="C1426" s="59"/>
      <c r="D1426" s="3"/>
      <c r="E1426" s="3"/>
      <c r="F1426" s="3"/>
      <c r="G1426" s="3"/>
      <c r="H1426" s="4"/>
    </row>
    <row r="1427" spans="1:8" x14ac:dyDescent="0.3">
      <c r="B1427" s="65" t="s">
        <v>23</v>
      </c>
      <c r="C1427" s="66"/>
      <c r="D1427" s="146"/>
      <c r="E1427" s="146"/>
      <c r="F1427" s="146"/>
      <c r="G1427" s="146"/>
      <c r="H1427" s="147"/>
    </row>
    <row r="1428" spans="1:8" x14ac:dyDescent="0.3">
      <c r="B1428" s="75" t="s">
        <v>89</v>
      </c>
      <c r="C1428" s="74"/>
      <c r="D1428" s="213"/>
      <c r="E1428" s="148"/>
      <c r="F1428" s="148"/>
      <c r="G1428" s="148"/>
      <c r="H1428" s="149"/>
    </row>
    <row r="1429" spans="1:8" x14ac:dyDescent="0.3">
      <c r="B1429" s="35" t="s">
        <v>90</v>
      </c>
      <c r="D1429" s="6">
        <f>SUM(D1426:D1428)</f>
        <v>0</v>
      </c>
      <c r="E1429" s="6">
        <f>SUM(E1426:E1428)</f>
        <v>0</v>
      </c>
      <c r="F1429" s="6">
        <f>SUM(F1426:F1428)</f>
        <v>0</v>
      </c>
      <c r="G1429" s="6">
        <f t="shared" ref="G1429" si="114">SUM(G1426:G1428)</f>
        <v>0</v>
      </c>
      <c r="H1429" s="6">
        <f t="shared" ref="H1429" si="115">SUM(H1426:H1428)</f>
        <v>0</v>
      </c>
    </row>
    <row r="1430" spans="1:8" x14ac:dyDescent="0.3">
      <c r="B1430" s="5"/>
      <c r="D1430" s="6"/>
      <c r="E1430" s="6"/>
      <c r="F1430" s="6"/>
      <c r="G1430" s="176"/>
      <c r="H1430" s="6"/>
    </row>
    <row r="1431" spans="1:8" ht="18.2" x14ac:dyDescent="0.35">
      <c r="A1431" s="8" t="s">
        <v>100</v>
      </c>
      <c r="D1431" s="2">
        <f>StartYear</f>
        <v>2016</v>
      </c>
      <c r="E1431" s="2">
        <f>D1431+1</f>
        <v>2017</v>
      </c>
      <c r="F1431" s="2">
        <f>E1431+1</f>
        <v>2018</v>
      </c>
      <c r="G1431" s="2">
        <f>F1431+1</f>
        <v>2019</v>
      </c>
      <c r="H1431" s="2">
        <f>G1431+1</f>
        <v>2020</v>
      </c>
    </row>
    <row r="1432" spans="1:8" x14ac:dyDescent="0.3">
      <c r="B1432" s="64" t="str">
        <f>(StartYear-1) &amp; " Surplus Applied to " &amp; StartYear</f>
        <v>2015 Surplus Applied to 2016</v>
      </c>
      <c r="C1432" s="32"/>
      <c r="D1432" s="205">
        <v>0</v>
      </c>
      <c r="E1432" s="206"/>
      <c r="F1432" s="206"/>
      <c r="G1432" s="206"/>
      <c r="H1432" s="207"/>
    </row>
    <row r="1433" spans="1:8" x14ac:dyDescent="0.3">
      <c r="B1433" s="64" t="str">
        <f>StartYear &amp; " Surplus Applied to " &amp; (StartYear-1)</f>
        <v>2016 Surplus Applied to 2015</v>
      </c>
      <c r="C1433" s="32"/>
      <c r="D1433" s="208">
        <v>0</v>
      </c>
      <c r="E1433" s="122"/>
      <c r="F1433" s="122"/>
      <c r="G1433" s="122"/>
      <c r="H1433" s="126"/>
    </row>
    <row r="1434" spans="1:8" x14ac:dyDescent="0.3">
      <c r="B1434" s="64" t="str">
        <f>( StartYear) &amp; " Surplus Applied to " &amp; ( StartYear + 1 )</f>
        <v>2016 Surplus Applied to 2017</v>
      </c>
      <c r="C1434" s="32"/>
      <c r="D1434" s="203">
        <f>D1418+D1423-D1429</f>
        <v>0</v>
      </c>
      <c r="E1434" s="204">
        <f>D1434</f>
        <v>0</v>
      </c>
      <c r="F1434" s="199"/>
      <c r="G1434" s="199"/>
      <c r="H1434" s="200"/>
    </row>
    <row r="1435" spans="1:8" x14ac:dyDescent="0.3">
      <c r="B1435" s="64" t="str">
        <f xml:space="preserve"> ( StartYear + 1 ) &amp; " Surplus Applied to " &amp; ( StartYear )</f>
        <v>2017 Surplus Applied to 2016</v>
      </c>
      <c r="C1435" s="59"/>
      <c r="D1435" s="143">
        <v>0</v>
      </c>
      <c r="E1435" s="9">
        <v>0</v>
      </c>
      <c r="F1435" s="122"/>
      <c r="G1435" s="122"/>
      <c r="H1435" s="126"/>
    </row>
    <row r="1436" spans="1:8" x14ac:dyDescent="0.3">
      <c r="B1436" s="128" t="str">
        <f xml:space="preserve"> ( StartYear + 1 ) &amp; " Surplus Applied to " &amp; ( StartYear + 2 )</f>
        <v>2017 Surplus Applied to 2018</v>
      </c>
      <c r="C1436" s="59"/>
      <c r="D1436" s="123"/>
      <c r="E1436" s="9">
        <v>0</v>
      </c>
      <c r="F1436" s="58">
        <f>E1436</f>
        <v>0</v>
      </c>
      <c r="G1436" s="122"/>
      <c r="H1436" s="126"/>
    </row>
    <row r="1437" spans="1:8" x14ac:dyDescent="0.3">
      <c r="B1437" s="128" t="str">
        <f xml:space="preserve"> ( StartYear + 2 ) &amp; " Surplus Applied to " &amp; ( StartYear + 1 )</f>
        <v>2018 Surplus Applied to 2017</v>
      </c>
      <c r="C1437" s="59"/>
      <c r="D1437" s="123"/>
      <c r="E1437" s="58">
        <v>0</v>
      </c>
      <c r="F1437" s="9">
        <v>0</v>
      </c>
      <c r="G1437" s="122"/>
      <c r="H1437" s="126"/>
    </row>
    <row r="1438" spans="1:8" x14ac:dyDescent="0.3">
      <c r="B1438" s="174" t="str">
        <f xml:space="preserve"> ( StartYear + 2 ) &amp; " Surplus Applied to " &amp; ( StartYear + 3 )</f>
        <v>2018 Surplus Applied to 2019</v>
      </c>
      <c r="C1438" s="32"/>
      <c r="D1438" s="123"/>
      <c r="E1438" s="122"/>
      <c r="F1438" s="9">
        <v>0</v>
      </c>
      <c r="G1438" s="58">
        <f>F1438</f>
        <v>0</v>
      </c>
      <c r="H1438" s="126"/>
    </row>
    <row r="1439" spans="1:8" x14ac:dyDescent="0.3">
      <c r="B1439" s="174" t="str">
        <f xml:space="preserve"> ( StartYear + 3 ) &amp; " Surplus Applied to " &amp; ( StartYear + 2 )</f>
        <v>2019 Surplus Applied to 2018</v>
      </c>
      <c r="C1439" s="32"/>
      <c r="D1439" s="123"/>
      <c r="E1439" s="122"/>
      <c r="F1439" s="58">
        <v>0</v>
      </c>
      <c r="G1439" s="9">
        <v>0</v>
      </c>
      <c r="H1439" s="126"/>
    </row>
    <row r="1440" spans="1:8" x14ac:dyDescent="0.3">
      <c r="B1440" s="174" t="str">
        <f xml:space="preserve"> ( StartYear + 3 ) &amp; " Surplus Applied to " &amp; ( StartYear + 4 )</f>
        <v>2019 Surplus Applied to 2020</v>
      </c>
      <c r="C1440" s="32"/>
      <c r="D1440" s="123"/>
      <c r="E1440" s="122"/>
      <c r="F1440" s="122"/>
      <c r="G1440" s="9">
        <f>G1418+G1423-G1429</f>
        <v>0</v>
      </c>
      <c r="H1440" s="53">
        <f>G1440</f>
        <v>0</v>
      </c>
    </row>
    <row r="1441" spans="1:8" x14ac:dyDescent="0.3">
      <c r="B1441" s="174" t="str">
        <f xml:space="preserve"> ( StartYear + 4 ) &amp; " Surplus Applied to " &amp; ( StartYear + 3 )</f>
        <v>2020 Surplus Applied to 2019</v>
      </c>
      <c r="C1441" s="32"/>
      <c r="D1441" s="124"/>
      <c r="E1441" s="125"/>
      <c r="F1441" s="125"/>
      <c r="G1441" s="54">
        <v>0</v>
      </c>
      <c r="H1441" s="46">
        <v>0</v>
      </c>
    </row>
    <row r="1442" spans="1:8" x14ac:dyDescent="0.3">
      <c r="B1442" s="35" t="s">
        <v>17</v>
      </c>
      <c r="D1442" s="6">
        <f>D1432-D1433+D1435-D1434</f>
        <v>0</v>
      </c>
      <c r="E1442" s="6">
        <f>E1434+E1437-E1435-E1436</f>
        <v>0</v>
      </c>
      <c r="F1442" s="6">
        <f>F1436+F1439-F1437-F1438</f>
        <v>0</v>
      </c>
      <c r="G1442" s="6">
        <f>G1438+G1441-G1439-G1440</f>
        <v>0</v>
      </c>
      <c r="H1442" s="6">
        <f>H1440 - H1441</f>
        <v>0</v>
      </c>
    </row>
    <row r="1443" spans="1:8" x14ac:dyDescent="0.3">
      <c r="B1443" s="5"/>
      <c r="D1443" s="6"/>
      <c r="E1443" s="6"/>
      <c r="F1443" s="6"/>
      <c r="G1443" s="6"/>
      <c r="H1443" s="6"/>
    </row>
    <row r="1444" spans="1:8" x14ac:dyDescent="0.3">
      <c r="B1444" s="61" t="s">
        <v>12</v>
      </c>
      <c r="C1444" s="59"/>
      <c r="D1444" s="82"/>
      <c r="E1444" s="120"/>
      <c r="F1444" s="120"/>
      <c r="G1444" s="120"/>
      <c r="H1444" s="83"/>
    </row>
    <row r="1445" spans="1:8" x14ac:dyDescent="0.3">
      <c r="B1445" s="5"/>
      <c r="D1445" s="6"/>
      <c r="E1445" s="6"/>
      <c r="F1445" s="6"/>
      <c r="G1445" s="6"/>
      <c r="H1445" s="6"/>
    </row>
    <row r="1446" spans="1:8" ht="18.2" x14ac:dyDescent="0.35">
      <c r="A1446" s="41" t="s">
        <v>26</v>
      </c>
      <c r="C1446" s="59"/>
      <c r="D1446" s="121">
        <f xml:space="preserve"> D1418 + D1423 - D1429 + D1442 + D1444</f>
        <v>0</v>
      </c>
      <c r="E1446" s="121">
        <f xml:space="preserve"> E1418 + E1423 - E1429 + E1442 + E1444</f>
        <v>0</v>
      </c>
      <c r="F1446" s="121">
        <f t="shared" ref="F1446:H1446" si="116" xml:space="preserve"> F1418 + F1423 - F1429 + F1442 + F1444</f>
        <v>0</v>
      </c>
      <c r="G1446" s="121">
        <f t="shared" si="116"/>
        <v>0</v>
      </c>
      <c r="H1446" s="192">
        <f t="shared" si="116"/>
        <v>0</v>
      </c>
    </row>
    <row r="1447" spans="1:8" x14ac:dyDescent="0.3">
      <c r="B1447" s="5"/>
      <c r="C1447" s="5" t="s">
        <v>169</v>
      </c>
      <c r="D1447" s="6"/>
      <c r="E1447" s="6"/>
      <c r="F1447" s="31"/>
      <c r="G1447" s="31"/>
      <c r="H1447" s="31"/>
    </row>
    <row r="1448" spans="1:8" ht="15.65" thickBot="1" x14ac:dyDescent="0.35"/>
    <row r="1449" spans="1:8" x14ac:dyDescent="0.3">
      <c r="A1449" s="7"/>
      <c r="B1449" s="7"/>
      <c r="C1449" s="7"/>
      <c r="D1449" s="179"/>
      <c r="E1449" s="7"/>
      <c r="F1449" s="7"/>
      <c r="G1449" s="7"/>
      <c r="H1449" s="7"/>
    </row>
    <row r="1450" spans="1:8" x14ac:dyDescent="0.3">
      <c r="B1450" s="32"/>
      <c r="C1450" s="32"/>
      <c r="D1450" s="22"/>
      <c r="E1450" s="32"/>
      <c r="F1450" s="32"/>
      <c r="G1450" s="32"/>
      <c r="H1450" s="32"/>
    </row>
    <row r="1451" spans="1:8" ht="21.3" x14ac:dyDescent="0.4">
      <c r="A1451" s="12" t="s">
        <v>4</v>
      </c>
      <c r="B1451" s="12"/>
      <c r="C1451" s="42" t="str">
        <f>B40</f>
        <v>Facility 37</v>
      </c>
      <c r="D1451" s="43"/>
      <c r="E1451" s="22"/>
      <c r="F1451" s="22"/>
    </row>
    <row r="1453" spans="1:8" ht="18.2" x14ac:dyDescent="0.35">
      <c r="A1453" s="8" t="s">
        <v>21</v>
      </c>
      <c r="B1453" s="8"/>
      <c r="D1453" s="127">
        <f>StartYear</f>
        <v>2016</v>
      </c>
      <c r="E1453" s="2">
        <f>D1453+1</f>
        <v>2017</v>
      </c>
      <c r="F1453" s="2">
        <f>E1453+1</f>
        <v>2018</v>
      </c>
      <c r="G1453" s="2">
        <f>F1453+1</f>
        <v>2019</v>
      </c>
      <c r="H1453" s="2">
        <f>G1453+1</f>
        <v>2020</v>
      </c>
    </row>
    <row r="1454" spans="1:8" x14ac:dyDescent="0.3">
      <c r="B1454" s="64" t="str">
        <f>"Total MWh Produced / Purchased from " &amp; C1451</f>
        <v>Total MWh Produced / Purchased from Facility 37</v>
      </c>
      <c r="C1454" s="59"/>
      <c r="D1454" s="3"/>
      <c r="E1454" s="3"/>
      <c r="F1454" s="3"/>
      <c r="G1454" s="3"/>
      <c r="H1454" s="4"/>
    </row>
    <row r="1455" spans="1:8" x14ac:dyDescent="0.3">
      <c r="B1455" s="64" t="s">
        <v>25</v>
      </c>
      <c r="C1455" s="59"/>
      <c r="D1455" s="141"/>
      <c r="E1455" s="141"/>
      <c r="F1455" s="141"/>
      <c r="G1455" s="141"/>
      <c r="H1455" s="142"/>
    </row>
    <row r="1456" spans="1:8" x14ac:dyDescent="0.3">
      <c r="B1456" s="64" t="s">
        <v>20</v>
      </c>
      <c r="C1456" s="59"/>
      <c r="D1456" s="47"/>
      <c r="E1456" s="47"/>
      <c r="F1456" s="47"/>
      <c r="G1456" s="47"/>
      <c r="H1456" s="48"/>
    </row>
    <row r="1457" spans="1:8" x14ac:dyDescent="0.3">
      <c r="B1457" s="61" t="s">
        <v>22</v>
      </c>
      <c r="C1457" s="62"/>
      <c r="D1457" s="140">
        <f xml:space="preserve"> D1454 * D1455 * D1456</f>
        <v>0</v>
      </c>
      <c r="E1457" s="140">
        <f xml:space="preserve"> E1454 * E1455 * E1456</f>
        <v>0</v>
      </c>
      <c r="F1457" s="140">
        <f t="shared" ref="F1457:H1457" si="117" xml:space="preserve"> ROUNDDOWN(F1454 * F1455 * F1456,0)</f>
        <v>0</v>
      </c>
      <c r="G1457" s="140">
        <f t="shared" si="117"/>
        <v>0</v>
      </c>
      <c r="H1457" s="140">
        <f t="shared" si="117"/>
        <v>0</v>
      </c>
    </row>
    <row r="1458" spans="1:8" x14ac:dyDescent="0.3">
      <c r="B1458" s="22"/>
      <c r="C1458" s="32"/>
      <c r="D1458" s="39"/>
      <c r="E1458" s="39"/>
      <c r="F1458" s="39"/>
      <c r="G1458" s="176"/>
      <c r="H1458" s="39"/>
    </row>
    <row r="1459" spans="1:8" ht="18.2" x14ac:dyDescent="0.35">
      <c r="A1459" s="44" t="s">
        <v>119</v>
      </c>
      <c r="C1459" s="32"/>
      <c r="D1459" s="2">
        <f>StartYear</f>
        <v>2016</v>
      </c>
      <c r="E1459" s="2">
        <f>D1459+1</f>
        <v>2017</v>
      </c>
      <c r="F1459" s="2">
        <f>E1459+1</f>
        <v>2018</v>
      </c>
      <c r="G1459" s="2">
        <f>F1459+1</f>
        <v>2019</v>
      </c>
      <c r="H1459" s="2">
        <f>G1459+1</f>
        <v>2020</v>
      </c>
    </row>
    <row r="1460" spans="1:8" x14ac:dyDescent="0.3">
      <c r="B1460" s="64" t="s">
        <v>10</v>
      </c>
      <c r="C1460" s="59"/>
      <c r="D1460" s="10">
        <f>IF( $E689 = "Eligible", D1457 * 'Facility Detail'!$B$1614, 0 )</f>
        <v>0</v>
      </c>
      <c r="E1460" s="118">
        <f>IF( $E689 = "Eligible", E1457 * 'Facility Detail'!$B$1614, 0 )</f>
        <v>0</v>
      </c>
      <c r="F1460" s="118">
        <f>IF( $E1038 = "Eligible", F1457 * 'Facility Detail'!$B$1614, 0 )</f>
        <v>0</v>
      </c>
      <c r="G1460" s="118">
        <f>IF( $E1038 = "Eligible", G1457 * 'Facility Detail'!$B$1614, 0 )</f>
        <v>0</v>
      </c>
      <c r="H1460" s="11">
        <f>IF( $E1038 = "Eligible", H1457 * 'Facility Detail'!$B$1614, 0 )</f>
        <v>0</v>
      </c>
    </row>
    <row r="1461" spans="1:8" x14ac:dyDescent="0.3">
      <c r="B1461" s="64" t="s">
        <v>6</v>
      </c>
      <c r="C1461" s="59"/>
      <c r="D1461" s="51">
        <f>IF( $F689 = "Eligible", D1457, 0 )</f>
        <v>0</v>
      </c>
      <c r="E1461" s="119">
        <f>IF( $F689 = "Eligible", E1457, 0 )</f>
        <v>0</v>
      </c>
      <c r="F1461" s="119">
        <f>IF( $F1038 = "Eligible", F1457, 0 )</f>
        <v>0</v>
      </c>
      <c r="G1461" s="119">
        <f>IF( $F1038 = "Eligible", G1457, 0 )</f>
        <v>0</v>
      </c>
      <c r="H1461" s="52">
        <f>IF( $F1038 = "Eligible", H1457, 0 )</f>
        <v>0</v>
      </c>
    </row>
    <row r="1462" spans="1:8" x14ac:dyDescent="0.3">
      <c r="B1462" s="63" t="s">
        <v>121</v>
      </c>
      <c r="C1462" s="62"/>
      <c r="D1462" s="40">
        <f>SUM(D1460:D1461)</f>
        <v>0</v>
      </c>
      <c r="E1462" s="40">
        <f>SUM(E1460:E1461)</f>
        <v>0</v>
      </c>
      <c r="F1462" s="40">
        <f>SUM(F1460:F1461)</f>
        <v>0</v>
      </c>
      <c r="G1462" s="40">
        <f>SUM(G1460:G1461)</f>
        <v>0</v>
      </c>
      <c r="H1462" s="40">
        <f>SUM(H1460:H1461)</f>
        <v>0</v>
      </c>
    </row>
    <row r="1463" spans="1:8" x14ac:dyDescent="0.3">
      <c r="B1463" s="32"/>
      <c r="C1463" s="32"/>
      <c r="D1463" s="33"/>
      <c r="E1463" s="33"/>
      <c r="F1463" s="33"/>
      <c r="G1463" s="178"/>
      <c r="H1463" s="33"/>
    </row>
    <row r="1464" spans="1:8" ht="18.2" x14ac:dyDescent="0.35">
      <c r="A1464" s="41" t="s">
        <v>30</v>
      </c>
      <c r="C1464" s="32"/>
      <c r="D1464" s="2">
        <f>StartYear</f>
        <v>2016</v>
      </c>
      <c r="E1464" s="2">
        <f>D1464+1</f>
        <v>2017</v>
      </c>
      <c r="F1464" s="2">
        <f>E1464+1</f>
        <v>2018</v>
      </c>
      <c r="G1464" s="2">
        <f>F1464+1</f>
        <v>2019</v>
      </c>
      <c r="H1464" s="2">
        <f>G1464+1</f>
        <v>2020</v>
      </c>
    </row>
    <row r="1465" spans="1:8" x14ac:dyDescent="0.3">
      <c r="B1465" s="64" t="s">
        <v>47</v>
      </c>
      <c r="C1465" s="59"/>
      <c r="D1465" s="3"/>
      <c r="E1465" s="3"/>
      <c r="F1465" s="3"/>
      <c r="G1465" s="3"/>
      <c r="H1465" s="4"/>
    </row>
    <row r="1466" spans="1:8" x14ac:dyDescent="0.3">
      <c r="B1466" s="65" t="s">
        <v>23</v>
      </c>
      <c r="C1466" s="66"/>
      <c r="D1466" s="146"/>
      <c r="E1466" s="146"/>
      <c r="F1466" s="146"/>
      <c r="G1466" s="146"/>
      <c r="H1466" s="147"/>
    </row>
    <row r="1467" spans="1:8" x14ac:dyDescent="0.3">
      <c r="B1467" s="75" t="s">
        <v>89</v>
      </c>
      <c r="C1467" s="74"/>
      <c r="D1467" s="213"/>
      <c r="E1467" s="148"/>
      <c r="F1467" s="148"/>
      <c r="G1467" s="148"/>
      <c r="H1467" s="149"/>
    </row>
    <row r="1468" spans="1:8" x14ac:dyDescent="0.3">
      <c r="B1468" s="35" t="s">
        <v>90</v>
      </c>
      <c r="D1468" s="6">
        <f>SUM(D1465:D1467)</f>
        <v>0</v>
      </c>
      <c r="E1468" s="6">
        <f>SUM(E1465:E1467)</f>
        <v>0</v>
      </c>
      <c r="F1468" s="6">
        <f>SUM(F1465:F1467)</f>
        <v>0</v>
      </c>
      <c r="G1468" s="6">
        <f t="shared" ref="G1468" si="118">SUM(G1465:G1467)</f>
        <v>0</v>
      </c>
      <c r="H1468" s="6">
        <f t="shared" ref="H1468" si="119">SUM(H1465:H1467)</f>
        <v>0</v>
      </c>
    </row>
    <row r="1469" spans="1:8" x14ac:dyDescent="0.3">
      <c r="B1469" s="5"/>
      <c r="D1469" s="6"/>
      <c r="E1469" s="6"/>
      <c r="F1469" s="6"/>
      <c r="G1469" s="176"/>
      <c r="H1469" s="6"/>
    </row>
    <row r="1470" spans="1:8" ht="18.2" x14ac:dyDescent="0.35">
      <c r="A1470" s="8" t="s">
        <v>100</v>
      </c>
      <c r="D1470" s="2">
        <f>StartYear</f>
        <v>2016</v>
      </c>
      <c r="E1470" s="2">
        <f>D1470+1</f>
        <v>2017</v>
      </c>
      <c r="F1470" s="2">
        <f>E1470+1</f>
        <v>2018</v>
      </c>
      <c r="G1470" s="2">
        <f>F1470+1</f>
        <v>2019</v>
      </c>
      <c r="H1470" s="2">
        <f>G1470+1</f>
        <v>2020</v>
      </c>
    </row>
    <row r="1471" spans="1:8" x14ac:dyDescent="0.3">
      <c r="B1471" s="64" t="str">
        <f>(StartYear-1) &amp; " Surplus Applied to " &amp; StartYear</f>
        <v>2015 Surplus Applied to 2016</v>
      </c>
      <c r="C1471" s="32"/>
      <c r="D1471" s="205">
        <v>0</v>
      </c>
      <c r="E1471" s="206"/>
      <c r="F1471" s="206"/>
      <c r="G1471" s="206"/>
      <c r="H1471" s="207"/>
    </row>
    <row r="1472" spans="1:8" x14ac:dyDescent="0.3">
      <c r="B1472" s="64" t="str">
        <f>StartYear &amp; " Surplus Applied to " &amp; (StartYear-1)</f>
        <v>2016 Surplus Applied to 2015</v>
      </c>
      <c r="C1472" s="32"/>
      <c r="D1472" s="208">
        <v>0</v>
      </c>
      <c r="E1472" s="122"/>
      <c r="F1472" s="122"/>
      <c r="G1472" s="122"/>
      <c r="H1472" s="126"/>
    </row>
    <row r="1473" spans="1:8" x14ac:dyDescent="0.3">
      <c r="B1473" s="64" t="str">
        <f>( StartYear) &amp; " Surplus Applied to " &amp; ( StartYear + 1 )</f>
        <v>2016 Surplus Applied to 2017</v>
      </c>
      <c r="C1473" s="32"/>
      <c r="D1473" s="203">
        <f>D1457+D1462-D1468</f>
        <v>0</v>
      </c>
      <c r="E1473" s="204">
        <f>D1473</f>
        <v>0</v>
      </c>
      <c r="F1473" s="199"/>
      <c r="G1473" s="199"/>
      <c r="H1473" s="200"/>
    </row>
    <row r="1474" spans="1:8" x14ac:dyDescent="0.3">
      <c r="B1474" s="64" t="str">
        <f xml:space="preserve"> ( StartYear + 1 ) &amp; " Surplus Applied to " &amp; ( StartYear )</f>
        <v>2017 Surplus Applied to 2016</v>
      </c>
      <c r="C1474" s="59"/>
      <c r="D1474" s="143">
        <v>0</v>
      </c>
      <c r="E1474" s="9">
        <v>0</v>
      </c>
      <c r="F1474" s="122"/>
      <c r="G1474" s="122"/>
      <c r="H1474" s="126"/>
    </row>
    <row r="1475" spans="1:8" x14ac:dyDescent="0.3">
      <c r="B1475" s="128" t="str">
        <f xml:space="preserve"> ( StartYear + 1 ) &amp; " Surplus Applied to " &amp; ( StartYear + 2 )</f>
        <v>2017 Surplus Applied to 2018</v>
      </c>
      <c r="C1475" s="59"/>
      <c r="D1475" s="123"/>
      <c r="E1475" s="9">
        <v>0</v>
      </c>
      <c r="F1475" s="58">
        <f>E1475</f>
        <v>0</v>
      </c>
      <c r="G1475" s="122"/>
      <c r="H1475" s="126"/>
    </row>
    <row r="1476" spans="1:8" x14ac:dyDescent="0.3">
      <c r="B1476" s="128" t="str">
        <f xml:space="preserve"> ( StartYear + 2 ) &amp; " Surplus Applied to " &amp; ( StartYear + 1 )</f>
        <v>2018 Surplus Applied to 2017</v>
      </c>
      <c r="C1476" s="59"/>
      <c r="D1476" s="123"/>
      <c r="E1476" s="58">
        <v>0</v>
      </c>
      <c r="F1476" s="9">
        <v>0</v>
      </c>
      <c r="G1476" s="122"/>
      <c r="H1476" s="126"/>
    </row>
    <row r="1477" spans="1:8" x14ac:dyDescent="0.3">
      <c r="B1477" s="174" t="str">
        <f xml:space="preserve"> ( StartYear + 2 ) &amp; " Surplus Applied to " &amp; ( StartYear + 3 )</f>
        <v>2018 Surplus Applied to 2019</v>
      </c>
      <c r="C1477" s="32"/>
      <c r="D1477" s="123"/>
      <c r="E1477" s="122"/>
      <c r="F1477" s="9">
        <v>0</v>
      </c>
      <c r="G1477" s="58">
        <f>F1477</f>
        <v>0</v>
      </c>
      <c r="H1477" s="126"/>
    </row>
    <row r="1478" spans="1:8" x14ac:dyDescent="0.3">
      <c r="B1478" s="174" t="str">
        <f xml:space="preserve"> ( StartYear + 3 ) &amp; " Surplus Applied to " &amp; ( StartYear + 2 )</f>
        <v>2019 Surplus Applied to 2018</v>
      </c>
      <c r="C1478" s="32"/>
      <c r="D1478" s="123"/>
      <c r="E1478" s="122"/>
      <c r="F1478" s="58">
        <v>0</v>
      </c>
      <c r="G1478" s="9">
        <v>0</v>
      </c>
      <c r="H1478" s="126"/>
    </row>
    <row r="1479" spans="1:8" x14ac:dyDescent="0.3">
      <c r="B1479" s="174" t="str">
        <f xml:space="preserve"> ( StartYear + 3 ) &amp; " Surplus Applied to " &amp; ( StartYear + 4 )</f>
        <v>2019 Surplus Applied to 2020</v>
      </c>
      <c r="C1479" s="32"/>
      <c r="D1479" s="123"/>
      <c r="E1479" s="122"/>
      <c r="F1479" s="122"/>
      <c r="G1479" s="9">
        <f>G1457+G1462-G1468</f>
        <v>0</v>
      </c>
      <c r="H1479" s="53">
        <f>G1479</f>
        <v>0</v>
      </c>
    </row>
    <row r="1480" spans="1:8" x14ac:dyDescent="0.3">
      <c r="B1480" s="174" t="str">
        <f xml:space="preserve"> ( StartYear + 4 ) &amp; " Surplus Applied to " &amp; ( StartYear + 3 )</f>
        <v>2020 Surplus Applied to 2019</v>
      </c>
      <c r="C1480" s="32"/>
      <c r="D1480" s="124"/>
      <c r="E1480" s="125"/>
      <c r="F1480" s="125"/>
      <c r="G1480" s="54">
        <v>0</v>
      </c>
      <c r="H1480" s="46">
        <v>0</v>
      </c>
    </row>
    <row r="1481" spans="1:8" x14ac:dyDescent="0.3">
      <c r="B1481" s="35" t="s">
        <v>17</v>
      </c>
      <c r="D1481" s="6">
        <f>D1471-D1472+D1474-D1473</f>
        <v>0</v>
      </c>
      <c r="E1481" s="6">
        <f>E1473+E1476-E1474-E1475</f>
        <v>0</v>
      </c>
      <c r="F1481" s="6">
        <f>F1475+F1478-F1476-F1477</f>
        <v>0</v>
      </c>
      <c r="G1481" s="6">
        <f>G1477+G1480-G1478-G1479</f>
        <v>0</v>
      </c>
      <c r="H1481" s="6">
        <f>H1479 - H1480</f>
        <v>0</v>
      </c>
    </row>
    <row r="1482" spans="1:8" x14ac:dyDescent="0.3">
      <c r="B1482" s="5"/>
      <c r="D1482" s="6"/>
      <c r="E1482" s="6"/>
      <c r="F1482" s="6"/>
      <c r="G1482" s="6"/>
      <c r="H1482" s="6"/>
    </row>
    <row r="1483" spans="1:8" x14ac:dyDescent="0.3">
      <c r="B1483" s="61" t="s">
        <v>12</v>
      </c>
      <c r="C1483" s="59"/>
      <c r="D1483" s="82"/>
      <c r="E1483" s="120"/>
      <c r="F1483" s="120"/>
      <c r="G1483" s="120"/>
      <c r="H1483" s="83"/>
    </row>
    <row r="1484" spans="1:8" x14ac:dyDescent="0.3">
      <c r="B1484" s="5"/>
      <c r="D1484" s="6"/>
      <c r="E1484" s="6"/>
      <c r="F1484" s="6"/>
      <c r="G1484" s="6"/>
      <c r="H1484" s="6"/>
    </row>
    <row r="1485" spans="1:8" ht="18.2" x14ac:dyDescent="0.35">
      <c r="A1485" s="41" t="s">
        <v>26</v>
      </c>
      <c r="C1485" s="59"/>
      <c r="D1485" s="121">
        <f xml:space="preserve"> D1457 + D1462 - D1468 + D1481 + D1483</f>
        <v>0</v>
      </c>
      <c r="E1485" s="121">
        <f xml:space="preserve"> E1457 + E1462 - E1468 + E1481 + E1483</f>
        <v>0</v>
      </c>
      <c r="F1485" s="121">
        <f t="shared" ref="F1485:H1485" si="120" xml:space="preserve"> F1457 + F1462 - F1468 + F1481 + F1483</f>
        <v>0</v>
      </c>
      <c r="G1485" s="121">
        <f t="shared" si="120"/>
        <v>0</v>
      </c>
      <c r="H1485" s="192">
        <f t="shared" si="120"/>
        <v>0</v>
      </c>
    </row>
    <row r="1486" spans="1:8" x14ac:dyDescent="0.3">
      <c r="B1486" s="5"/>
      <c r="C1486" s="5" t="s">
        <v>169</v>
      </c>
      <c r="D1486" s="6"/>
      <c r="E1486" s="6"/>
      <c r="F1486" s="31"/>
      <c r="G1486" s="31"/>
      <c r="H1486" s="31"/>
    </row>
    <row r="1487" spans="1:8" ht="15.65" thickBot="1" x14ac:dyDescent="0.35"/>
    <row r="1488" spans="1:8" x14ac:dyDescent="0.3">
      <c r="A1488" s="7"/>
      <c r="B1488" s="7"/>
      <c r="C1488" s="7"/>
      <c r="D1488" s="179"/>
      <c r="E1488" s="7"/>
      <c r="F1488" s="7"/>
      <c r="G1488" s="7"/>
      <c r="H1488" s="7"/>
    </row>
    <row r="1489" spans="1:8" x14ac:dyDescent="0.3">
      <c r="B1489" s="32"/>
      <c r="C1489" s="32"/>
      <c r="D1489" s="22"/>
      <c r="E1489" s="32"/>
      <c r="F1489" s="32"/>
      <c r="G1489" s="32"/>
      <c r="H1489" s="32"/>
    </row>
    <row r="1490" spans="1:8" ht="21.3" x14ac:dyDescent="0.4">
      <c r="A1490" s="12" t="s">
        <v>4</v>
      </c>
      <c r="B1490" s="12"/>
      <c r="C1490" s="42" t="str">
        <f>B41</f>
        <v>Facility 38</v>
      </c>
      <c r="D1490" s="43"/>
      <c r="E1490" s="22"/>
      <c r="F1490" s="22"/>
    </row>
    <row r="1492" spans="1:8" ht="18.2" x14ac:dyDescent="0.35">
      <c r="A1492" s="8" t="s">
        <v>21</v>
      </c>
      <c r="B1492" s="8"/>
      <c r="D1492" s="127">
        <f>StartYear</f>
        <v>2016</v>
      </c>
      <c r="E1492" s="2">
        <f>D1492+1</f>
        <v>2017</v>
      </c>
      <c r="F1492" s="2">
        <f>E1492+1</f>
        <v>2018</v>
      </c>
      <c r="G1492" s="2">
        <f>F1492+1</f>
        <v>2019</v>
      </c>
      <c r="H1492" s="2">
        <f>G1492+1</f>
        <v>2020</v>
      </c>
    </row>
    <row r="1493" spans="1:8" x14ac:dyDescent="0.3">
      <c r="B1493" s="64" t="str">
        <f>"Total MWh Produced / Purchased from " &amp; C1490</f>
        <v>Total MWh Produced / Purchased from Facility 38</v>
      </c>
      <c r="C1493" s="59"/>
      <c r="D1493" s="3"/>
      <c r="E1493" s="3"/>
      <c r="F1493" s="3"/>
      <c r="G1493" s="3"/>
      <c r="H1493" s="4"/>
    </row>
    <row r="1494" spans="1:8" x14ac:dyDescent="0.3">
      <c r="B1494" s="64" t="s">
        <v>25</v>
      </c>
      <c r="C1494" s="59"/>
      <c r="D1494" s="141"/>
      <c r="E1494" s="141"/>
      <c r="F1494" s="141"/>
      <c r="G1494" s="141"/>
      <c r="H1494" s="142"/>
    </row>
    <row r="1495" spans="1:8" x14ac:dyDescent="0.3">
      <c r="B1495" s="64" t="s">
        <v>20</v>
      </c>
      <c r="C1495" s="59"/>
      <c r="D1495" s="47"/>
      <c r="E1495" s="47"/>
      <c r="F1495" s="47"/>
      <c r="G1495" s="47"/>
      <c r="H1495" s="48"/>
    </row>
    <row r="1496" spans="1:8" x14ac:dyDescent="0.3">
      <c r="B1496" s="61" t="s">
        <v>22</v>
      </c>
      <c r="C1496" s="62"/>
      <c r="D1496" s="140">
        <f xml:space="preserve"> D1493 * D1494 * D1495</f>
        <v>0</v>
      </c>
      <c r="E1496" s="140">
        <f xml:space="preserve"> E1493 * E1494 * E1495</f>
        <v>0</v>
      </c>
      <c r="F1496" s="140">
        <f t="shared" ref="F1496:H1496" si="121" xml:space="preserve"> ROUNDDOWN(F1493 * F1494 * F1495,0)</f>
        <v>0</v>
      </c>
      <c r="G1496" s="140">
        <f t="shared" si="121"/>
        <v>0</v>
      </c>
      <c r="H1496" s="140">
        <f t="shared" si="121"/>
        <v>0</v>
      </c>
    </row>
    <row r="1497" spans="1:8" x14ac:dyDescent="0.3">
      <c r="B1497" s="22"/>
      <c r="C1497" s="32"/>
      <c r="D1497" s="39"/>
      <c r="E1497" s="39"/>
      <c r="F1497" s="39"/>
      <c r="G1497" s="176"/>
      <c r="H1497" s="39"/>
    </row>
    <row r="1498" spans="1:8" ht="18.2" x14ac:dyDescent="0.35">
      <c r="A1498" s="44" t="s">
        <v>119</v>
      </c>
      <c r="C1498" s="32"/>
      <c r="D1498" s="2">
        <f>StartYear</f>
        <v>2016</v>
      </c>
      <c r="E1498" s="2">
        <f>D1498+1</f>
        <v>2017</v>
      </c>
      <c r="F1498" s="2">
        <f>E1498+1</f>
        <v>2018</v>
      </c>
      <c r="G1498" s="2">
        <f>F1498+1</f>
        <v>2019</v>
      </c>
      <c r="H1498" s="2">
        <f>G1498+1</f>
        <v>2020</v>
      </c>
    </row>
    <row r="1499" spans="1:8" x14ac:dyDescent="0.3">
      <c r="B1499" s="64" t="s">
        <v>10</v>
      </c>
      <c r="C1499" s="59"/>
      <c r="D1499" s="10">
        <f>IF( $E726 = "Eligible", D1496 * 'Facility Detail'!$B$1614, 0 )</f>
        <v>0</v>
      </c>
      <c r="E1499" s="118">
        <f>IF( $E726 = "Eligible", E1496 * 'Facility Detail'!$B$1614, 0 )</f>
        <v>0</v>
      </c>
      <c r="F1499" s="118">
        <f>IF( $E1077 = "Eligible", F1496 * 'Facility Detail'!$B$1614, 0 )</f>
        <v>0</v>
      </c>
      <c r="G1499" s="118">
        <f>IF( $E1077 = "Eligible", G1496 * 'Facility Detail'!$B$1614, 0 )</f>
        <v>0</v>
      </c>
      <c r="H1499" s="11">
        <f>IF( $E1077 = "Eligible", H1496 * 'Facility Detail'!$B$1614, 0 )</f>
        <v>0</v>
      </c>
    </row>
    <row r="1500" spans="1:8" x14ac:dyDescent="0.3">
      <c r="B1500" s="64" t="s">
        <v>6</v>
      </c>
      <c r="C1500" s="59"/>
      <c r="D1500" s="51">
        <f>IF( $F726 = "Eligible", D1496, 0 )</f>
        <v>0</v>
      </c>
      <c r="E1500" s="119">
        <f>IF( $F726 = "Eligible", E1496, 0 )</f>
        <v>0</v>
      </c>
      <c r="F1500" s="119">
        <f>IF( $F1077 = "Eligible", F1496, 0 )</f>
        <v>0</v>
      </c>
      <c r="G1500" s="119">
        <f>IF( $F1077 = "Eligible", G1496, 0 )</f>
        <v>0</v>
      </c>
      <c r="H1500" s="52">
        <f>IF( $F1077 = "Eligible", H1496, 0 )</f>
        <v>0</v>
      </c>
    </row>
    <row r="1501" spans="1:8" x14ac:dyDescent="0.3">
      <c r="B1501" s="63" t="s">
        <v>121</v>
      </c>
      <c r="C1501" s="62"/>
      <c r="D1501" s="40">
        <f>SUM(D1499:D1500)</f>
        <v>0</v>
      </c>
      <c r="E1501" s="40">
        <f>SUM(E1499:E1500)</f>
        <v>0</v>
      </c>
      <c r="F1501" s="40">
        <f>SUM(F1499:F1500)</f>
        <v>0</v>
      </c>
      <c r="G1501" s="40">
        <f>SUM(G1499:G1500)</f>
        <v>0</v>
      </c>
      <c r="H1501" s="40">
        <f>SUM(H1499:H1500)</f>
        <v>0</v>
      </c>
    </row>
    <row r="1502" spans="1:8" x14ac:dyDescent="0.3">
      <c r="B1502" s="32"/>
      <c r="C1502" s="32"/>
      <c r="D1502" s="33"/>
      <c r="E1502" s="33"/>
      <c r="F1502" s="33"/>
      <c r="G1502" s="178"/>
      <c r="H1502" s="33"/>
    </row>
    <row r="1503" spans="1:8" ht="18.2" x14ac:dyDescent="0.35">
      <c r="A1503" s="41" t="s">
        <v>30</v>
      </c>
      <c r="C1503" s="32"/>
      <c r="D1503" s="2">
        <f>StartYear</f>
        <v>2016</v>
      </c>
      <c r="E1503" s="2">
        <f>D1503+1</f>
        <v>2017</v>
      </c>
      <c r="F1503" s="2">
        <f>E1503+1</f>
        <v>2018</v>
      </c>
      <c r="G1503" s="2">
        <f>F1503+1</f>
        <v>2019</v>
      </c>
      <c r="H1503" s="2">
        <f>G1503+1</f>
        <v>2020</v>
      </c>
    </row>
    <row r="1504" spans="1:8" x14ac:dyDescent="0.3">
      <c r="B1504" s="64" t="s">
        <v>47</v>
      </c>
      <c r="C1504" s="59"/>
      <c r="D1504" s="3"/>
      <c r="E1504" s="3"/>
      <c r="F1504" s="3"/>
      <c r="G1504" s="3"/>
      <c r="H1504" s="4"/>
    </row>
    <row r="1505" spans="1:8" x14ac:dyDescent="0.3">
      <c r="B1505" s="65" t="s">
        <v>23</v>
      </c>
      <c r="C1505" s="66"/>
      <c r="D1505" s="146"/>
      <c r="E1505" s="146"/>
      <c r="F1505" s="146"/>
      <c r="G1505" s="146"/>
      <c r="H1505" s="147"/>
    </row>
    <row r="1506" spans="1:8" x14ac:dyDescent="0.3">
      <c r="B1506" s="75" t="s">
        <v>89</v>
      </c>
      <c r="C1506" s="74"/>
      <c r="D1506" s="213"/>
      <c r="E1506" s="148"/>
      <c r="F1506" s="148"/>
      <c r="G1506" s="148"/>
      <c r="H1506" s="149"/>
    </row>
    <row r="1507" spans="1:8" x14ac:dyDescent="0.3">
      <c r="B1507" s="35" t="s">
        <v>90</v>
      </c>
      <c r="D1507" s="6">
        <f>SUM(D1504:D1506)</f>
        <v>0</v>
      </c>
      <c r="E1507" s="6">
        <f>SUM(E1504:E1506)</f>
        <v>0</v>
      </c>
      <c r="F1507" s="6">
        <f>SUM(F1504:F1506)</f>
        <v>0</v>
      </c>
      <c r="G1507" s="6">
        <f t="shared" ref="G1507" si="122">SUM(G1504:G1506)</f>
        <v>0</v>
      </c>
      <c r="H1507" s="6">
        <f t="shared" ref="H1507" si="123">SUM(H1504:H1506)</f>
        <v>0</v>
      </c>
    </row>
    <row r="1508" spans="1:8" x14ac:dyDescent="0.3">
      <c r="B1508" s="5"/>
      <c r="D1508" s="6"/>
      <c r="E1508" s="6"/>
      <c r="F1508" s="6"/>
      <c r="G1508" s="176"/>
      <c r="H1508" s="6"/>
    </row>
    <row r="1509" spans="1:8" ht="18.2" x14ac:dyDescent="0.35">
      <c r="A1509" s="8" t="s">
        <v>100</v>
      </c>
      <c r="D1509" s="2">
        <f>StartYear</f>
        <v>2016</v>
      </c>
      <c r="E1509" s="2">
        <f>D1509+1</f>
        <v>2017</v>
      </c>
      <c r="F1509" s="2">
        <f>E1509+1</f>
        <v>2018</v>
      </c>
      <c r="G1509" s="2">
        <f>F1509+1</f>
        <v>2019</v>
      </c>
      <c r="H1509" s="2">
        <f>G1509+1</f>
        <v>2020</v>
      </c>
    </row>
    <row r="1510" spans="1:8" x14ac:dyDescent="0.3">
      <c r="B1510" s="64" t="str">
        <f>(StartYear-1) &amp; " Surplus Applied to " &amp; StartYear</f>
        <v>2015 Surplus Applied to 2016</v>
      </c>
      <c r="C1510" s="32"/>
      <c r="D1510" s="205">
        <v>0</v>
      </c>
      <c r="E1510" s="206"/>
      <c r="F1510" s="206"/>
      <c r="G1510" s="206"/>
      <c r="H1510" s="207"/>
    </row>
    <row r="1511" spans="1:8" x14ac:dyDescent="0.3">
      <c r="B1511" s="64" t="str">
        <f>StartYear &amp; " Surplus Applied to " &amp; (StartYear-1)</f>
        <v>2016 Surplus Applied to 2015</v>
      </c>
      <c r="C1511" s="32"/>
      <c r="D1511" s="208">
        <v>0</v>
      </c>
      <c r="E1511" s="122"/>
      <c r="F1511" s="122"/>
      <c r="G1511" s="122"/>
      <c r="H1511" s="126"/>
    </row>
    <row r="1512" spans="1:8" x14ac:dyDescent="0.3">
      <c r="B1512" s="64" t="str">
        <f>( StartYear) &amp; " Surplus Applied to " &amp; ( StartYear + 1 )</f>
        <v>2016 Surplus Applied to 2017</v>
      </c>
      <c r="C1512" s="32"/>
      <c r="D1512" s="203">
        <f>D1496+D1501-D1507</f>
        <v>0</v>
      </c>
      <c r="E1512" s="204">
        <f>D1512</f>
        <v>0</v>
      </c>
      <c r="F1512" s="199"/>
      <c r="G1512" s="199"/>
      <c r="H1512" s="200"/>
    </row>
    <row r="1513" spans="1:8" x14ac:dyDescent="0.3">
      <c r="B1513" s="64" t="str">
        <f xml:space="preserve"> ( StartYear + 1 ) &amp; " Surplus Applied to " &amp; ( StartYear )</f>
        <v>2017 Surplus Applied to 2016</v>
      </c>
      <c r="C1513" s="59"/>
      <c r="D1513" s="143">
        <v>0</v>
      </c>
      <c r="E1513" s="9">
        <v>0</v>
      </c>
      <c r="F1513" s="122"/>
      <c r="G1513" s="122"/>
      <c r="H1513" s="126"/>
    </row>
    <row r="1514" spans="1:8" x14ac:dyDescent="0.3">
      <c r="B1514" s="128" t="str">
        <f xml:space="preserve"> ( StartYear + 1 ) &amp; " Surplus Applied to " &amp; ( StartYear + 2 )</f>
        <v>2017 Surplus Applied to 2018</v>
      </c>
      <c r="C1514" s="59"/>
      <c r="D1514" s="123"/>
      <c r="E1514" s="9">
        <v>0</v>
      </c>
      <c r="F1514" s="58">
        <f>E1514</f>
        <v>0</v>
      </c>
      <c r="G1514" s="122"/>
      <c r="H1514" s="126"/>
    </row>
    <row r="1515" spans="1:8" x14ac:dyDescent="0.3">
      <c r="B1515" s="128" t="str">
        <f xml:space="preserve"> ( StartYear + 2 ) &amp; " Surplus Applied to " &amp; ( StartYear + 1 )</f>
        <v>2018 Surplus Applied to 2017</v>
      </c>
      <c r="C1515" s="59"/>
      <c r="D1515" s="123"/>
      <c r="E1515" s="58">
        <v>0</v>
      </c>
      <c r="F1515" s="9">
        <v>0</v>
      </c>
      <c r="G1515" s="122"/>
      <c r="H1515" s="126"/>
    </row>
    <row r="1516" spans="1:8" x14ac:dyDescent="0.3">
      <c r="B1516" s="174" t="str">
        <f xml:space="preserve"> ( StartYear + 2 ) &amp; " Surplus Applied to " &amp; ( StartYear + 3 )</f>
        <v>2018 Surplus Applied to 2019</v>
      </c>
      <c r="C1516" s="32"/>
      <c r="D1516" s="123"/>
      <c r="E1516" s="122"/>
      <c r="F1516" s="9">
        <v>0</v>
      </c>
      <c r="G1516" s="58">
        <f>F1516</f>
        <v>0</v>
      </c>
      <c r="H1516" s="126"/>
    </row>
    <row r="1517" spans="1:8" x14ac:dyDescent="0.3">
      <c r="B1517" s="174" t="str">
        <f xml:space="preserve"> ( StartYear + 3 ) &amp; " Surplus Applied to " &amp; ( StartYear + 2 )</f>
        <v>2019 Surplus Applied to 2018</v>
      </c>
      <c r="C1517" s="32"/>
      <c r="D1517" s="123"/>
      <c r="E1517" s="122"/>
      <c r="F1517" s="58">
        <v>0</v>
      </c>
      <c r="G1517" s="9">
        <v>0</v>
      </c>
      <c r="H1517" s="126"/>
    </row>
    <row r="1518" spans="1:8" x14ac:dyDescent="0.3">
      <c r="B1518" s="174" t="str">
        <f xml:space="preserve"> ( StartYear + 3 ) &amp; " Surplus Applied to " &amp; ( StartYear + 4 )</f>
        <v>2019 Surplus Applied to 2020</v>
      </c>
      <c r="C1518" s="32"/>
      <c r="D1518" s="123"/>
      <c r="E1518" s="122"/>
      <c r="F1518" s="122"/>
      <c r="G1518" s="9">
        <f>G1496+G1501-G1507</f>
        <v>0</v>
      </c>
      <c r="H1518" s="53">
        <f>G1518</f>
        <v>0</v>
      </c>
    </row>
    <row r="1519" spans="1:8" x14ac:dyDescent="0.3">
      <c r="B1519" s="174" t="str">
        <f xml:space="preserve"> ( StartYear + 4 ) &amp; " Surplus Applied to " &amp; ( StartYear + 3 )</f>
        <v>2020 Surplus Applied to 2019</v>
      </c>
      <c r="C1519" s="32"/>
      <c r="D1519" s="124"/>
      <c r="E1519" s="125"/>
      <c r="F1519" s="125"/>
      <c r="G1519" s="54">
        <v>0</v>
      </c>
      <c r="H1519" s="46">
        <v>0</v>
      </c>
    </row>
    <row r="1520" spans="1:8" x14ac:dyDescent="0.3">
      <c r="B1520" s="35" t="s">
        <v>17</v>
      </c>
      <c r="D1520" s="6">
        <f>D1510-D1511+D1513-D1512</f>
        <v>0</v>
      </c>
      <c r="E1520" s="6">
        <f>E1512+E1515-E1513-E1514</f>
        <v>0</v>
      </c>
      <c r="F1520" s="6">
        <f>F1514+F1517-F1515-F1516</f>
        <v>0</v>
      </c>
      <c r="G1520" s="6">
        <f>G1516+G1519-G1517-G1518</f>
        <v>0</v>
      </c>
      <c r="H1520" s="6">
        <f>H1518 - H1519</f>
        <v>0</v>
      </c>
    </row>
    <row r="1521" spans="1:8" x14ac:dyDescent="0.3">
      <c r="B1521" s="5"/>
      <c r="D1521" s="6"/>
      <c r="E1521" s="6"/>
      <c r="F1521" s="6"/>
      <c r="G1521" s="6"/>
      <c r="H1521" s="6"/>
    </row>
    <row r="1522" spans="1:8" x14ac:dyDescent="0.3">
      <c r="B1522" s="61" t="s">
        <v>12</v>
      </c>
      <c r="C1522" s="59"/>
      <c r="D1522" s="82"/>
      <c r="E1522" s="120"/>
      <c r="F1522" s="120"/>
      <c r="G1522" s="120"/>
      <c r="H1522" s="83"/>
    </row>
    <row r="1523" spans="1:8" x14ac:dyDescent="0.3">
      <c r="B1523" s="5"/>
      <c r="D1523" s="6"/>
      <c r="E1523" s="6"/>
      <c r="F1523" s="6"/>
      <c r="G1523" s="6"/>
      <c r="H1523" s="6"/>
    </row>
    <row r="1524" spans="1:8" ht="18.2" x14ac:dyDescent="0.35">
      <c r="A1524" s="41" t="s">
        <v>26</v>
      </c>
      <c r="C1524" s="59"/>
      <c r="D1524" s="121">
        <f xml:space="preserve"> D1496 + D1501 - D1507 + D1520 + D1522</f>
        <v>0</v>
      </c>
      <c r="E1524" s="121">
        <f xml:space="preserve"> E1496 + E1501 - E1507 + E1520 + E1522</f>
        <v>0</v>
      </c>
      <c r="F1524" s="121">
        <f t="shared" ref="F1524:H1524" si="124" xml:space="preserve"> F1496 + F1501 - F1507 + F1520 + F1522</f>
        <v>0</v>
      </c>
      <c r="G1524" s="121">
        <f t="shared" si="124"/>
        <v>0</v>
      </c>
      <c r="H1524" s="192">
        <f t="shared" si="124"/>
        <v>0</v>
      </c>
    </row>
    <row r="1525" spans="1:8" x14ac:dyDescent="0.3">
      <c r="B1525" s="5"/>
      <c r="C1525" s="5" t="s">
        <v>169</v>
      </c>
      <c r="D1525" s="6"/>
      <c r="E1525" s="6"/>
      <c r="F1525" s="31"/>
      <c r="G1525" s="31"/>
      <c r="H1525" s="31"/>
    </row>
    <row r="1526" spans="1:8" ht="15.65" thickBot="1" x14ac:dyDescent="0.35"/>
    <row r="1527" spans="1:8" x14ac:dyDescent="0.3">
      <c r="A1527" s="7"/>
      <c r="B1527" s="7"/>
      <c r="C1527" s="7"/>
      <c r="D1527" s="179"/>
      <c r="E1527" s="7"/>
      <c r="F1527" s="7"/>
      <c r="G1527" s="7"/>
      <c r="H1527" s="7"/>
    </row>
    <row r="1528" spans="1:8" x14ac:dyDescent="0.3">
      <c r="B1528" s="32"/>
      <c r="C1528" s="32"/>
      <c r="D1528" s="22"/>
      <c r="E1528" s="32"/>
      <c r="F1528" s="32"/>
      <c r="G1528" s="32"/>
      <c r="H1528" s="32"/>
    </row>
    <row r="1529" spans="1:8" ht="21.3" x14ac:dyDescent="0.4">
      <c r="A1529" s="12" t="s">
        <v>4</v>
      </c>
      <c r="B1529" s="12"/>
      <c r="C1529" s="42" t="str">
        <f>B42</f>
        <v>Facility 39</v>
      </c>
      <c r="D1529" s="43"/>
      <c r="E1529" s="22"/>
      <c r="F1529" s="22"/>
    </row>
    <row r="1531" spans="1:8" ht="18.2" x14ac:dyDescent="0.35">
      <c r="A1531" s="8" t="s">
        <v>21</v>
      </c>
      <c r="B1531" s="8"/>
      <c r="D1531" s="127">
        <f>StartYear</f>
        <v>2016</v>
      </c>
      <c r="E1531" s="2">
        <f>D1531+1</f>
        <v>2017</v>
      </c>
      <c r="F1531" s="2">
        <f>E1531+1</f>
        <v>2018</v>
      </c>
      <c r="G1531" s="2">
        <f>F1531+1</f>
        <v>2019</v>
      </c>
      <c r="H1531" s="2">
        <f>G1531+1</f>
        <v>2020</v>
      </c>
    </row>
    <row r="1532" spans="1:8" x14ac:dyDescent="0.3">
      <c r="B1532" s="64" t="str">
        <f>"Total MWh Produced / Purchased from " &amp; C1529</f>
        <v>Total MWh Produced / Purchased from Facility 39</v>
      </c>
      <c r="C1532" s="59"/>
      <c r="D1532" s="3"/>
      <c r="E1532" s="3"/>
      <c r="F1532" s="3"/>
      <c r="G1532" s="3"/>
      <c r="H1532" s="4"/>
    </row>
    <row r="1533" spans="1:8" x14ac:dyDescent="0.3">
      <c r="B1533" s="64" t="s">
        <v>25</v>
      </c>
      <c r="C1533" s="59"/>
      <c r="D1533" s="141"/>
      <c r="E1533" s="141"/>
      <c r="F1533" s="141"/>
      <c r="G1533" s="141"/>
      <c r="H1533" s="142"/>
    </row>
    <row r="1534" spans="1:8" x14ac:dyDescent="0.3">
      <c r="B1534" s="64" t="s">
        <v>20</v>
      </c>
      <c r="C1534" s="59"/>
      <c r="D1534" s="47"/>
      <c r="E1534" s="47"/>
      <c r="F1534" s="47"/>
      <c r="G1534" s="47"/>
      <c r="H1534" s="48"/>
    </row>
    <row r="1535" spans="1:8" x14ac:dyDescent="0.3">
      <c r="B1535" s="61" t="s">
        <v>22</v>
      </c>
      <c r="C1535" s="62"/>
      <c r="D1535" s="140">
        <f xml:space="preserve"> D1532 * D1533 * D1534</f>
        <v>0</v>
      </c>
      <c r="E1535" s="140">
        <f xml:space="preserve"> E1532 * E1533 * E1534</f>
        <v>0</v>
      </c>
      <c r="F1535" s="140">
        <f t="shared" ref="F1535:H1535" si="125" xml:space="preserve"> ROUNDDOWN(F1532 * F1533 * F1534,0)</f>
        <v>0</v>
      </c>
      <c r="G1535" s="140">
        <f t="shared" si="125"/>
        <v>0</v>
      </c>
      <c r="H1535" s="140">
        <f t="shared" si="125"/>
        <v>0</v>
      </c>
    </row>
    <row r="1536" spans="1:8" x14ac:dyDescent="0.3">
      <c r="B1536" s="22"/>
      <c r="C1536" s="32"/>
      <c r="D1536" s="39"/>
      <c r="E1536" s="39"/>
      <c r="F1536" s="39"/>
      <c r="G1536" s="176"/>
      <c r="H1536" s="39"/>
    </row>
    <row r="1537" spans="1:8" ht="18.2" x14ac:dyDescent="0.35">
      <c r="A1537" s="44" t="s">
        <v>119</v>
      </c>
      <c r="C1537" s="32"/>
      <c r="D1537" s="2">
        <f>StartYear</f>
        <v>2016</v>
      </c>
      <c r="E1537" s="2">
        <f>D1537+1</f>
        <v>2017</v>
      </c>
      <c r="F1537" s="2">
        <f>E1537+1</f>
        <v>2018</v>
      </c>
      <c r="G1537" s="2">
        <f>F1537+1</f>
        <v>2019</v>
      </c>
      <c r="H1537" s="2">
        <f>G1537+1</f>
        <v>2020</v>
      </c>
    </row>
    <row r="1538" spans="1:8" x14ac:dyDescent="0.3">
      <c r="B1538" s="64" t="s">
        <v>10</v>
      </c>
      <c r="C1538" s="59"/>
      <c r="D1538" s="10">
        <f>IF( $E763 = "Eligible", D1535 * 'Facility Detail'!$B$1614, 0 )</f>
        <v>0</v>
      </c>
      <c r="E1538" s="118">
        <f>IF( $E763 = "Eligible", E1535 * 'Facility Detail'!$B$1614, 0 )</f>
        <v>0</v>
      </c>
      <c r="F1538" s="118">
        <f>IF( $E1116 = "Eligible", F1535 * 'Facility Detail'!$B$1614, 0 )</f>
        <v>0</v>
      </c>
      <c r="G1538" s="118">
        <f>IF( $E1116 = "Eligible", G1535 * 'Facility Detail'!$B$1614, 0 )</f>
        <v>0</v>
      </c>
      <c r="H1538" s="11">
        <f>IF( $E1116 = "Eligible", H1535 * 'Facility Detail'!$B$1614, 0 )</f>
        <v>0</v>
      </c>
    </row>
    <row r="1539" spans="1:8" x14ac:dyDescent="0.3">
      <c r="B1539" s="64" t="s">
        <v>6</v>
      </c>
      <c r="C1539" s="59"/>
      <c r="D1539" s="51">
        <f>IF( $F763 = "Eligible", D1535, 0 )</f>
        <v>0</v>
      </c>
      <c r="E1539" s="119">
        <f>IF( $F763 = "Eligible", E1535, 0 )</f>
        <v>0</v>
      </c>
      <c r="F1539" s="119">
        <f>IF( $F1116 = "Eligible", F1535, 0 )</f>
        <v>0</v>
      </c>
      <c r="G1539" s="119">
        <f>IF( $F1116 = "Eligible", G1535, 0 )</f>
        <v>0</v>
      </c>
      <c r="H1539" s="52">
        <f>IF( $F1116 = "Eligible", H1535, 0 )</f>
        <v>0</v>
      </c>
    </row>
    <row r="1540" spans="1:8" x14ac:dyDescent="0.3">
      <c r="B1540" s="63" t="s">
        <v>121</v>
      </c>
      <c r="C1540" s="62"/>
      <c r="D1540" s="40">
        <f>SUM(D1538:D1539)</f>
        <v>0</v>
      </c>
      <c r="E1540" s="40">
        <f>SUM(E1538:E1539)</f>
        <v>0</v>
      </c>
      <c r="F1540" s="40">
        <f>SUM(F1538:F1539)</f>
        <v>0</v>
      </c>
      <c r="G1540" s="40">
        <f>SUM(G1538:G1539)</f>
        <v>0</v>
      </c>
      <c r="H1540" s="40">
        <f>SUM(H1538:H1539)</f>
        <v>0</v>
      </c>
    </row>
    <row r="1541" spans="1:8" x14ac:dyDescent="0.3">
      <c r="B1541" s="32"/>
      <c r="C1541" s="32"/>
      <c r="D1541" s="33"/>
      <c r="E1541" s="33"/>
      <c r="F1541" s="33"/>
      <c r="G1541" s="178"/>
      <c r="H1541" s="33"/>
    </row>
    <row r="1542" spans="1:8" ht="18.2" x14ac:dyDescent="0.35">
      <c r="A1542" s="41" t="s">
        <v>30</v>
      </c>
      <c r="C1542" s="32"/>
      <c r="D1542" s="2">
        <f>StartYear</f>
        <v>2016</v>
      </c>
      <c r="E1542" s="2">
        <f>D1542+1</f>
        <v>2017</v>
      </c>
      <c r="F1542" s="2">
        <f>E1542+1</f>
        <v>2018</v>
      </c>
      <c r="G1542" s="2">
        <f>F1542+1</f>
        <v>2019</v>
      </c>
      <c r="H1542" s="2">
        <f>G1542+1</f>
        <v>2020</v>
      </c>
    </row>
    <row r="1543" spans="1:8" x14ac:dyDescent="0.3">
      <c r="B1543" s="64" t="s">
        <v>47</v>
      </c>
      <c r="C1543" s="59"/>
      <c r="D1543" s="3"/>
      <c r="E1543" s="3"/>
      <c r="F1543" s="3"/>
      <c r="G1543" s="3"/>
      <c r="H1543" s="4"/>
    </row>
    <row r="1544" spans="1:8" x14ac:dyDescent="0.3">
      <c r="B1544" s="65" t="s">
        <v>23</v>
      </c>
      <c r="C1544" s="66"/>
      <c r="D1544" s="146"/>
      <c r="E1544" s="146"/>
      <c r="F1544" s="146"/>
      <c r="G1544" s="146"/>
      <c r="H1544" s="147"/>
    </row>
    <row r="1545" spans="1:8" x14ac:dyDescent="0.3">
      <c r="B1545" s="75" t="s">
        <v>89</v>
      </c>
      <c r="C1545" s="74"/>
      <c r="D1545" s="213"/>
      <c r="E1545" s="148"/>
      <c r="F1545" s="148"/>
      <c r="G1545" s="148"/>
      <c r="H1545" s="149"/>
    </row>
    <row r="1546" spans="1:8" x14ac:dyDescent="0.3">
      <c r="B1546" s="35" t="s">
        <v>90</v>
      </c>
      <c r="D1546" s="6">
        <f>SUM(D1543:D1545)</f>
        <v>0</v>
      </c>
      <c r="E1546" s="6">
        <f>SUM(E1543:E1545)</f>
        <v>0</v>
      </c>
      <c r="F1546" s="6">
        <f>SUM(F1543:F1545)</f>
        <v>0</v>
      </c>
      <c r="G1546" s="6">
        <f t="shared" ref="G1546" si="126">SUM(G1543:G1545)</f>
        <v>0</v>
      </c>
      <c r="H1546" s="6">
        <f t="shared" ref="H1546" si="127">SUM(H1543:H1545)</f>
        <v>0</v>
      </c>
    </row>
    <row r="1547" spans="1:8" x14ac:dyDescent="0.3">
      <c r="B1547" s="5"/>
      <c r="D1547" s="6"/>
      <c r="E1547" s="6"/>
      <c r="F1547" s="6"/>
      <c r="G1547" s="176"/>
      <c r="H1547" s="6"/>
    </row>
    <row r="1548" spans="1:8" ht="18.2" x14ac:dyDescent="0.35">
      <c r="A1548" s="8" t="s">
        <v>100</v>
      </c>
      <c r="D1548" s="2">
        <f>StartYear</f>
        <v>2016</v>
      </c>
      <c r="E1548" s="2">
        <f>D1548+1</f>
        <v>2017</v>
      </c>
      <c r="F1548" s="2">
        <f>E1548+1</f>
        <v>2018</v>
      </c>
      <c r="G1548" s="2">
        <f>F1548+1</f>
        <v>2019</v>
      </c>
      <c r="H1548" s="2">
        <f>G1548+1</f>
        <v>2020</v>
      </c>
    </row>
    <row r="1549" spans="1:8" x14ac:dyDescent="0.3">
      <c r="B1549" s="64" t="str">
        <f>(StartYear-1) &amp; " Surplus Applied to " &amp; StartYear</f>
        <v>2015 Surplus Applied to 2016</v>
      </c>
      <c r="C1549" s="32"/>
      <c r="D1549" s="205">
        <v>0</v>
      </c>
      <c r="E1549" s="206"/>
      <c r="F1549" s="206"/>
      <c r="G1549" s="206"/>
      <c r="H1549" s="207"/>
    </row>
    <row r="1550" spans="1:8" x14ac:dyDescent="0.3">
      <c r="B1550" s="64" t="str">
        <f>StartYear &amp; " Surplus Applied to " &amp; (StartYear-1)</f>
        <v>2016 Surplus Applied to 2015</v>
      </c>
      <c r="C1550" s="32"/>
      <c r="D1550" s="208">
        <v>0</v>
      </c>
      <c r="E1550" s="122"/>
      <c r="F1550" s="122"/>
      <c r="G1550" s="122"/>
      <c r="H1550" s="126"/>
    </row>
    <row r="1551" spans="1:8" x14ac:dyDescent="0.3">
      <c r="B1551" s="64" t="str">
        <f>( StartYear) &amp; " Surplus Applied to " &amp; ( StartYear + 1 )</f>
        <v>2016 Surplus Applied to 2017</v>
      </c>
      <c r="C1551" s="32"/>
      <c r="D1551" s="203">
        <f>D1535+D1540-D1546</f>
        <v>0</v>
      </c>
      <c r="E1551" s="204">
        <f>D1551</f>
        <v>0</v>
      </c>
      <c r="F1551" s="199"/>
      <c r="G1551" s="199"/>
      <c r="H1551" s="200"/>
    </row>
    <row r="1552" spans="1:8" x14ac:dyDescent="0.3">
      <c r="B1552" s="64" t="str">
        <f xml:space="preserve"> ( StartYear + 1 ) &amp; " Surplus Applied to " &amp; ( StartYear )</f>
        <v>2017 Surplus Applied to 2016</v>
      </c>
      <c r="C1552" s="59"/>
      <c r="D1552" s="143">
        <v>0</v>
      </c>
      <c r="E1552" s="9">
        <v>0</v>
      </c>
      <c r="F1552" s="122"/>
      <c r="G1552" s="122"/>
      <c r="H1552" s="126"/>
    </row>
    <row r="1553" spans="1:8" x14ac:dyDescent="0.3">
      <c r="B1553" s="128" t="str">
        <f xml:space="preserve"> ( StartYear + 1 ) &amp; " Surplus Applied to " &amp; ( StartYear + 2 )</f>
        <v>2017 Surplus Applied to 2018</v>
      </c>
      <c r="C1553" s="59"/>
      <c r="D1553" s="123"/>
      <c r="E1553" s="9">
        <v>0</v>
      </c>
      <c r="F1553" s="58">
        <f>E1553</f>
        <v>0</v>
      </c>
      <c r="G1553" s="122"/>
      <c r="H1553" s="126"/>
    </row>
    <row r="1554" spans="1:8" x14ac:dyDescent="0.3">
      <c r="B1554" s="128" t="str">
        <f xml:space="preserve"> ( StartYear + 2 ) &amp; " Surplus Applied to " &amp; ( StartYear + 1 )</f>
        <v>2018 Surplus Applied to 2017</v>
      </c>
      <c r="C1554" s="59"/>
      <c r="D1554" s="123"/>
      <c r="E1554" s="58">
        <v>0</v>
      </c>
      <c r="F1554" s="9">
        <v>0</v>
      </c>
      <c r="G1554" s="122"/>
      <c r="H1554" s="126"/>
    </row>
    <row r="1555" spans="1:8" x14ac:dyDescent="0.3">
      <c r="B1555" s="174" t="str">
        <f xml:space="preserve"> ( StartYear + 2 ) &amp; " Surplus Applied to " &amp; ( StartYear + 3 )</f>
        <v>2018 Surplus Applied to 2019</v>
      </c>
      <c r="C1555" s="32"/>
      <c r="D1555" s="123"/>
      <c r="E1555" s="122"/>
      <c r="F1555" s="9">
        <v>0</v>
      </c>
      <c r="G1555" s="58">
        <f>F1555</f>
        <v>0</v>
      </c>
      <c r="H1555" s="126"/>
    </row>
    <row r="1556" spans="1:8" x14ac:dyDescent="0.3">
      <c r="B1556" s="174" t="str">
        <f xml:space="preserve"> ( StartYear + 3 ) &amp; " Surplus Applied to " &amp; ( StartYear + 2 )</f>
        <v>2019 Surplus Applied to 2018</v>
      </c>
      <c r="C1556" s="32"/>
      <c r="D1556" s="123"/>
      <c r="E1556" s="122"/>
      <c r="F1556" s="58">
        <v>0</v>
      </c>
      <c r="G1556" s="9">
        <v>0</v>
      </c>
      <c r="H1556" s="126"/>
    </row>
    <row r="1557" spans="1:8" x14ac:dyDescent="0.3">
      <c r="B1557" s="174" t="str">
        <f xml:space="preserve"> ( StartYear + 3 ) &amp; " Surplus Applied to " &amp; ( StartYear + 4 )</f>
        <v>2019 Surplus Applied to 2020</v>
      </c>
      <c r="C1557" s="32"/>
      <c r="D1557" s="123"/>
      <c r="E1557" s="122"/>
      <c r="F1557" s="122"/>
      <c r="G1557" s="9">
        <f>G1535+G1540-G1546</f>
        <v>0</v>
      </c>
      <c r="H1557" s="53">
        <f>G1557</f>
        <v>0</v>
      </c>
    </row>
    <row r="1558" spans="1:8" x14ac:dyDescent="0.3">
      <c r="B1558" s="174" t="str">
        <f xml:space="preserve"> ( StartYear + 4 ) &amp; " Surplus Applied to " &amp; ( StartYear + 3 )</f>
        <v>2020 Surplus Applied to 2019</v>
      </c>
      <c r="C1558" s="32"/>
      <c r="D1558" s="124"/>
      <c r="E1558" s="125"/>
      <c r="F1558" s="125"/>
      <c r="G1558" s="54">
        <v>0</v>
      </c>
      <c r="H1558" s="46">
        <v>0</v>
      </c>
    </row>
    <row r="1559" spans="1:8" x14ac:dyDescent="0.3">
      <c r="B1559" s="35" t="s">
        <v>17</v>
      </c>
      <c r="D1559" s="6">
        <f>D1549-D1550+D1552-D1551</f>
        <v>0</v>
      </c>
      <c r="E1559" s="6">
        <f>E1551+E1554-E1552-E1553</f>
        <v>0</v>
      </c>
      <c r="F1559" s="6">
        <f>F1553+F1556-F1554-F1555</f>
        <v>0</v>
      </c>
      <c r="G1559" s="6">
        <f>G1555+G1558-G1556-G1557</f>
        <v>0</v>
      </c>
      <c r="H1559" s="6">
        <f>H1557 - H1558</f>
        <v>0</v>
      </c>
    </row>
    <row r="1560" spans="1:8" x14ac:dyDescent="0.3">
      <c r="B1560" s="5"/>
      <c r="D1560" s="6"/>
      <c r="E1560" s="6"/>
      <c r="F1560" s="6"/>
      <c r="G1560" s="6"/>
      <c r="H1560" s="6"/>
    </row>
    <row r="1561" spans="1:8" x14ac:dyDescent="0.3">
      <c r="B1561" s="61" t="s">
        <v>12</v>
      </c>
      <c r="C1561" s="59"/>
      <c r="D1561" s="82"/>
      <c r="E1561" s="120"/>
      <c r="F1561" s="120"/>
      <c r="G1561" s="120"/>
      <c r="H1561" s="83"/>
    </row>
    <row r="1562" spans="1:8" x14ac:dyDescent="0.3">
      <c r="B1562" s="5"/>
      <c r="D1562" s="6"/>
      <c r="E1562" s="6"/>
      <c r="F1562" s="6"/>
      <c r="G1562" s="6"/>
      <c r="H1562" s="6"/>
    </row>
    <row r="1563" spans="1:8" ht="18.2" x14ac:dyDescent="0.35">
      <c r="A1563" s="41" t="s">
        <v>26</v>
      </c>
      <c r="C1563" s="59"/>
      <c r="D1563" s="121">
        <f xml:space="preserve"> D1535 + D1540 - D1546 + D1559 + D1561</f>
        <v>0</v>
      </c>
      <c r="E1563" s="121">
        <f xml:space="preserve"> E1535 + E1540 - E1546 + E1559 + E1561</f>
        <v>0</v>
      </c>
      <c r="F1563" s="121">
        <f t="shared" ref="F1563:H1563" si="128" xml:space="preserve"> F1535 + F1540 - F1546 + F1559 + F1561</f>
        <v>0</v>
      </c>
      <c r="G1563" s="121">
        <f t="shared" si="128"/>
        <v>0</v>
      </c>
      <c r="H1563" s="192">
        <f t="shared" si="128"/>
        <v>0</v>
      </c>
    </row>
    <row r="1564" spans="1:8" x14ac:dyDescent="0.3">
      <c r="B1564" s="5"/>
      <c r="C1564" s="5" t="s">
        <v>169</v>
      </c>
      <c r="D1564" s="6"/>
      <c r="E1564" s="6"/>
      <c r="F1564" s="31"/>
      <c r="G1564" s="31"/>
      <c r="H1564" s="31"/>
    </row>
    <row r="1565" spans="1:8" ht="15.65" thickBot="1" x14ac:dyDescent="0.35"/>
    <row r="1566" spans="1:8" x14ac:dyDescent="0.3">
      <c r="A1566" s="7"/>
      <c r="B1566" s="7"/>
      <c r="C1566" s="7"/>
      <c r="D1566" s="179"/>
      <c r="E1566" s="7"/>
      <c r="F1566" s="7"/>
      <c r="G1566" s="7"/>
      <c r="H1566" s="7"/>
    </row>
    <row r="1567" spans="1:8" x14ac:dyDescent="0.3">
      <c r="B1567" s="32"/>
      <c r="C1567" s="32"/>
      <c r="D1567" s="22"/>
      <c r="E1567" s="32"/>
      <c r="F1567" s="32"/>
      <c r="G1567" s="32"/>
      <c r="H1567" s="32"/>
    </row>
    <row r="1568" spans="1:8" ht="21.3" x14ac:dyDescent="0.4">
      <c r="A1568" s="12" t="s">
        <v>4</v>
      </c>
      <c r="B1568" s="12"/>
      <c r="C1568" s="42" t="str">
        <f>B43</f>
        <v>Facility 40</v>
      </c>
      <c r="D1568" s="43"/>
      <c r="E1568" s="22"/>
      <c r="F1568" s="22"/>
    </row>
    <row r="1570" spans="1:8" ht="18.2" x14ac:dyDescent="0.35">
      <c r="A1570" s="8" t="s">
        <v>21</v>
      </c>
      <c r="B1570" s="8"/>
      <c r="D1570" s="127">
        <f>StartYear</f>
        <v>2016</v>
      </c>
      <c r="E1570" s="2">
        <f>D1570+1</f>
        <v>2017</v>
      </c>
      <c r="F1570" s="2">
        <f>E1570+1</f>
        <v>2018</v>
      </c>
      <c r="G1570" s="2">
        <f>F1570+1</f>
        <v>2019</v>
      </c>
      <c r="H1570" s="2">
        <f>G1570+1</f>
        <v>2020</v>
      </c>
    </row>
    <row r="1571" spans="1:8" x14ac:dyDescent="0.3">
      <c r="B1571" s="64" t="str">
        <f>"Total MWh Produced / Purchased from " &amp; C1568</f>
        <v>Total MWh Produced / Purchased from Facility 40</v>
      </c>
      <c r="C1571" s="59"/>
      <c r="D1571" s="49"/>
      <c r="E1571" s="3"/>
      <c r="F1571" s="3"/>
      <c r="G1571" s="3"/>
      <c r="H1571" s="4"/>
    </row>
    <row r="1572" spans="1:8" x14ac:dyDescent="0.3">
      <c r="B1572" s="64" t="s">
        <v>25</v>
      </c>
      <c r="C1572" s="59"/>
      <c r="D1572" s="180"/>
      <c r="E1572" s="141"/>
      <c r="F1572" s="141"/>
      <c r="G1572" s="141"/>
      <c r="H1572" s="142"/>
    </row>
    <row r="1573" spans="1:8" x14ac:dyDescent="0.3">
      <c r="B1573" s="64" t="s">
        <v>20</v>
      </c>
      <c r="C1573" s="59"/>
      <c r="D1573" s="181"/>
      <c r="E1573" s="47"/>
      <c r="F1573" s="47"/>
      <c r="G1573" s="47"/>
      <c r="H1573" s="48"/>
    </row>
    <row r="1574" spans="1:8" x14ac:dyDescent="0.3">
      <c r="B1574" s="61" t="s">
        <v>22</v>
      </c>
      <c r="C1574" s="62"/>
      <c r="D1574" s="182">
        <f xml:space="preserve"> D1571 * D1572 * D1573</f>
        <v>0</v>
      </c>
      <c r="E1574" s="140">
        <f xml:space="preserve"> E1571 * E1572 * E1573</f>
        <v>0</v>
      </c>
      <c r="F1574" s="140">
        <f t="shared" ref="F1574:H1574" si="129" xml:space="preserve"> ROUNDDOWN(F1571 * F1572 * F1573,0)</f>
        <v>0</v>
      </c>
      <c r="G1574" s="140">
        <f t="shared" si="129"/>
        <v>0</v>
      </c>
      <c r="H1574" s="140">
        <f t="shared" si="129"/>
        <v>0</v>
      </c>
    </row>
    <row r="1575" spans="1:8" x14ac:dyDescent="0.3">
      <c r="B1575" s="22"/>
      <c r="C1575" s="32"/>
      <c r="D1575" s="23"/>
      <c r="E1575" s="39"/>
      <c r="F1575" s="39"/>
      <c r="G1575" s="176"/>
      <c r="H1575" s="39"/>
    </row>
    <row r="1576" spans="1:8" ht="18.2" x14ac:dyDescent="0.35">
      <c r="A1576" s="44" t="s">
        <v>119</v>
      </c>
      <c r="C1576" s="32"/>
      <c r="D1576" s="127">
        <f>StartYear</f>
        <v>2016</v>
      </c>
      <c r="E1576" s="2">
        <f>D1576+1</f>
        <v>2017</v>
      </c>
      <c r="F1576" s="2">
        <f>E1576+1</f>
        <v>2018</v>
      </c>
      <c r="G1576" s="2">
        <f>F1576+1</f>
        <v>2019</v>
      </c>
      <c r="H1576" s="2">
        <f>G1576+1</f>
        <v>2020</v>
      </c>
    </row>
    <row r="1577" spans="1:8" x14ac:dyDescent="0.3">
      <c r="B1577" s="64" t="s">
        <v>10</v>
      </c>
      <c r="C1577" s="59"/>
      <c r="D1577" s="49">
        <f>IF( $F765 = "Eligible", D1574 * 'Facility Detail'!$B$1614, 0 )</f>
        <v>0</v>
      </c>
      <c r="E1577" s="10">
        <f>IF( $F765 = "Eligible", E1574 * 'Facility Detail'!$B$1614, 0 )</f>
        <v>0</v>
      </c>
      <c r="F1577" s="118">
        <f>IF( $E1155 = "Eligible", F1574 * 'Facility Detail'!$B$1614, 0 )</f>
        <v>0</v>
      </c>
      <c r="G1577" s="118">
        <f>IF( $E1155 = "Eligible", G1574 * 'Facility Detail'!$B$1614, 0 )</f>
        <v>0</v>
      </c>
      <c r="H1577" s="11">
        <f>IF( $E1155 = "Eligible", H1574 * 'Facility Detail'!$B$1614, 0 )</f>
        <v>0</v>
      </c>
    </row>
    <row r="1578" spans="1:8" x14ac:dyDescent="0.3">
      <c r="B1578" s="64" t="s">
        <v>6</v>
      </c>
      <c r="C1578" s="59"/>
      <c r="D1578" s="50">
        <f>IF( $G765 = "Eligible", D1574, 0 )</f>
        <v>0</v>
      </c>
      <c r="E1578" s="51">
        <f>IF( $G765 = "Eligible", E1574, 0 )</f>
        <v>0</v>
      </c>
      <c r="F1578" s="119">
        <f>IF( $F1155 = "Eligible", F1574, 0 )</f>
        <v>0</v>
      </c>
      <c r="G1578" s="119">
        <f>IF( $F1155 = "Eligible", G1574, 0 )</f>
        <v>0</v>
      </c>
      <c r="H1578" s="52">
        <f>IF( $F1155 = "Eligible", H1574, 0 )</f>
        <v>0</v>
      </c>
    </row>
    <row r="1579" spans="1:8" x14ac:dyDescent="0.3">
      <c r="B1579" s="63" t="s">
        <v>121</v>
      </c>
      <c r="C1579" s="62"/>
      <c r="D1579" s="182">
        <f>SUM(D1577:D1578)</f>
        <v>0</v>
      </c>
      <c r="E1579" s="40">
        <f>SUM(E1577:E1578)</f>
        <v>0</v>
      </c>
      <c r="F1579" s="40">
        <f>SUM(F1577:F1578)</f>
        <v>0</v>
      </c>
      <c r="G1579" s="40">
        <f>SUM(G1577:G1578)</f>
        <v>0</v>
      </c>
      <c r="H1579" s="40">
        <f>SUM(H1577:H1578)</f>
        <v>0</v>
      </c>
    </row>
    <row r="1580" spans="1:8" x14ac:dyDescent="0.3">
      <c r="B1580" s="32"/>
      <c r="C1580" s="32"/>
      <c r="D1580" s="23"/>
      <c r="E1580" s="33"/>
      <c r="F1580" s="33"/>
      <c r="G1580" s="178"/>
      <c r="H1580" s="33"/>
    </row>
    <row r="1581" spans="1:8" ht="18.2" x14ac:dyDescent="0.35">
      <c r="A1581" s="41" t="s">
        <v>30</v>
      </c>
      <c r="C1581" s="32"/>
      <c r="D1581" s="127">
        <f>StartYear</f>
        <v>2016</v>
      </c>
      <c r="E1581" s="2">
        <f>D1581+1</f>
        <v>2017</v>
      </c>
      <c r="F1581" s="2">
        <f>E1581+1</f>
        <v>2018</v>
      </c>
      <c r="G1581" s="2">
        <f>F1581+1</f>
        <v>2019</v>
      </c>
      <c r="H1581" s="2">
        <f>G1581+1</f>
        <v>2020</v>
      </c>
    </row>
    <row r="1582" spans="1:8" x14ac:dyDescent="0.3">
      <c r="B1582" s="64" t="s">
        <v>47</v>
      </c>
      <c r="C1582" s="59"/>
      <c r="D1582" s="183"/>
      <c r="E1582" s="3"/>
      <c r="F1582" s="3"/>
      <c r="G1582" s="3"/>
      <c r="H1582" s="4"/>
    </row>
    <row r="1583" spans="1:8" x14ac:dyDescent="0.3">
      <c r="B1583" s="65" t="s">
        <v>23</v>
      </c>
      <c r="C1583" s="66"/>
      <c r="D1583" s="184"/>
      <c r="E1583" s="146"/>
      <c r="F1583" s="146"/>
      <c r="G1583" s="146"/>
      <c r="H1583" s="147"/>
    </row>
    <row r="1584" spans="1:8" x14ac:dyDescent="0.3">
      <c r="B1584" s="75" t="s">
        <v>89</v>
      </c>
      <c r="C1584" s="74"/>
      <c r="D1584" s="185"/>
      <c r="E1584" s="148"/>
      <c r="F1584" s="148"/>
      <c r="G1584" s="148"/>
      <c r="H1584" s="149"/>
    </row>
    <row r="1585" spans="1:8" x14ac:dyDescent="0.3">
      <c r="B1585" s="35" t="s">
        <v>90</v>
      </c>
      <c r="D1585" s="139">
        <f>SUM(D1582:D1584)</f>
        <v>0</v>
      </c>
      <c r="E1585" s="6">
        <f>SUM(E1582:E1584)</f>
        <v>0</v>
      </c>
      <c r="F1585" s="6">
        <f>SUM(F1582:F1584)</f>
        <v>0</v>
      </c>
      <c r="G1585" s="6">
        <f t="shared" ref="G1585" si="130">SUM(G1582:G1584)</f>
        <v>0</v>
      </c>
      <c r="H1585" s="6">
        <f t="shared" ref="H1585" si="131">SUM(H1582:H1584)</f>
        <v>0</v>
      </c>
    </row>
    <row r="1586" spans="1:8" x14ac:dyDescent="0.3">
      <c r="B1586" s="5"/>
      <c r="D1586" s="139"/>
      <c r="E1586" s="6"/>
      <c r="F1586" s="6"/>
      <c r="G1586" s="176"/>
      <c r="H1586" s="6"/>
    </row>
    <row r="1587" spans="1:8" ht="18.2" x14ac:dyDescent="0.35">
      <c r="A1587" s="8" t="s">
        <v>100</v>
      </c>
      <c r="D1587" s="127">
        <f>StartYear</f>
        <v>2016</v>
      </c>
      <c r="E1587" s="2">
        <f>D1587+1</f>
        <v>2017</v>
      </c>
      <c r="F1587" s="2">
        <f>E1587+1</f>
        <v>2018</v>
      </c>
      <c r="G1587" s="2">
        <f>F1587+1</f>
        <v>2019</v>
      </c>
      <c r="H1587" s="2">
        <f>G1587+1</f>
        <v>2020</v>
      </c>
    </row>
    <row r="1588" spans="1:8" x14ac:dyDescent="0.3">
      <c r="B1588" s="64" t="str">
        <f>(StartYear-1) &amp; " Surplus Applied to " &amp; StartYear</f>
        <v>2015 Surplus Applied to 2016</v>
      </c>
      <c r="C1588" s="32"/>
      <c r="D1588" s="205">
        <v>0</v>
      </c>
      <c r="E1588" s="206"/>
      <c r="F1588" s="206"/>
      <c r="G1588" s="206"/>
      <c r="H1588" s="207"/>
    </row>
    <row r="1589" spans="1:8" x14ac:dyDescent="0.3">
      <c r="B1589" s="64" t="str">
        <f>StartYear &amp; " Surplus Applied to " &amp; (StartYear-1)</f>
        <v>2016 Surplus Applied to 2015</v>
      </c>
      <c r="C1589" s="32"/>
      <c r="D1589" s="208">
        <v>0</v>
      </c>
      <c r="E1589" s="122"/>
      <c r="F1589" s="122"/>
      <c r="G1589" s="122"/>
      <c r="H1589" s="126"/>
    </row>
    <row r="1590" spans="1:8" x14ac:dyDescent="0.3">
      <c r="B1590" s="64" t="str">
        <f>( StartYear) &amp; " Surplus Applied to " &amp; ( StartYear + 1 )</f>
        <v>2016 Surplus Applied to 2017</v>
      </c>
      <c r="C1590" s="32"/>
      <c r="D1590" s="203">
        <f>D1574+D1579-D1585</f>
        <v>0</v>
      </c>
      <c r="E1590" s="204">
        <f>D1590</f>
        <v>0</v>
      </c>
      <c r="F1590" s="199"/>
      <c r="G1590" s="199"/>
      <c r="H1590" s="200"/>
    </row>
    <row r="1591" spans="1:8" x14ac:dyDescent="0.3">
      <c r="B1591" s="64" t="str">
        <f xml:space="preserve"> ( StartYear + 1 ) &amp; " Surplus Applied to " &amp; ( StartYear )</f>
        <v>2017 Surplus Applied to 2016</v>
      </c>
      <c r="C1591" s="59"/>
      <c r="D1591" s="143">
        <v>0</v>
      </c>
      <c r="E1591" s="9">
        <v>0</v>
      </c>
      <c r="F1591" s="122"/>
      <c r="G1591" s="122"/>
      <c r="H1591" s="126"/>
    </row>
    <row r="1592" spans="1:8" x14ac:dyDescent="0.3">
      <c r="B1592" s="128" t="str">
        <f xml:space="preserve"> ( StartYear + 1 ) &amp; " Surplus Applied to " &amp; ( StartYear + 2 )</f>
        <v>2017 Surplus Applied to 2018</v>
      </c>
      <c r="C1592" s="59"/>
      <c r="D1592" s="123"/>
      <c r="E1592" s="9">
        <v>0</v>
      </c>
      <c r="F1592" s="58">
        <f>E1592</f>
        <v>0</v>
      </c>
      <c r="G1592" s="122"/>
      <c r="H1592" s="126"/>
    </row>
    <row r="1593" spans="1:8" x14ac:dyDescent="0.3">
      <c r="B1593" s="128" t="str">
        <f xml:space="preserve"> ( StartYear + 2 ) &amp; " Surplus Applied to " &amp; ( StartYear + 1 )</f>
        <v>2018 Surplus Applied to 2017</v>
      </c>
      <c r="C1593" s="59"/>
      <c r="D1593" s="123"/>
      <c r="E1593" s="58">
        <v>0</v>
      </c>
      <c r="F1593" s="9">
        <v>0</v>
      </c>
      <c r="G1593" s="122"/>
      <c r="H1593" s="126"/>
    </row>
    <row r="1594" spans="1:8" x14ac:dyDescent="0.3">
      <c r="B1594" s="174" t="str">
        <f xml:space="preserve"> ( StartYear + 2 ) &amp; " Surplus Applied to " &amp; ( StartYear + 3 )</f>
        <v>2018 Surplus Applied to 2019</v>
      </c>
      <c r="C1594" s="32"/>
      <c r="D1594" s="123"/>
      <c r="E1594" s="122"/>
      <c r="F1594" s="9">
        <v>0</v>
      </c>
      <c r="G1594" s="58">
        <f>F1594</f>
        <v>0</v>
      </c>
      <c r="H1594" s="126"/>
    </row>
    <row r="1595" spans="1:8" x14ac:dyDescent="0.3">
      <c r="B1595" s="174" t="str">
        <f xml:space="preserve"> ( StartYear + 3 ) &amp; " Surplus Applied to " &amp; ( StartYear + 2 )</f>
        <v>2019 Surplus Applied to 2018</v>
      </c>
      <c r="C1595" s="32"/>
      <c r="D1595" s="123"/>
      <c r="E1595" s="122"/>
      <c r="F1595" s="58">
        <v>0</v>
      </c>
      <c r="G1595" s="9">
        <v>0</v>
      </c>
      <c r="H1595" s="126"/>
    </row>
    <row r="1596" spans="1:8" x14ac:dyDescent="0.3">
      <c r="B1596" s="174" t="str">
        <f xml:space="preserve"> ( StartYear + 3 ) &amp; " Surplus Applied to " &amp; ( StartYear + 4 )</f>
        <v>2019 Surplus Applied to 2020</v>
      </c>
      <c r="C1596" s="32"/>
      <c r="D1596" s="123"/>
      <c r="E1596" s="122"/>
      <c r="F1596" s="122"/>
      <c r="G1596" s="9">
        <f>G1574+G1579-G1585</f>
        <v>0</v>
      </c>
      <c r="H1596" s="53">
        <f>G1596</f>
        <v>0</v>
      </c>
    </row>
    <row r="1597" spans="1:8" x14ac:dyDescent="0.3">
      <c r="B1597" s="174" t="str">
        <f xml:space="preserve"> ( StartYear + 4 ) &amp; " Surplus Applied to " &amp; ( StartYear + 3 )</f>
        <v>2020 Surplus Applied to 2019</v>
      </c>
      <c r="C1597" s="32"/>
      <c r="D1597" s="124"/>
      <c r="E1597" s="125"/>
      <c r="F1597" s="125"/>
      <c r="G1597" s="54">
        <v>0</v>
      </c>
      <c r="H1597" s="46">
        <v>0</v>
      </c>
    </row>
    <row r="1598" spans="1:8" x14ac:dyDescent="0.3">
      <c r="B1598" s="35" t="s">
        <v>17</v>
      </c>
      <c r="D1598" s="6">
        <f>D1588-D1589+D1591-D1590</f>
        <v>0</v>
      </c>
      <c r="E1598" s="6">
        <f>E1590+E1593-E1591-E1592</f>
        <v>0</v>
      </c>
      <c r="F1598" s="6">
        <f>F1592+F1595-F1593-F1594</f>
        <v>0</v>
      </c>
      <c r="G1598" s="6">
        <f>G1594+G1597-G1595-G1596</f>
        <v>0</v>
      </c>
      <c r="H1598" s="6">
        <f>H1596 - H1597</f>
        <v>0</v>
      </c>
    </row>
    <row r="1599" spans="1:8" x14ac:dyDescent="0.3">
      <c r="B1599" s="5"/>
      <c r="D1599" s="139"/>
      <c r="E1599" s="6"/>
      <c r="F1599" s="6"/>
      <c r="G1599" s="6"/>
      <c r="H1599" s="6"/>
    </row>
    <row r="1600" spans="1:8" x14ac:dyDescent="0.3">
      <c r="B1600" s="61" t="s">
        <v>12</v>
      </c>
      <c r="C1600" s="59"/>
      <c r="D1600" s="186"/>
      <c r="E1600" s="82"/>
      <c r="F1600" s="120"/>
      <c r="G1600" s="120"/>
      <c r="H1600" s="83"/>
    </row>
    <row r="1601" spans="1:8" x14ac:dyDescent="0.3">
      <c r="B1601" s="5"/>
      <c r="D1601" s="139"/>
      <c r="E1601" s="6"/>
      <c r="F1601" s="6"/>
      <c r="G1601" s="6"/>
      <c r="H1601" s="6"/>
    </row>
    <row r="1602" spans="1:8" ht="18.2" x14ac:dyDescent="0.35">
      <c r="A1602" s="41" t="s">
        <v>26</v>
      </c>
      <c r="C1602" s="59"/>
      <c r="D1602" s="187">
        <f xml:space="preserve"> D1574 + D1579 - D1585 + D1598 + D1600</f>
        <v>0</v>
      </c>
      <c r="E1602" s="121">
        <f xml:space="preserve"> E1574 + E1579 - E1585 + E1598 + E1600</f>
        <v>0</v>
      </c>
      <c r="F1602" s="121">
        <f t="shared" ref="F1602:H1602" si="132" xml:space="preserve"> F1574 + F1579 - F1585 + F1598 + F1600</f>
        <v>0</v>
      </c>
      <c r="G1602" s="121">
        <f t="shared" si="132"/>
        <v>0</v>
      </c>
      <c r="H1602" s="192">
        <f t="shared" si="132"/>
        <v>0</v>
      </c>
    </row>
    <row r="1603" spans="1:8" x14ac:dyDescent="0.3">
      <c r="B1603" s="5"/>
      <c r="C1603" s="5" t="s">
        <v>169</v>
      </c>
      <c r="D1603" s="139"/>
      <c r="E1603" s="6"/>
      <c r="F1603" s="6"/>
      <c r="G1603" s="31"/>
      <c r="H1603" s="31"/>
    </row>
    <row r="1607" spans="1:8" outlineLevel="1" x14ac:dyDescent="0.3"/>
    <row r="1608" spans="1:8" outlineLevel="1" x14ac:dyDescent="0.3">
      <c r="B1608" s="5" t="s">
        <v>29</v>
      </c>
    </row>
    <row r="1609" spans="1:8" outlineLevel="1" x14ac:dyDescent="0.3">
      <c r="B1609" s="14" t="s">
        <v>0</v>
      </c>
    </row>
    <row r="1610" spans="1:8" outlineLevel="1" x14ac:dyDescent="0.3">
      <c r="B1610" s="16" t="s">
        <v>1</v>
      </c>
    </row>
    <row r="1611" spans="1:8" outlineLevel="1" x14ac:dyDescent="0.3">
      <c r="B1611" s="17" t="s">
        <v>2</v>
      </c>
    </row>
    <row r="1612" spans="1:8" outlineLevel="1" x14ac:dyDescent="0.3"/>
    <row r="1613" spans="1:8" outlineLevel="1" x14ac:dyDescent="0.3">
      <c r="B1613" s="5" t="s">
        <v>28</v>
      </c>
    </row>
    <row r="1614" spans="1:8" outlineLevel="1" x14ac:dyDescent="0.3">
      <c r="B1614" s="240">
        <v>0.2</v>
      </c>
    </row>
    <row r="1615" spans="1:8" outlineLevel="1" x14ac:dyDescent="0.3"/>
    <row r="1616" spans="1:8" outlineLevel="1" x14ac:dyDescent="0.3">
      <c r="B1616" s="5" t="s">
        <v>8</v>
      </c>
    </row>
    <row r="1617" spans="2:2" outlineLevel="1" x14ac:dyDescent="0.3">
      <c r="B1617" s="15">
        <v>2016</v>
      </c>
    </row>
    <row r="1618" spans="2:2" outlineLevel="1" x14ac:dyDescent="0.3"/>
    <row r="1619" spans="2:2" outlineLevel="1" x14ac:dyDescent="0.3">
      <c r="B1619" s="5" t="s">
        <v>106</v>
      </c>
    </row>
    <row r="1620" spans="2:2" outlineLevel="1" x14ac:dyDescent="0.3">
      <c r="B1620" s="14"/>
    </row>
    <row r="1621" spans="2:2" outlineLevel="1" x14ac:dyDescent="0.3">
      <c r="B1621" s="16" t="s">
        <v>107</v>
      </c>
    </row>
    <row r="1622" spans="2:2" outlineLevel="1" x14ac:dyDescent="0.3">
      <c r="B1622" s="16" t="s">
        <v>108</v>
      </c>
    </row>
    <row r="1623" spans="2:2" outlineLevel="1" x14ac:dyDescent="0.3">
      <c r="B1623" s="16" t="s">
        <v>114</v>
      </c>
    </row>
    <row r="1624" spans="2:2" outlineLevel="1" x14ac:dyDescent="0.3">
      <c r="B1624" s="16" t="s">
        <v>112</v>
      </c>
    </row>
    <row r="1625" spans="2:2" outlineLevel="1" x14ac:dyDescent="0.3">
      <c r="B1625" s="16" t="s">
        <v>109</v>
      </c>
    </row>
    <row r="1626" spans="2:2" outlineLevel="1" x14ac:dyDescent="0.3">
      <c r="B1626" s="16" t="s">
        <v>110</v>
      </c>
    </row>
    <row r="1627" spans="2:2" outlineLevel="1" x14ac:dyDescent="0.3">
      <c r="B1627" s="16" t="s">
        <v>113</v>
      </c>
    </row>
    <row r="1628" spans="2:2" outlineLevel="1" x14ac:dyDescent="0.3">
      <c r="B1628" s="16" t="s">
        <v>111</v>
      </c>
    </row>
    <row r="1629" spans="2:2" outlineLevel="1" x14ac:dyDescent="0.3">
      <c r="B1629" s="86" t="s">
        <v>120</v>
      </c>
    </row>
    <row r="1630" spans="2:2" outlineLevel="1" x14ac:dyDescent="0.3"/>
  </sheetData>
  <mergeCells count="3">
    <mergeCell ref="B45:F45"/>
    <mergeCell ref="J49:K49"/>
    <mergeCell ref="J46:P46"/>
  </mergeCells>
  <phoneticPr fontId="7" type="noConversion"/>
  <dataValidations count="2">
    <dataValidation type="list" allowBlank="1" showInputMessage="1" showErrorMessage="1" sqref="F4:G43">
      <formula1>LaborBonus</formula1>
    </dataValidation>
    <dataValidation type="list" allowBlank="1" showInputMessage="1" showErrorMessage="1" sqref="E4:E43">
      <formula1>FacilityTypes</formula1>
    </dataValidation>
  </dataValidations>
  <pageMargins left="0.25" right="0.25" top="0.92" bottom="0.17" header="0.17" footer="0.17"/>
  <pageSetup scale="59" fitToHeight="2" orientation="landscape" r:id="rId1"/>
  <headerFooter alignWithMargins="0"/>
  <rowBreaks count="24" manualBreakCount="24">
    <brk id="47" max="16383" man="1"/>
    <brk id="85" max="16383" man="1"/>
    <brk id="123" max="16383" man="1"/>
    <brk id="162" max="16383" man="1"/>
    <brk id="200" max="16383" man="1"/>
    <brk id="240" max="16383" man="1"/>
    <brk id="278" max="16383" man="1"/>
    <brk id="318" max="16383" man="1"/>
    <brk id="355" max="16383" man="1"/>
    <brk id="396" max="16383" man="1"/>
    <brk id="434" max="7" man="1"/>
    <brk id="474" max="7" man="1"/>
    <brk id="512" max="7" man="1"/>
    <brk id="552" max="7" man="1"/>
    <brk id="590" max="7" man="1"/>
    <brk id="630" max="7" man="1"/>
    <brk id="668" max="7" man="1"/>
    <brk id="708" max="7" man="1"/>
    <brk id="786" max="7" man="1"/>
    <brk id="864" max="7" man="1"/>
    <brk id="942" max="7" man="1"/>
    <brk id="1020" max="7" man="1"/>
    <brk id="1098" max="7" man="1"/>
    <brk id="1566" max="7" man="1"/>
  </rowBreaks>
  <ignoredErrors>
    <ignoredError sqref="D198 D237 D160 D276 D3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workbookViewId="0">
      <selection activeCell="M168" sqref="M168"/>
    </sheetView>
  </sheetViews>
  <sheetFormatPr defaultColWidth="9.109375" defaultRowHeight="13.15" outlineLevelRow="1" x14ac:dyDescent="0.25"/>
  <cols>
    <col min="1" max="1" width="70.6640625" style="87" bestFit="1" customWidth="1"/>
    <col min="2" max="2" width="25.109375" style="87" bestFit="1" customWidth="1"/>
    <col min="3" max="3" width="11.77734375" style="87" customWidth="1"/>
    <col min="4" max="4" width="12.44140625" style="87" customWidth="1"/>
    <col min="5" max="6" width="14.77734375" style="87" customWidth="1"/>
    <col min="7" max="7" width="14.33203125" style="87" customWidth="1"/>
    <col min="8" max="8" width="3.6640625" style="87" customWidth="1"/>
    <col min="9" max="16384" width="9.109375" style="87"/>
  </cols>
  <sheetData>
    <row r="1" spans="1:7" ht="21.3" x14ac:dyDescent="0.4">
      <c r="A1" s="104" t="str">
        <f>"PUGET SOUND ENERGY "&amp;TEXT(StartYear+4,"0000")&amp;" RPS REPORT"</f>
        <v>PUGET SOUND ENERGY 2020 RPS REPORT</v>
      </c>
    </row>
    <row r="2" spans="1:7" ht="21.3" x14ac:dyDescent="0.4">
      <c r="A2" s="104" t="s">
        <v>118</v>
      </c>
    </row>
    <row r="4" spans="1:7" ht="15.05" x14ac:dyDescent="0.3">
      <c r="C4" s="89">
        <f>StartYear</f>
        <v>2016</v>
      </c>
      <c r="D4" s="89">
        <f t="shared" ref="D4:G4" si="0">C4+1</f>
        <v>2017</v>
      </c>
      <c r="E4" s="89">
        <f t="shared" si="0"/>
        <v>2018</v>
      </c>
      <c r="F4" s="89">
        <f t="shared" si="0"/>
        <v>2019</v>
      </c>
      <c r="G4" s="89">
        <f t="shared" si="0"/>
        <v>2020</v>
      </c>
    </row>
    <row r="5" spans="1:7" ht="15.05" x14ac:dyDescent="0.3">
      <c r="A5" s="88" t="str">
        <f t="array" ref="A5:A13">FacilityTypes</f>
        <v>Wind</v>
      </c>
      <c r="C5" s="91">
        <f t="shared" ref="C5:G7" si="1" xml:space="preserve"> SUMIF( $B$19:$B$58, $A5, C$19:C$58 )</f>
        <v>1757710.2000000002</v>
      </c>
      <c r="D5" s="92">
        <f t="shared" si="1"/>
        <v>1767728.6</v>
      </c>
      <c r="E5" s="92">
        <f t="shared" si="1"/>
        <v>1771252</v>
      </c>
      <c r="F5" s="92">
        <f t="shared" si="1"/>
        <v>1800334.6</v>
      </c>
      <c r="G5" s="93">
        <f t="shared" si="1"/>
        <v>3922072.2</v>
      </c>
    </row>
    <row r="6" spans="1:7" ht="15.05" x14ac:dyDescent="0.3">
      <c r="A6" s="88" t="str">
        <v>Solar</v>
      </c>
      <c r="C6" s="95">
        <f t="shared" si="1"/>
        <v>0</v>
      </c>
      <c r="D6" s="96">
        <f t="shared" si="1"/>
        <v>37300</v>
      </c>
      <c r="E6" s="96">
        <f t="shared" si="1"/>
        <v>0</v>
      </c>
      <c r="F6" s="96">
        <f t="shared" si="1"/>
        <v>0</v>
      </c>
      <c r="G6" s="97">
        <f t="shared" si="1"/>
        <v>0</v>
      </c>
    </row>
    <row r="7" spans="1:7" ht="15.05" x14ac:dyDescent="0.3">
      <c r="A7" s="88" t="str">
        <v>Water (Incremental Hydro)</v>
      </c>
      <c r="C7" s="95">
        <f t="shared" si="1"/>
        <v>119024.37899999999</v>
      </c>
      <c r="D7" s="96">
        <f t="shared" ref="D7:G13" si="2" xml:space="preserve"> SUMIF( $B$19:$B$58, $A7, D$19:D$58 )</f>
        <v>105187.99999999999</v>
      </c>
      <c r="E7" s="96">
        <f t="shared" si="2"/>
        <v>125494</v>
      </c>
      <c r="F7" s="96">
        <f t="shared" si="2"/>
        <v>90356</v>
      </c>
      <c r="G7" s="97">
        <f t="shared" si="2"/>
        <v>88091</v>
      </c>
    </row>
    <row r="8" spans="1:7" ht="15.05" x14ac:dyDescent="0.3">
      <c r="A8" s="88" t="str">
        <v>Biomass</v>
      </c>
      <c r="C8" s="95">
        <f t="shared" ref="C8:C13" si="3" xml:space="preserve"> SUMIF( $B$19:$B$58, $A8, C$19:C$58 )</f>
        <v>0</v>
      </c>
      <c r="D8" s="96">
        <f t="shared" si="2"/>
        <v>0</v>
      </c>
      <c r="E8" s="96">
        <f t="shared" si="2"/>
        <v>0</v>
      </c>
      <c r="F8" s="96">
        <f t="shared" si="2"/>
        <v>0</v>
      </c>
      <c r="G8" s="97">
        <f t="shared" si="2"/>
        <v>0</v>
      </c>
    </row>
    <row r="9" spans="1:7" ht="15.05" x14ac:dyDescent="0.3">
      <c r="A9" s="88" t="str">
        <v>Geothermal</v>
      </c>
      <c r="C9" s="95">
        <f t="shared" si="3"/>
        <v>0</v>
      </c>
      <c r="D9" s="96">
        <f t="shared" si="2"/>
        <v>0</v>
      </c>
      <c r="E9" s="96">
        <f t="shared" si="2"/>
        <v>0</v>
      </c>
      <c r="F9" s="96">
        <f t="shared" si="2"/>
        <v>0</v>
      </c>
      <c r="G9" s="97">
        <f t="shared" si="2"/>
        <v>0</v>
      </c>
    </row>
    <row r="10" spans="1:7" ht="15.05" x14ac:dyDescent="0.3">
      <c r="A10" s="88" t="str">
        <v>Landfill Gas</v>
      </c>
      <c r="C10" s="95">
        <f t="shared" si="3"/>
        <v>0</v>
      </c>
      <c r="D10" s="96">
        <f t="shared" si="2"/>
        <v>0</v>
      </c>
      <c r="E10" s="96">
        <f t="shared" si="2"/>
        <v>0</v>
      </c>
      <c r="F10" s="96">
        <f t="shared" si="2"/>
        <v>0</v>
      </c>
      <c r="G10" s="97">
        <f t="shared" si="2"/>
        <v>2361</v>
      </c>
    </row>
    <row r="11" spans="1:7" ht="15.05" x14ac:dyDescent="0.3">
      <c r="A11" s="88" t="str">
        <v>Sewage Treatment Gas</v>
      </c>
      <c r="C11" s="95">
        <f t="shared" si="3"/>
        <v>0</v>
      </c>
      <c r="D11" s="96">
        <f t="shared" si="2"/>
        <v>0</v>
      </c>
      <c r="E11" s="96">
        <f t="shared" si="2"/>
        <v>0</v>
      </c>
      <c r="F11" s="96">
        <f t="shared" si="2"/>
        <v>0</v>
      </c>
      <c r="G11" s="97">
        <f t="shared" si="2"/>
        <v>0</v>
      </c>
    </row>
    <row r="12" spans="1:7" ht="15.05" x14ac:dyDescent="0.3">
      <c r="A12" s="88" t="str">
        <v>Wave, Ocean, Tidal</v>
      </c>
      <c r="C12" s="95">
        <f t="shared" si="3"/>
        <v>0</v>
      </c>
      <c r="D12" s="96">
        <f t="shared" si="2"/>
        <v>0</v>
      </c>
      <c r="E12" s="96">
        <f t="shared" si="2"/>
        <v>0</v>
      </c>
      <c r="F12" s="96">
        <f t="shared" si="2"/>
        <v>0</v>
      </c>
      <c r="G12" s="97">
        <f t="shared" si="2"/>
        <v>0</v>
      </c>
    </row>
    <row r="13" spans="1:7" ht="15.05" x14ac:dyDescent="0.3">
      <c r="A13" s="88" t="str">
        <v>Biodiesel Fuel</v>
      </c>
      <c r="C13" s="99">
        <f t="shared" si="3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1">
        <f t="shared" si="2"/>
        <v>0</v>
      </c>
    </row>
    <row r="14" spans="1:7" ht="15.65" x14ac:dyDescent="0.3">
      <c r="A14" s="105"/>
      <c r="B14" s="106"/>
      <c r="C14" s="106">
        <f t="shared" ref="C14:G14" si="4">SUM(C4:C13)</f>
        <v>1878750.5790000001</v>
      </c>
      <c r="D14" s="106">
        <f t="shared" si="4"/>
        <v>1912233.6</v>
      </c>
      <c r="E14" s="106">
        <f t="shared" si="4"/>
        <v>1898764</v>
      </c>
      <c r="F14" s="106">
        <f t="shared" si="4"/>
        <v>1892709.6</v>
      </c>
      <c r="G14" s="106">
        <f t="shared" si="4"/>
        <v>4014544.2</v>
      </c>
    </row>
    <row r="15" spans="1:7" x14ac:dyDescent="0.25">
      <c r="C15" s="239"/>
      <c r="D15" s="239"/>
      <c r="E15" s="239"/>
      <c r="F15" s="239"/>
      <c r="G15" s="239"/>
    </row>
    <row r="16" spans="1:7" x14ac:dyDescent="0.25">
      <c r="C16" s="239"/>
      <c r="D16" s="239"/>
      <c r="E16" s="239"/>
      <c r="F16" s="239"/>
      <c r="G16" s="239"/>
    </row>
    <row r="17" spans="1:8" ht="15.05" outlineLevel="1" x14ac:dyDescent="0.3">
      <c r="G17" s="102"/>
    </row>
    <row r="18" spans="1:8" ht="15.05" outlineLevel="1" x14ac:dyDescent="0.3">
      <c r="A18" s="103" t="s">
        <v>48</v>
      </c>
      <c r="B18" s="102" t="s">
        <v>115</v>
      </c>
      <c r="C18" s="102">
        <f>StartYear</f>
        <v>2016</v>
      </c>
      <c r="D18" s="102">
        <f t="shared" ref="D18:G18" si="5">C18+1</f>
        <v>2017</v>
      </c>
      <c r="E18" s="102">
        <f t="shared" si="5"/>
        <v>2018</v>
      </c>
      <c r="F18" s="102">
        <f t="shared" si="5"/>
        <v>2019</v>
      </c>
      <c r="G18" s="102">
        <f t="shared" si="5"/>
        <v>2020</v>
      </c>
      <c r="H18" s="135"/>
    </row>
    <row r="19" spans="1:8" ht="15.05" outlineLevel="1" x14ac:dyDescent="0.3">
      <c r="A19" s="90" t="str">
        <f t="array" ref="A19:A58">Facilities</f>
        <v>Wild Horse</v>
      </c>
      <c r="B19" s="188" t="str">
        <f t="shared" ref="B19:B58" si="6">VLOOKUP(A19,Facilities,4,FALSE)</f>
        <v>Wind</v>
      </c>
      <c r="C19" s="233">
        <f>'Facility Detail'!D83</f>
        <v>469503</v>
      </c>
      <c r="D19" s="234">
        <f>'Facility Detail'!E83</f>
        <v>305994</v>
      </c>
      <c r="E19" s="234">
        <f>'Facility Detail'!F83</f>
        <v>471878</v>
      </c>
      <c r="F19" s="234">
        <f>'Facility Detail'!G83</f>
        <v>334325</v>
      </c>
      <c r="G19" s="235">
        <f>'Facility Detail'!H83</f>
        <v>821192</v>
      </c>
    </row>
    <row r="20" spans="1:8" ht="15.05" outlineLevel="1" x14ac:dyDescent="0.3">
      <c r="A20" s="94" t="str">
        <v>Hopkins Ridge</v>
      </c>
      <c r="B20" s="94" t="str">
        <f t="shared" si="6"/>
        <v>Wind</v>
      </c>
      <c r="C20" s="236">
        <f>'Facility Detail'!D121</f>
        <v>238385</v>
      </c>
      <c r="D20" s="237">
        <f>'Facility Detail'!E121</f>
        <v>207498</v>
      </c>
      <c r="E20" s="237">
        <f>'Facility Detail'!F121</f>
        <v>255144</v>
      </c>
      <c r="F20" s="237">
        <f>'Facility Detail'!G121</f>
        <v>215750</v>
      </c>
      <c r="G20" s="238">
        <f>'Facility Detail'!H121</f>
        <v>671310</v>
      </c>
    </row>
    <row r="21" spans="1:8" ht="15.05" outlineLevel="1" x14ac:dyDescent="0.3">
      <c r="A21" s="94" t="str">
        <v>Klondike III</v>
      </c>
      <c r="B21" s="94" t="str">
        <f t="shared" si="6"/>
        <v>Wind</v>
      </c>
      <c r="C21" s="236">
        <f>'Facility Detail'!D160</f>
        <v>60908</v>
      </c>
      <c r="D21" s="237">
        <f>'Facility Detail'!E160</f>
        <v>64389</v>
      </c>
      <c r="E21" s="237">
        <f>'Facility Detail'!F160</f>
        <v>53421</v>
      </c>
      <c r="F21" s="237">
        <f>'Facility Detail'!G160</f>
        <v>61829</v>
      </c>
      <c r="G21" s="238">
        <f>'Facility Detail'!H160</f>
        <v>206948</v>
      </c>
    </row>
    <row r="22" spans="1:8" ht="15.05" outlineLevel="1" x14ac:dyDescent="0.3">
      <c r="A22" s="94" t="str">
        <v>Wild Horse Phase II</v>
      </c>
      <c r="B22" s="94" t="str">
        <f t="shared" si="6"/>
        <v>Wind</v>
      </c>
      <c r="C22" s="236">
        <f>'Facility Detail'!D198</f>
        <v>106431.6</v>
      </c>
      <c r="D22" s="237">
        <f>'Facility Detail'!E198</f>
        <v>130423.2</v>
      </c>
      <c r="E22" s="237">
        <f>'Facility Detail'!F198</f>
        <v>119241.60000000001</v>
      </c>
      <c r="F22" s="237">
        <f>'Facility Detail'!G198</f>
        <v>124154.4</v>
      </c>
      <c r="G22" s="238">
        <f>'Facility Detail'!H198</f>
        <v>228346.8</v>
      </c>
    </row>
    <row r="23" spans="1:8" ht="15.05" outlineLevel="1" x14ac:dyDescent="0.3">
      <c r="A23" s="94" t="str">
        <v>Hopkins Ridge Phase II</v>
      </c>
      <c r="B23" s="94" t="str">
        <f t="shared" si="6"/>
        <v>Wind</v>
      </c>
      <c r="C23" s="236">
        <f>'Facility Detail'!D237</f>
        <v>14879</v>
      </c>
      <c r="D23" s="237">
        <f>'Facility Detail'!E237</f>
        <v>10000</v>
      </c>
      <c r="E23" s="237">
        <f>'Facility Detail'!F237</f>
        <v>15881</v>
      </c>
      <c r="F23" s="237">
        <f>'Facility Detail'!G237</f>
        <v>8722</v>
      </c>
      <c r="G23" s="238">
        <f>'Facility Detail'!H237</f>
        <v>33200</v>
      </c>
    </row>
    <row r="24" spans="1:8" ht="15.05" outlineLevel="1" x14ac:dyDescent="0.3">
      <c r="A24" s="94" t="str">
        <v>Lower Snake River - Dodge Junction</v>
      </c>
      <c r="B24" s="94" t="str">
        <f t="shared" si="6"/>
        <v>Wind</v>
      </c>
      <c r="C24" s="236">
        <f>'Facility Detail'!D276</f>
        <v>505872</v>
      </c>
      <c r="D24" s="237">
        <f>'Facility Detail'!E276</f>
        <v>600880.80000000005</v>
      </c>
      <c r="E24" s="237">
        <f>'Facility Detail'!F276</f>
        <v>496567.2</v>
      </c>
      <c r="F24" s="237">
        <f>'Facility Detail'!G276</f>
        <v>609891.6</v>
      </c>
      <c r="G24" s="238">
        <f>'Facility Detail'!H276</f>
        <v>1003069.2</v>
      </c>
    </row>
    <row r="25" spans="1:8" ht="15.05" outlineLevel="1" x14ac:dyDescent="0.3">
      <c r="A25" s="94" t="str">
        <v>Lower Snake River - Phalen Gulch</v>
      </c>
      <c r="B25" s="94" t="str">
        <f t="shared" si="6"/>
        <v>Wind</v>
      </c>
      <c r="C25" s="236">
        <f>'Facility Detail'!D315</f>
        <v>361731.6</v>
      </c>
      <c r="D25" s="237">
        <f>'Facility Detail'!E315</f>
        <v>441543.6</v>
      </c>
      <c r="E25" s="237">
        <f>'Facility Detail'!F315</f>
        <v>359119.2</v>
      </c>
      <c r="F25" s="237">
        <f>'Facility Detail'!G315</f>
        <v>444981.6</v>
      </c>
      <c r="G25" s="238">
        <f>'Facility Detail'!H315</f>
        <v>730663.2</v>
      </c>
    </row>
    <row r="26" spans="1:8" ht="15.05" outlineLevel="1" x14ac:dyDescent="0.3">
      <c r="A26" s="94" t="str">
        <v>Wanapum Fish Bypass</v>
      </c>
      <c r="B26" s="94" t="str">
        <f t="shared" si="6"/>
        <v>Water (Incremental Hydro)</v>
      </c>
      <c r="C26" s="236">
        <f>'Facility Detail'!D354</f>
        <v>0</v>
      </c>
      <c r="D26" s="237">
        <f>'Facility Detail'!E354</f>
        <v>0</v>
      </c>
      <c r="E26" s="237">
        <f>'Facility Detail'!F354</f>
        <v>0</v>
      </c>
      <c r="F26" s="237">
        <f>'Facility Detail'!G354</f>
        <v>0</v>
      </c>
      <c r="G26" s="238">
        <f>'Facility Detail'!H354</f>
        <v>0</v>
      </c>
    </row>
    <row r="27" spans="1:8" ht="15.05" outlineLevel="1" x14ac:dyDescent="0.3">
      <c r="A27" s="94" t="str">
        <v>Baker River Project</v>
      </c>
      <c r="B27" s="94" t="str">
        <f t="shared" si="6"/>
        <v>Water (Incremental Hydro)</v>
      </c>
      <c r="C27" s="236">
        <f>'Facility Detail'!D393</f>
        <v>101549.73899999999</v>
      </c>
      <c r="D27" s="237">
        <f>'Facility Detail'!E393</f>
        <v>88578.999999999985</v>
      </c>
      <c r="E27" s="237">
        <f>'Facility Detail'!F393</f>
        <v>108971</v>
      </c>
      <c r="F27" s="237">
        <f>'Facility Detail'!G393</f>
        <v>74606</v>
      </c>
      <c r="G27" s="238">
        <f>'Facility Detail'!H393</f>
        <v>70693</v>
      </c>
    </row>
    <row r="28" spans="1:8" ht="15.05" outlineLevel="1" x14ac:dyDescent="0.3">
      <c r="A28" s="94" t="str">
        <v>Snoqualmie Falls Project</v>
      </c>
      <c r="B28" s="94" t="str">
        <f t="shared" si="6"/>
        <v>Water (Incremental Hydro)</v>
      </c>
      <c r="C28" s="236">
        <f>'Facility Detail'!D432</f>
        <v>17474.640000000003</v>
      </c>
      <c r="D28" s="237">
        <f>'Facility Detail'!E432</f>
        <v>16609</v>
      </c>
      <c r="E28" s="237">
        <f>'Facility Detail'!F432</f>
        <v>16523</v>
      </c>
      <c r="F28" s="237">
        <f>'Facility Detail'!G432</f>
        <v>15750</v>
      </c>
      <c r="G28" s="238">
        <f>'Facility Detail'!H432</f>
        <v>17398</v>
      </c>
    </row>
    <row r="29" spans="1:8" ht="15.05" outlineLevel="1" x14ac:dyDescent="0.3">
      <c r="A29" s="94" t="str">
        <v>Klondike 1--REC only**</v>
      </c>
      <c r="B29" s="94" t="str">
        <f t="shared" si="6"/>
        <v>Wind</v>
      </c>
      <c r="C29" s="236">
        <f>'Facility Detail'!D471</f>
        <v>0</v>
      </c>
      <c r="D29" s="237">
        <f>'Facility Detail'!E471</f>
        <v>968</v>
      </c>
      <c r="E29" s="237">
        <f>'Facility Detail'!F471</f>
        <v>0</v>
      </c>
      <c r="F29" s="237">
        <f>'Facility Detail'!G471</f>
        <v>0</v>
      </c>
      <c r="G29" s="238">
        <f>'Facility Detail'!H471</f>
        <v>0</v>
      </c>
    </row>
    <row r="30" spans="1:8" ht="15.05" outlineLevel="1" x14ac:dyDescent="0.3">
      <c r="A30" s="94" t="str">
        <v>Stateline WA Wind--REC Only **</v>
      </c>
      <c r="B30" s="94" t="str">
        <f t="shared" si="6"/>
        <v>Wind</v>
      </c>
      <c r="C30" s="236">
        <f>'Facility Detail'!D510</f>
        <v>0</v>
      </c>
      <c r="D30" s="237">
        <f>'Facility Detail'!E510</f>
        <v>3890</v>
      </c>
      <c r="E30" s="237">
        <f>'Facility Detail'!F510</f>
        <v>0</v>
      </c>
      <c r="F30" s="237">
        <f>'Facility Detail'!G510</f>
        <v>0</v>
      </c>
      <c r="G30" s="238">
        <f>'Facility Detail'!H510</f>
        <v>0</v>
      </c>
    </row>
    <row r="31" spans="1:8" ht="15.05" outlineLevel="1" x14ac:dyDescent="0.3">
      <c r="A31" s="94" t="str">
        <v>Horse Butte Wind--REC only **</v>
      </c>
      <c r="B31" s="94" t="str">
        <f t="shared" si="6"/>
        <v>Wind</v>
      </c>
      <c r="C31" s="236">
        <f>'Facility Detail'!D549</f>
        <v>0</v>
      </c>
      <c r="D31" s="237">
        <f>'Facility Detail'!E549</f>
        <v>27</v>
      </c>
      <c r="E31" s="237">
        <f>'Facility Detail'!F549</f>
        <v>0</v>
      </c>
      <c r="F31" s="237">
        <f>'Facility Detail'!G549</f>
        <v>0</v>
      </c>
      <c r="G31" s="238">
        <f>'Facility Detail'!H549</f>
        <v>0</v>
      </c>
    </row>
    <row r="32" spans="1:8" ht="15.05" outlineLevel="1" x14ac:dyDescent="0.3">
      <c r="A32" s="94" t="str">
        <v>Grand View 5 East--REC Only**</v>
      </c>
      <c r="B32" s="94" t="str">
        <f t="shared" si="6"/>
        <v>Solar</v>
      </c>
      <c r="C32" s="236">
        <f>'Facility Detail'!D588</f>
        <v>0</v>
      </c>
      <c r="D32" s="237">
        <f>'Facility Detail'!E588</f>
        <v>6741</v>
      </c>
      <c r="E32" s="237">
        <f>'Facility Detail'!F588</f>
        <v>0</v>
      </c>
      <c r="F32" s="237">
        <f>'Facility Detail'!G588</f>
        <v>0</v>
      </c>
      <c r="G32" s="238">
        <f>'Facility Detail'!H588</f>
        <v>0</v>
      </c>
    </row>
    <row r="33" spans="1:7" ht="15.05" outlineLevel="1" x14ac:dyDescent="0.3">
      <c r="A33" s="94" t="str">
        <v>Grand View 2 West--REC Only **</v>
      </c>
      <c r="B33" s="94" t="str">
        <f t="shared" si="6"/>
        <v>Solar</v>
      </c>
      <c r="C33" s="236">
        <f>'Facility Detail'!D627</f>
        <v>0</v>
      </c>
      <c r="D33" s="237">
        <f>'Facility Detail'!E627</f>
        <v>18511</v>
      </c>
      <c r="E33" s="237">
        <f>'Facility Detail'!F627</f>
        <v>0</v>
      </c>
      <c r="F33" s="237">
        <f>'Facility Detail'!G627</f>
        <v>0</v>
      </c>
      <c r="G33" s="238">
        <f>'Facility Detail'!H627</f>
        <v>0</v>
      </c>
    </row>
    <row r="34" spans="1:7" ht="15.05" outlineLevel="1" x14ac:dyDescent="0.3">
      <c r="A34" s="94" t="str">
        <v>ID Solar 1 -- REC Only **</v>
      </c>
      <c r="B34" s="94" t="str">
        <f t="shared" si="6"/>
        <v>Solar</v>
      </c>
      <c r="C34" s="236">
        <f>'Facility Detail'!D666</f>
        <v>0</v>
      </c>
      <c r="D34" s="237">
        <f>'Facility Detail'!E666</f>
        <v>12048</v>
      </c>
      <c r="E34" s="237">
        <f>'Facility Detail'!F666</f>
        <v>0</v>
      </c>
      <c r="F34" s="237">
        <f>'Facility Detail'!G666</f>
        <v>0</v>
      </c>
      <c r="G34" s="238">
        <f>'Facility Detail'!H666</f>
        <v>0</v>
      </c>
    </row>
    <row r="35" spans="1:7" ht="15.05" outlineLevel="1" x14ac:dyDescent="0.3">
      <c r="A35" s="94" t="str">
        <v>Condon Wind Power -- REC Only **</v>
      </c>
      <c r="B35" s="94" t="str">
        <f t="shared" si="6"/>
        <v>Wind</v>
      </c>
      <c r="C35" s="236">
        <f>'Facility Detail'!D705</f>
        <v>0</v>
      </c>
      <c r="D35" s="237">
        <f>'Facility Detail'!E705</f>
        <v>1046</v>
      </c>
      <c r="E35" s="237">
        <f>'Facility Detail'!F705</f>
        <v>0</v>
      </c>
      <c r="F35" s="237">
        <f>'Facility Detail'!G705</f>
        <v>0</v>
      </c>
      <c r="G35" s="238">
        <f>'Facility Detail'!H705</f>
        <v>0</v>
      </c>
    </row>
    <row r="36" spans="1:7" ht="15.05" outlineLevel="1" x14ac:dyDescent="0.3">
      <c r="A36" s="94" t="str">
        <v>Condon Wind Power Phase II -- REC Only **</v>
      </c>
      <c r="B36" s="94" t="str">
        <f t="shared" si="6"/>
        <v>Wind</v>
      </c>
      <c r="C36" s="236">
        <f>'Facility Detail'!D744</f>
        <v>0</v>
      </c>
      <c r="D36" s="237">
        <f>'Facility Detail'!E744</f>
        <v>1069</v>
      </c>
      <c r="E36" s="237">
        <f>'Facility Detail'!F744</f>
        <v>0</v>
      </c>
      <c r="F36" s="237">
        <f>'Facility Detail'!G744</f>
        <v>0</v>
      </c>
      <c r="G36" s="238">
        <f>'Facility Detail'!H744</f>
        <v>0</v>
      </c>
    </row>
    <row r="37" spans="1:7" ht="15.05" outlineLevel="1" x14ac:dyDescent="0.3">
      <c r="A37" s="94" t="str">
        <v>Camp Reed Wind Park - Camp Reed Wind Park -- REC Only **</v>
      </c>
      <c r="B37" s="94" t="str">
        <f t="shared" si="6"/>
        <v>Wind</v>
      </c>
      <c r="C37" s="236">
        <f>'Facility Detail'!D783</f>
        <v>0</v>
      </c>
      <c r="D37" s="237">
        <f>'Facility Detail'!E783</f>
        <v>0</v>
      </c>
      <c r="E37" s="237">
        <f>'Facility Detail'!F783</f>
        <v>0</v>
      </c>
      <c r="F37" s="237">
        <f>'Facility Detail'!G783</f>
        <v>0</v>
      </c>
      <c r="G37" s="238">
        <f>'Facility Detail'!H783</f>
        <v>18037</v>
      </c>
    </row>
    <row r="38" spans="1:7" ht="15.05" outlineLevel="1" x14ac:dyDescent="0.3">
      <c r="A38" s="94" t="str">
        <v>Golden Valley Wind Park - Golden Valley Wind Park -- REC Only **</v>
      </c>
      <c r="B38" s="94" t="str">
        <f t="shared" si="6"/>
        <v>Wind</v>
      </c>
      <c r="C38" s="236">
        <f>'Facility Detail'!D822</f>
        <v>0</v>
      </c>
      <c r="D38" s="237">
        <f>'Facility Detail'!E822</f>
        <v>0</v>
      </c>
      <c r="E38" s="237">
        <f>'Facility Detail'!F822</f>
        <v>0</v>
      </c>
      <c r="F38" s="237">
        <f>'Facility Detail'!G822</f>
        <v>0</v>
      </c>
      <c r="G38" s="238">
        <f>'Facility Detail'!H822</f>
        <v>8707</v>
      </c>
    </row>
    <row r="39" spans="1:7" ht="15.05" outlineLevel="1" x14ac:dyDescent="0.3">
      <c r="A39" s="94" t="str">
        <v>Klondike III - Klondike Wind Power III LLC -- REC Only **</v>
      </c>
      <c r="B39" s="94" t="str">
        <f t="shared" si="6"/>
        <v>Wind</v>
      </c>
      <c r="C39" s="236">
        <f>'Facility Detail'!D861</f>
        <v>0</v>
      </c>
      <c r="D39" s="237">
        <f>'Facility Detail'!E861</f>
        <v>0</v>
      </c>
      <c r="E39" s="237">
        <f>'Facility Detail'!F861</f>
        <v>0</v>
      </c>
      <c r="F39" s="237">
        <f>'Facility Detail'!G861</f>
        <v>0</v>
      </c>
      <c r="G39" s="238">
        <f>'Facility Detail'!H861</f>
        <v>15341</v>
      </c>
    </row>
    <row r="40" spans="1:7" ht="15.05" outlineLevel="1" x14ac:dyDescent="0.3">
      <c r="A40" s="94" t="str">
        <v>Meadow Creek Wind Farm - Five Pine Project -- REC Only **</v>
      </c>
      <c r="B40" s="94" t="str">
        <f t="shared" si="6"/>
        <v>Wind</v>
      </c>
      <c r="C40" s="236">
        <f>'Facility Detail'!D900</f>
        <v>0</v>
      </c>
      <c r="D40" s="237">
        <f>'Facility Detail'!E900</f>
        <v>0</v>
      </c>
      <c r="E40" s="237">
        <f>'Facility Detail'!F900</f>
        <v>0</v>
      </c>
      <c r="F40" s="237">
        <f>'Facility Detail'!G900</f>
        <v>0</v>
      </c>
      <c r="G40" s="238">
        <f>'Facility Detail'!H900</f>
        <v>25276</v>
      </c>
    </row>
    <row r="41" spans="1:7" ht="15.05" outlineLevel="1" x14ac:dyDescent="0.3">
      <c r="A41" s="94" t="str">
        <v>Meadow Creek Wind Farm - North Point Wind Farm -- REC Only **</v>
      </c>
      <c r="B41" s="94" t="str">
        <f t="shared" si="6"/>
        <v>Wind</v>
      </c>
      <c r="C41" s="236">
        <f>'Facility Detail'!D939</f>
        <v>0</v>
      </c>
      <c r="D41" s="237">
        <f>'Facility Detail'!E939</f>
        <v>0</v>
      </c>
      <c r="E41" s="237">
        <f>'Facility Detail'!F939</f>
        <v>0</v>
      </c>
      <c r="F41" s="237">
        <f>'Facility Detail'!G939</f>
        <v>0</v>
      </c>
      <c r="G41" s="238">
        <f>'Facility Detail'!H939</f>
        <v>49724</v>
      </c>
    </row>
    <row r="42" spans="1:7" ht="15.05" outlineLevel="1" x14ac:dyDescent="0.3">
      <c r="A42" s="94" t="str">
        <v>Mountain Air Wind Projects - Mountain Air Wind Projects -- REC Only **</v>
      </c>
      <c r="B42" s="94" t="str">
        <f t="shared" si="6"/>
        <v>Wind</v>
      </c>
      <c r="C42" s="236">
        <f>'Facility Detail'!D978</f>
        <v>0</v>
      </c>
      <c r="D42" s="237">
        <f>'Facility Detail'!E978</f>
        <v>0</v>
      </c>
      <c r="E42" s="237">
        <f>'Facility Detail'!F978</f>
        <v>0</v>
      </c>
      <c r="F42" s="237">
        <f>'Facility Detail'!G978</f>
        <v>681</v>
      </c>
      <c r="G42" s="238">
        <f>'Facility Detail'!H978</f>
        <v>0</v>
      </c>
    </row>
    <row r="43" spans="1:7" ht="15.05" outlineLevel="1" x14ac:dyDescent="0.3">
      <c r="A43" s="94" t="str">
        <v>Nine Canyon Wind Project - Nine Canyon Phase 3 -- REC Only **</v>
      </c>
      <c r="B43" s="94" t="str">
        <f t="shared" si="6"/>
        <v>Wind</v>
      </c>
      <c r="C43" s="236">
        <f>'Facility Detail'!D1017</f>
        <v>0</v>
      </c>
      <c r="D43" s="237">
        <f>'Facility Detail'!E1017</f>
        <v>0</v>
      </c>
      <c r="E43" s="237">
        <f>'Facility Detail'!F1017</f>
        <v>0</v>
      </c>
      <c r="F43" s="237">
        <f>'Facility Detail'!G1017</f>
        <v>0</v>
      </c>
      <c r="G43" s="238">
        <f>'Facility Detail'!H1017</f>
        <v>3486</v>
      </c>
    </row>
    <row r="44" spans="1:7" ht="15.05" outlineLevel="1" x14ac:dyDescent="0.3">
      <c r="A44" s="94" t="str">
        <v>Oregon Trail Wind Park, LLC - Oregon Trail Wind Park -- REC Only **</v>
      </c>
      <c r="B44" s="94" t="str">
        <f t="shared" si="6"/>
        <v>Wind</v>
      </c>
      <c r="C44" s="236">
        <f>'Facility Detail'!D1056</f>
        <v>0</v>
      </c>
      <c r="D44" s="237">
        <f>'Facility Detail'!E1056</f>
        <v>0</v>
      </c>
      <c r="E44" s="237">
        <f>'Facility Detail'!F1056</f>
        <v>0</v>
      </c>
      <c r="F44" s="237">
        <f>'Facility Detail'!G1056</f>
        <v>0</v>
      </c>
      <c r="G44" s="238">
        <f>'Facility Detail'!H1056</f>
        <v>9879</v>
      </c>
    </row>
    <row r="45" spans="1:7" ht="15.05" outlineLevel="1" x14ac:dyDescent="0.3">
      <c r="A45" s="94" t="str">
        <v>PaTu Wind Farm - PaTu Wind -- REC Only **</v>
      </c>
      <c r="B45" s="94" t="str">
        <f t="shared" si="6"/>
        <v>Wind</v>
      </c>
      <c r="C45" s="236">
        <f>'Facility Detail'!D1095</f>
        <v>0</v>
      </c>
      <c r="D45" s="237">
        <f>'Facility Detail'!E1095</f>
        <v>0</v>
      </c>
      <c r="E45" s="237">
        <f>'Facility Detail'!F1095</f>
        <v>0</v>
      </c>
      <c r="F45" s="237">
        <f>'Facility Detail'!G1095</f>
        <v>0</v>
      </c>
      <c r="G45" s="238">
        <f>'Facility Detail'!H1095</f>
        <v>12375</v>
      </c>
    </row>
    <row r="46" spans="1:7" ht="15.05" outlineLevel="1" x14ac:dyDescent="0.3">
      <c r="A46" s="94" t="str">
        <v>Roseburg LFG - Roseburg LFG Energy -- REC Only **</v>
      </c>
      <c r="B46" s="94" t="str">
        <f t="shared" si="6"/>
        <v>Landfill Gas</v>
      </c>
      <c r="C46" s="236">
        <f>'Facility Detail'!D1134</f>
        <v>0</v>
      </c>
      <c r="D46" s="237">
        <f>'Facility Detail'!E1134</f>
        <v>0</v>
      </c>
      <c r="E46" s="237">
        <f>'Facility Detail'!F1134</f>
        <v>0</v>
      </c>
      <c r="F46" s="237">
        <f>'Facility Detail'!G1134</f>
        <v>0</v>
      </c>
      <c r="G46" s="238">
        <f>'Facility Detail'!H1134</f>
        <v>2361</v>
      </c>
    </row>
    <row r="47" spans="1:7" ht="15.05" outlineLevel="1" x14ac:dyDescent="0.3">
      <c r="A47" s="94" t="str">
        <v>Salmon Falls Wind Park, LLC - Salmon Falls Wind Park -- REC Only **</v>
      </c>
      <c r="B47" s="94" t="str">
        <f t="shared" si="6"/>
        <v>Wind</v>
      </c>
      <c r="C47" s="236">
        <f>'Facility Detail'!D1173</f>
        <v>0</v>
      </c>
      <c r="D47" s="237">
        <f>'Facility Detail'!E1173</f>
        <v>0</v>
      </c>
      <c r="E47" s="237">
        <f>'Facility Detail'!F1173</f>
        <v>0</v>
      </c>
      <c r="F47" s="237">
        <f>'Facility Detail'!G1173</f>
        <v>0</v>
      </c>
      <c r="G47" s="238">
        <f>'Facility Detail'!H1173</f>
        <v>17090</v>
      </c>
    </row>
    <row r="48" spans="1:7" ht="15.05" outlineLevel="1" x14ac:dyDescent="0.3">
      <c r="A48" s="94" t="str">
        <v>Sawtooth Wind Project - Sawtooth Wind Project -- REC Only **</v>
      </c>
      <c r="B48" s="94" t="str">
        <f t="shared" si="6"/>
        <v>Wind</v>
      </c>
      <c r="C48" s="236">
        <f>'Facility Detail'!D1212</f>
        <v>0</v>
      </c>
      <c r="D48" s="237">
        <f>'Facility Detail'!E1212</f>
        <v>0</v>
      </c>
      <c r="E48" s="237">
        <f>'Facility Detail'!F1212</f>
        <v>0</v>
      </c>
      <c r="F48" s="237">
        <f>'Facility Detail'!G1212</f>
        <v>0</v>
      </c>
      <c r="G48" s="238">
        <f>'Facility Detail'!H1212</f>
        <v>30077</v>
      </c>
    </row>
    <row r="49" spans="1:7" ht="15.05" outlineLevel="1" x14ac:dyDescent="0.3">
      <c r="A49" s="94" t="str">
        <v>Thousand Springs Wind Park, LLC - Thousand Springs Wind Park -- REC Only **</v>
      </c>
      <c r="B49" s="94" t="str">
        <f t="shared" si="6"/>
        <v>Wind</v>
      </c>
      <c r="C49" s="236">
        <f>'Facility Detail'!D1251</f>
        <v>0</v>
      </c>
      <c r="D49" s="237">
        <f>'Facility Detail'!E1251</f>
        <v>0</v>
      </c>
      <c r="E49" s="237">
        <f>'Facility Detail'!F1251</f>
        <v>0</v>
      </c>
      <c r="F49" s="237">
        <f>'Facility Detail'!G1251</f>
        <v>0</v>
      </c>
      <c r="G49" s="238">
        <f>'Facility Detail'!H1251</f>
        <v>8681</v>
      </c>
    </row>
    <row r="50" spans="1:7" ht="15.05" outlineLevel="1" x14ac:dyDescent="0.3">
      <c r="A50" s="94" t="str">
        <v>Tuana Gulch Wind Park, LLC - Tuana Gulch Wind Park -- REC Only **</v>
      </c>
      <c r="B50" s="94" t="str">
        <f t="shared" si="6"/>
        <v>Wind</v>
      </c>
      <c r="C50" s="236">
        <f>'Facility Detail'!D1290</f>
        <v>0</v>
      </c>
      <c r="D50" s="237">
        <f>'Facility Detail'!E1290</f>
        <v>0</v>
      </c>
      <c r="E50" s="237">
        <f>'Facility Detail'!F1290</f>
        <v>0</v>
      </c>
      <c r="F50" s="237">
        <f>'Facility Detail'!G1290</f>
        <v>0</v>
      </c>
      <c r="G50" s="238">
        <f>'Facility Detail'!H1290</f>
        <v>7912</v>
      </c>
    </row>
    <row r="51" spans="1:7" ht="15.05" outlineLevel="1" x14ac:dyDescent="0.3">
      <c r="A51" s="94" t="str">
        <v>Tuana Springs Energy, LLC - Tuana Springs -- REC Only **</v>
      </c>
      <c r="B51" s="94" t="str">
        <f t="shared" si="6"/>
        <v>Wind</v>
      </c>
      <c r="C51" s="236">
        <f>'Facility Detail'!D1329</f>
        <v>0</v>
      </c>
      <c r="D51" s="237">
        <f>'Facility Detail'!E1329</f>
        <v>0</v>
      </c>
      <c r="E51" s="237">
        <f>'Facility Detail'!F1329</f>
        <v>0</v>
      </c>
      <c r="F51" s="237">
        <f>'Facility Detail'!G1329</f>
        <v>0</v>
      </c>
      <c r="G51" s="238">
        <f>'Facility Detail'!H1329</f>
        <v>17961</v>
      </c>
    </row>
    <row r="52" spans="1:7" ht="15.05" outlineLevel="1" x14ac:dyDescent="0.3">
      <c r="A52" s="94" t="str">
        <v>White Creek Wind 1 - White Creek -- REC Only **</v>
      </c>
      <c r="B52" s="94" t="str">
        <f t="shared" si="6"/>
        <v>Wind</v>
      </c>
      <c r="C52" s="236">
        <f>'Facility Detail'!D1368</f>
        <v>0</v>
      </c>
      <c r="D52" s="237">
        <f>'Facility Detail'!E1368</f>
        <v>0</v>
      </c>
      <c r="E52" s="237">
        <f>'Facility Detail'!F1368</f>
        <v>0</v>
      </c>
      <c r="F52" s="237">
        <f>'Facility Detail'!G1368</f>
        <v>0</v>
      </c>
      <c r="G52" s="238">
        <f>'Facility Detail'!H1368</f>
        <v>2797</v>
      </c>
    </row>
    <row r="53" spans="1:7" ht="15.05" outlineLevel="1" x14ac:dyDescent="0.3">
      <c r="A53" s="94" t="str">
        <v>Facility 35</v>
      </c>
      <c r="B53" s="94">
        <f t="shared" si="6"/>
        <v>0</v>
      </c>
      <c r="C53" s="236">
        <f>'Facility Detail'!D1407</f>
        <v>0</v>
      </c>
      <c r="D53" s="237">
        <f>'Facility Detail'!E1407</f>
        <v>0</v>
      </c>
      <c r="E53" s="237">
        <f>'Facility Detail'!F1407</f>
        <v>0</v>
      </c>
      <c r="F53" s="237">
        <f>'Facility Detail'!G1407</f>
        <v>0</v>
      </c>
      <c r="G53" s="238">
        <f>'Facility Detail'!H1407</f>
        <v>0</v>
      </c>
    </row>
    <row r="54" spans="1:7" ht="15.05" outlineLevel="1" x14ac:dyDescent="0.3">
      <c r="A54" s="94" t="str">
        <v>Facility 36</v>
      </c>
      <c r="B54" s="94">
        <f t="shared" si="6"/>
        <v>0</v>
      </c>
      <c r="C54" s="236">
        <f>'Facility Detail'!D1446</f>
        <v>0</v>
      </c>
      <c r="D54" s="237">
        <f>'Facility Detail'!E1446</f>
        <v>0</v>
      </c>
      <c r="E54" s="237">
        <f>'Facility Detail'!F1446</f>
        <v>0</v>
      </c>
      <c r="F54" s="237">
        <f>'Facility Detail'!G1446</f>
        <v>0</v>
      </c>
      <c r="G54" s="238">
        <f>'Facility Detail'!H1446</f>
        <v>0</v>
      </c>
    </row>
    <row r="55" spans="1:7" ht="15.05" outlineLevel="1" x14ac:dyDescent="0.3">
      <c r="A55" s="94" t="str">
        <v>Facility 37</v>
      </c>
      <c r="B55" s="94">
        <f t="shared" si="6"/>
        <v>0</v>
      </c>
      <c r="C55" s="227">
        <f>'Facility Detail'!D1485</f>
        <v>0</v>
      </c>
      <c r="D55" s="228">
        <f>'Facility Detail'!E1485</f>
        <v>0</v>
      </c>
      <c r="E55" s="228">
        <f>'Facility Detail'!F1485</f>
        <v>0</v>
      </c>
      <c r="F55" s="228">
        <f>'Facility Detail'!G1485</f>
        <v>0</v>
      </c>
      <c r="G55" s="229">
        <f>'Facility Detail'!H1485</f>
        <v>0</v>
      </c>
    </row>
    <row r="56" spans="1:7" ht="15.05" outlineLevel="1" x14ac:dyDescent="0.3">
      <c r="A56" s="94" t="str">
        <v>Facility 38</v>
      </c>
      <c r="B56" s="94">
        <f t="shared" si="6"/>
        <v>0</v>
      </c>
      <c r="C56" s="227">
        <f>'Facility Detail'!D1524</f>
        <v>0</v>
      </c>
      <c r="D56" s="228">
        <f>'Facility Detail'!E1524</f>
        <v>0</v>
      </c>
      <c r="E56" s="228">
        <f>'Facility Detail'!F1524</f>
        <v>0</v>
      </c>
      <c r="F56" s="228">
        <f>'Facility Detail'!G1524</f>
        <v>0</v>
      </c>
      <c r="G56" s="229">
        <f>'Facility Detail'!H1524</f>
        <v>0</v>
      </c>
    </row>
    <row r="57" spans="1:7" ht="15.05" outlineLevel="1" x14ac:dyDescent="0.3">
      <c r="A57" s="94" t="str">
        <v>Facility 39</v>
      </c>
      <c r="B57" s="94">
        <f t="shared" si="6"/>
        <v>0</v>
      </c>
      <c r="C57" s="227">
        <f>'Facility Detail'!D1563</f>
        <v>0</v>
      </c>
      <c r="D57" s="228">
        <f>'Facility Detail'!E1563</f>
        <v>0</v>
      </c>
      <c r="E57" s="228">
        <f>'Facility Detail'!F1563</f>
        <v>0</v>
      </c>
      <c r="F57" s="228">
        <f>'Facility Detail'!G1563</f>
        <v>0</v>
      </c>
      <c r="G57" s="229">
        <f>'Facility Detail'!H1563</f>
        <v>0</v>
      </c>
    </row>
    <row r="58" spans="1:7" ht="15.05" outlineLevel="1" x14ac:dyDescent="0.3">
      <c r="A58" s="98" t="str">
        <v>Facility 40</v>
      </c>
      <c r="B58" s="98">
        <f t="shared" si="6"/>
        <v>0</v>
      </c>
      <c r="C58" s="99">
        <f>'Facility Detail'!D1602</f>
        <v>0</v>
      </c>
      <c r="D58" s="100">
        <f>'Facility Detail'!E1602</f>
        <v>0</v>
      </c>
      <c r="E58" s="100">
        <f>'Facility Detail'!F1602</f>
        <v>0</v>
      </c>
      <c r="F58" s="100">
        <f>'Facility Detail'!G1602</f>
        <v>0</v>
      </c>
      <c r="G58" s="101">
        <f>'Facility Detail'!H1602</f>
        <v>0</v>
      </c>
    </row>
    <row r="59" spans="1:7" ht="15.65" outlineLevel="1" x14ac:dyDescent="0.3">
      <c r="C59" s="106">
        <f t="shared" ref="C59:G59" si="7">SUM(C18:C58)</f>
        <v>1878750.5790000001</v>
      </c>
      <c r="D59" s="106">
        <f t="shared" si="7"/>
        <v>1912233.6</v>
      </c>
      <c r="E59" s="106">
        <f t="shared" si="7"/>
        <v>1898764</v>
      </c>
      <c r="F59" s="106">
        <f t="shared" si="7"/>
        <v>1892709.6</v>
      </c>
      <c r="G59" s="106">
        <f t="shared" si="7"/>
        <v>4014544.2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4349A0005200E4E805B41EE1346ECAE" ma:contentTypeVersion="44" ma:contentTypeDescription="" ma:contentTypeScope="" ma:versionID="3df5853cbfc7751337eb6d8ea653121f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29c5175306e4119ca025b7dcbe15c7f3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547A3E9-22A9-4FC0-AFA5-F1B3AE574A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F7CA2EEB-7738-4ED9-B419-A31A19063359}">
  <ds:schemaRefs>
    <ds:schemaRef ds:uri="http://schemas.microsoft.com/office/2006/documentManagement/types"/>
    <ds:schemaRef ds:uri="http://purl.org/dc/elements/1.1/"/>
    <ds:schemaRef ds:uri="dc463f71-b30c-4ab2-9473-d307f9d35888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6D6BD4A-59F1-4D96-BD03-5A7A3AE3EDFD}"/>
</file>

<file path=customXml/itemProps4.xml><?xml version="1.0" encoding="utf-8"?>
<ds:datastoreItem xmlns:ds="http://schemas.openxmlformats.org/officeDocument/2006/customXml" ds:itemID="{4F426CE5-D4AB-4ECF-A56A-EC27F100115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76AAAE0E-E246-4CE3-A259-FB4E781538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761121C2-0415-4565-AB3E-0C09C07130D2}">
  <ds:schemaRefs>
    <ds:schemaRef ds:uri="http://schemas.microsoft.com/PowerBIAddIn"/>
  </ds:schemaRefs>
</ds:datastoreItem>
</file>

<file path=customXml/itemProps7.xml><?xml version="1.0" encoding="utf-8"?>
<ds:datastoreItem xmlns:ds="http://schemas.openxmlformats.org/officeDocument/2006/customXml" ds:itemID="{3C28306F-B3BA-434D-8A18-D1D8F6B2DF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Instructions</vt:lpstr>
      <vt:lpstr>Compliance Summary</vt:lpstr>
      <vt:lpstr>Facility Detail</vt:lpstr>
      <vt:lpstr>Generation Rollup</vt:lpstr>
      <vt:lpstr>Facilities</vt:lpstr>
      <vt:lpstr>FacilityTypes</vt:lpstr>
      <vt:lpstr>LaborBonus</vt:lpstr>
      <vt:lpstr>'Compliance Summary'!Print_Area</vt:lpstr>
      <vt:lpstr>'Facility Detail'!Print_Area</vt:lpstr>
      <vt:lpstr>Instructions!Print_Area</vt:lpstr>
      <vt:lpstr>StartYear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Chris Schaefer</cp:lastModifiedBy>
  <cp:lastPrinted>2019-05-24T14:32:36Z</cp:lastPrinted>
  <dcterms:created xsi:type="dcterms:W3CDTF">2011-06-02T16:07:19Z</dcterms:created>
  <dcterms:modified xsi:type="dcterms:W3CDTF">2020-05-26T15:22:25Z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0x0101006E56B4D1795A2E4DB2F0B01679ED314A00C7F83FE9B7F37D4CACFD3D9CB35B1069</vt:lpwstr>
  </property>
  <property fmtid="{D5CDD505-2E9C-101B-9397-08002B2CF9AE}" pid="6" name="IsEFSEC">
    <vt:bool>false</vt:bool>
  </property>
</Properties>
</file>