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Client Data\Rubatino Refuse Removal, Inc\2019 Rate Case\"/>
    </mc:Choice>
  </mc:AlternateContent>
  <xr:revisionPtr revIDLastSave="0" documentId="8_{C3AA35F3-F6DE-4073-8F1C-4165379F76E8}" xr6:coauthVersionLast="43" xr6:coauthVersionMax="43" xr10:uidLastSave="{00000000-0000-0000-0000-000000000000}"/>
  <bookViews>
    <workbookView xWindow="-120" yWindow="-120" windowWidth="29040" windowHeight="15840" tabRatio="970" firstSheet="8" activeTab="18" xr2:uid="{00000000-000D-0000-FFFF-FFFF00000000}"/>
  </bookViews>
  <sheets>
    <sheet name="Workbook Index" sheetId="48" r:id="rId1"/>
    <sheet name="LG Consolidated" sheetId="28" r:id="rId2"/>
    <sheet name="LG - Refuse" sheetId="26" r:id="rId3"/>
    <sheet name="LG - Recycling" sheetId="27" r:id="rId4"/>
    <sheet name="LG - Yardwaste" sheetId="29" r:id="rId5"/>
    <sheet name="Balance Sheet 12-31-18" sheetId="2" r:id="rId6"/>
    <sheet name="12 Month P&amp;L" sheetId="3" r:id="rId7"/>
    <sheet name="Pro Forma" sheetId="4" r:id="rId8"/>
    <sheet name="Restating Entries" sheetId="5" r:id="rId9"/>
    <sheet name="Restating Entries - Explanation" sheetId="45" r:id="rId10"/>
    <sheet name="Pro Forma Entries " sheetId="6" r:id="rId11"/>
    <sheet name="Pro Forma Entries - Explanation" sheetId="46" r:id="rId12"/>
    <sheet name="Allocations" sheetId="7" r:id="rId13"/>
    <sheet name="Regulatory Depreciation " sheetId="8" r:id="rId14"/>
    <sheet name="Fuel Cost 12-18" sheetId="9" r:id="rId15"/>
    <sheet name="Payroll Hours" sheetId="41" r:id="rId16"/>
    <sheet name="Garbage Payroll" sheetId="13" r:id="rId17"/>
    <sheet name="Recycling Payroll" sheetId="14" r:id="rId18"/>
    <sheet name="Payroll Summary" sheetId="11" r:id="rId19"/>
    <sheet name="Health &amp; Welfare" sheetId="30" r:id="rId20"/>
    <sheet name="Pension Recycle" sheetId="31" r:id="rId21"/>
    <sheet name="Pension Garbage" sheetId="32" r:id="rId22"/>
    <sheet name="Pension Admin" sheetId="39" r:id="rId23"/>
    <sheet name="Pension Admin Ledger" sheetId="43" r:id="rId24"/>
    <sheet name="Disposal" sheetId="23" r:id="rId25"/>
    <sheet name="Revenue Summary Worksheet" sheetId="17" r:id="rId26"/>
    <sheet name="Price-Out vs Book Comparison" sheetId="44" r:id="rId27"/>
    <sheet name="Residential Everett" sheetId="15" r:id="rId28"/>
    <sheet name="Commercial Everett" sheetId="16" r:id="rId29"/>
    <sheet name="Residential Mukilteo" sheetId="12" r:id="rId30"/>
    <sheet name="Commercial Mukilteo" sheetId="18" r:id="rId31"/>
    <sheet name="Commercial Recycling" sheetId="37" r:id="rId32"/>
    <sheet name="Customer Summary" sheetId="38" r:id="rId33"/>
    <sheet name="Mukilteo Utility Franchise Tax" sheetId="19" r:id="rId34"/>
    <sheet name="Everett Utility-B&amp;O" sheetId="20" r:id="rId35"/>
    <sheet name="Washington Service B&amp;O" sheetId="21" r:id="rId36"/>
    <sheet name="Rents" sheetId="24" r:id="rId37"/>
    <sheet name="Dues" sheetId="22" r:id="rId38"/>
    <sheet name="Public Relations" sheetId="33" r:id="rId39"/>
    <sheet name="TruckCare Pension" sheetId="34" r:id="rId40"/>
    <sheet name="Regulatory Fees" sheetId="35" r:id="rId41"/>
    <sheet name="Recycle Revenue" sheetId="36" r:id="rId42"/>
    <sheet name="Truck Mileage" sheetId="40" r:id="rId43"/>
    <sheet name="Rate Case Costs" sheetId="42" r:id="rId44"/>
    <sheet name="City of Mukilteo Contract Loss" sheetId="47" r:id="rId45"/>
  </sheets>
  <externalReferences>
    <externalReference r:id="rId46"/>
    <externalReference r:id="rId47"/>
    <externalReference r:id="rId48"/>
  </externalReferences>
  <definedNames>
    <definedName name="Debt_Rate" localSheetId="3">'LG - Recycling'!$K$27</definedName>
    <definedName name="Debt_Rate" localSheetId="2">'LG - Refuse'!$K$27</definedName>
    <definedName name="Debt_Rate" localSheetId="4">'LG - Yardwaste'!$K$27</definedName>
    <definedName name="Debt_Rate" localSheetId="1">'LG Consolidated'!$K$27</definedName>
    <definedName name="debtP" localSheetId="3">'LG - Recycling'!$I$27</definedName>
    <definedName name="debtP" localSheetId="2">'LG - Refuse'!$I$27</definedName>
    <definedName name="debtP" localSheetId="4">'LG - Yardwaste'!$I$27</definedName>
    <definedName name="debtP" localSheetId="1">'LG Consolidated'!$I$27</definedName>
    <definedName name="Equity_percent" localSheetId="3">'LG - Recycling'!$S$58</definedName>
    <definedName name="Equity_percent" localSheetId="2">'LG - Refuse'!$S$58</definedName>
    <definedName name="Equity_percent" localSheetId="4">'LG - Yardwaste'!$S$58</definedName>
    <definedName name="Equity_percent" localSheetId="1">'LG Consolidated'!$S$58</definedName>
    <definedName name="equityP" localSheetId="3">'LG - Recycling'!$I$26</definedName>
    <definedName name="equityP" localSheetId="2">'LG - Refuse'!$I$26</definedName>
    <definedName name="equityP" localSheetId="4">'LG - Yardwaste'!$I$26</definedName>
    <definedName name="equityP" localSheetId="1">'LG Consolidated'!$I$26</definedName>
    <definedName name="expenses" localSheetId="3">'LG - Recycling'!$I$8</definedName>
    <definedName name="expenses" localSheetId="2">'LG - Refuse'!$I$8</definedName>
    <definedName name="expenses" localSheetId="4">'LG - Yardwaste'!$I$8</definedName>
    <definedName name="expenses" localSheetId="1">'LG Consolidated'!$I$8</definedName>
    <definedName name="INPUT">#REF!</definedName>
    <definedName name="Investment" localSheetId="3">'LG - Recycling'!$J$28</definedName>
    <definedName name="Investment" localSheetId="2">'LG - Refuse'!$J$28</definedName>
    <definedName name="Investment" localSheetId="4">'LG - Yardwaste'!$J$28</definedName>
    <definedName name="Investment" localSheetId="1">'LG Consolidated'!$J$28</definedName>
    <definedName name="Pfd_weighted" localSheetId="3">'LG - Recycling'!$U$57</definedName>
    <definedName name="Pfd_weighted" localSheetId="2">'LG - Refuse'!$U$57</definedName>
    <definedName name="Pfd_weighted" localSheetId="4">'LG - Yardwaste'!$U$57</definedName>
    <definedName name="Pfd_weighted" localSheetId="1">'LG Consolidated'!$U$57</definedName>
    <definedName name="_xlnm.Print_Area" localSheetId="6">'12 Month P&amp;L'!$A$3:$AD$289</definedName>
    <definedName name="_xlnm.Print_Area" localSheetId="12">Allocations!$A$7:$I$83</definedName>
    <definedName name="_xlnm.Print_Area" localSheetId="28">'Commercial Everett'!$A$9:$G$137</definedName>
    <definedName name="_xlnm.Print_Area" localSheetId="30">'Commercial Mukilteo'!$A$8:$G$109</definedName>
    <definedName name="_xlnm.Print_Area" localSheetId="24">Disposal!$A$6:$S$186</definedName>
    <definedName name="_xlnm.Print_Area" localSheetId="3">'LG - Recycling'!$A$1:$N$49</definedName>
    <definedName name="_xlnm.Print_Area" localSheetId="2">'LG - Refuse'!$A$1:$N$49</definedName>
    <definedName name="_xlnm.Print_Area" localSheetId="4">'LG - Yardwaste'!$A$1:$N$49</definedName>
    <definedName name="_xlnm.Print_Area" localSheetId="1">'LG Consolidated'!$A$1:$N$49</definedName>
    <definedName name="_xlnm.Print_Area" localSheetId="26">'Price-Out vs Book Comparison'!$A$1:$H$25</definedName>
    <definedName name="_xlnm.Print_Area" localSheetId="7">'Pro Forma'!$A$6:$F$72</definedName>
    <definedName name="_xlnm.Print_Area" localSheetId="10">'Pro Forma Entries '!$A$6:$L$75</definedName>
    <definedName name="_xlnm.Print_Area" localSheetId="13">'Regulatory Depreciation '!$A$11:$P$175</definedName>
    <definedName name="_xlnm.Print_Area" localSheetId="27">'Residential Everett'!$A$8:$P$75</definedName>
    <definedName name="_xlnm.Print_Area" localSheetId="29">'Residential Mukilteo'!$A$10:$P$70</definedName>
    <definedName name="_xlnm.Print_Area" localSheetId="8">'Restating Entries'!$A$6:$N$75</definedName>
    <definedName name="_xlnm.Print_Area" localSheetId="9">'Restating Entries - Explanation'!$A$6:$B$29</definedName>
    <definedName name="_xlnm.Print_Area" localSheetId="25">'Revenue Summary Worksheet'!$A$1:$F$47</definedName>
    <definedName name="_xlnm.Print_Area" localSheetId="42">'Truck Mileage'!$A$6:$G$63</definedName>
    <definedName name="_xlnm.Print_Area" localSheetId="39">'TruckCare Pension'!$A$1:$C$78</definedName>
    <definedName name="_xlnm.Print_Area">#REF!</definedName>
    <definedName name="_xlnm.Print_Titles" localSheetId="6">'12 Month P&amp;L'!$1:$2</definedName>
    <definedName name="_xlnm.Print_Titles" localSheetId="12">Allocations!$1:$6</definedName>
    <definedName name="_xlnm.Print_Titles" localSheetId="28">'Commercial Everett'!$1:$8</definedName>
    <definedName name="_xlnm.Print_Titles" localSheetId="30">'Commercial Mukilteo'!$1:$7</definedName>
    <definedName name="_xlnm.Print_Titles" localSheetId="24">Disposal!$1:$5</definedName>
    <definedName name="_xlnm.Print_Titles" localSheetId="16">'Garbage Payroll'!$1:$6</definedName>
    <definedName name="_xlnm.Print_Titles" localSheetId="7">'Pro Forma'!$1:$5</definedName>
    <definedName name="_xlnm.Print_Titles" localSheetId="10">'Pro Forma Entries '!$1:$5</definedName>
    <definedName name="_xlnm.Print_Titles" localSheetId="17">'Recycling Payroll'!$1:$3</definedName>
    <definedName name="_xlnm.Print_Titles" localSheetId="13">'Regulatory Depreciation '!$1:$10</definedName>
    <definedName name="_xlnm.Print_Titles" localSheetId="27">'Residential Everett'!$1:$7</definedName>
    <definedName name="_xlnm.Print_Titles" localSheetId="29">'Residential Mukilteo'!$1:$9</definedName>
    <definedName name="_xlnm.Print_Titles" localSheetId="8">'Restating Entries'!$1:$5</definedName>
    <definedName name="_xlnm.Print_Titles" localSheetId="9">'Restating Entries - Explanation'!$1:$5</definedName>
    <definedName name="_xlnm.Print_Titles" localSheetId="42">'Truck Mileage'!$1:$5</definedName>
    <definedName name="regDebt_weighted" localSheetId="3">'LG - Recycling'!$U$56</definedName>
    <definedName name="regDebt_weighted" localSheetId="2">'LG - Refuse'!$U$56</definedName>
    <definedName name="regDebt_weighted" localSheetId="4">'LG - Yardwaste'!$U$56</definedName>
    <definedName name="regDebt_weighted" localSheetId="1">'LG Consolidated'!$U$56</definedName>
    <definedName name="Revenue" localSheetId="3">'LG - Recycling'!$I$7</definedName>
    <definedName name="Revenue" localSheetId="2">'LG - Refuse'!$I$7</definedName>
    <definedName name="Revenue" localSheetId="4">'LG - Yardwaste'!$I$7</definedName>
    <definedName name="Revenue" localSheetId="1">'LG Consolidated'!$I$7</definedName>
    <definedName name="slope">'LG Consolidated'!$Y$58</definedName>
    <definedName name="taxrate" localSheetId="3">'LG - Recycling'!$J$38</definedName>
    <definedName name="taxrate" localSheetId="2">'LG - Refuse'!$J$38</definedName>
    <definedName name="taxrate" localSheetId="4">'LG - Yardwaste'!$J$38</definedName>
    <definedName name="taxrate" localSheetId="1">'LG Consolidated'!$J$38</definedName>
    <definedName name="X_inter4">#REF!</definedName>
    <definedName name="y_inter1">'LG Consolidated'!$X$55</definedName>
    <definedName name="y_inter2">'LG Consolidated'!$X$56</definedName>
    <definedName name="y_inter3">'LG Consolidated'!$Z$55</definedName>
    <definedName name="y_inter4">'LG Consolidated'!$Z$56</definedName>
  </definedNames>
  <calcPr calcId="181029"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45" i="4" l="1"/>
  <c r="K41" i="4"/>
  <c r="K38" i="4"/>
  <c r="K37" i="4"/>
  <c r="K19" i="4"/>
  <c r="K17" i="4"/>
  <c r="K16" i="4"/>
  <c r="K15" i="4"/>
  <c r="K12" i="4"/>
  <c r="K70" i="4"/>
  <c r="J70" i="4"/>
  <c r="I70" i="4"/>
  <c r="H52" i="4" l="1"/>
  <c r="H51" i="4"/>
  <c r="H32" i="4" l="1"/>
  <c r="H31" i="4"/>
  <c r="H30" i="4"/>
  <c r="G137" i="16" l="1"/>
  <c r="G84" i="18" l="1"/>
  <c r="F107" i="18"/>
  <c r="G107" i="18" s="1"/>
  <c r="F106" i="18"/>
  <c r="G106" i="18" s="1"/>
  <c r="F105" i="18"/>
  <c r="G105" i="18" s="1"/>
  <c r="F104" i="18"/>
  <c r="G104" i="18" s="1"/>
  <c r="F103" i="18"/>
  <c r="G103" i="18" s="1"/>
  <c r="F102" i="18"/>
  <c r="G102" i="18" s="1"/>
  <c r="F101" i="18"/>
  <c r="G101" i="18" s="1"/>
  <c r="F100" i="18"/>
  <c r="G100" i="18" s="1"/>
  <c r="F99" i="18"/>
  <c r="G99" i="18" s="1"/>
  <c r="F98" i="18"/>
  <c r="G98" i="18" s="1"/>
  <c r="F97" i="18"/>
  <c r="G97" i="18" s="1"/>
  <c r="F96" i="18"/>
  <c r="G96" i="18" s="1"/>
  <c r="F95" i="18"/>
  <c r="G95" i="18" s="1"/>
  <c r="F94" i="18"/>
  <c r="G94" i="18" s="1"/>
  <c r="F93" i="18"/>
  <c r="G93" i="18" s="1"/>
  <c r="F92" i="18"/>
  <c r="G92" i="18" s="1"/>
  <c r="F91" i="18"/>
  <c r="G91" i="18" s="1"/>
  <c r="F90" i="18"/>
  <c r="G90" i="18" s="1"/>
  <c r="F89" i="18"/>
  <c r="G89" i="18" s="1"/>
  <c r="F88" i="18"/>
  <c r="G88" i="18" s="1"/>
  <c r="F87" i="18"/>
  <c r="G87" i="18" s="1"/>
  <c r="F86" i="18"/>
  <c r="G86" i="18" s="1"/>
  <c r="F85" i="18"/>
  <c r="G85" i="18" s="1"/>
  <c r="F76" i="18"/>
  <c r="G76" i="18" s="1"/>
  <c r="F75" i="18"/>
  <c r="G75" i="18" s="1"/>
  <c r="F74" i="18"/>
  <c r="G74" i="18" s="1"/>
  <c r="F73" i="18"/>
  <c r="G73" i="18" s="1"/>
  <c r="F72" i="18"/>
  <c r="G72" i="18" s="1"/>
  <c r="F71" i="18"/>
  <c r="G71" i="18" s="1"/>
  <c r="F70" i="18"/>
  <c r="G70" i="18" s="1"/>
  <c r="F69" i="18"/>
  <c r="G69" i="18" s="1"/>
  <c r="F68" i="18"/>
  <c r="G68" i="18" s="1"/>
  <c r="F67" i="18"/>
  <c r="G67" i="18" s="1"/>
  <c r="F66" i="18"/>
  <c r="G66" i="18" s="1"/>
  <c r="F65" i="18"/>
  <c r="G65" i="18" s="1"/>
  <c r="F64" i="18"/>
  <c r="G64" i="18" s="1"/>
  <c r="F60" i="18"/>
  <c r="G60" i="18" s="1"/>
  <c r="F59" i="18"/>
  <c r="G59" i="18" s="1"/>
  <c r="F58" i="18"/>
  <c r="G58" i="18" s="1"/>
  <c r="F57" i="18"/>
  <c r="G57" i="18" s="1"/>
  <c r="F56" i="18"/>
  <c r="G56" i="18" s="1"/>
  <c r="F55" i="18"/>
  <c r="G55" i="18" s="1"/>
  <c r="F54" i="18"/>
  <c r="G54" i="18" s="1"/>
  <c r="F53" i="18"/>
  <c r="G53" i="18" s="1"/>
  <c r="F52" i="18"/>
  <c r="G52" i="18" s="1"/>
  <c r="F51" i="18"/>
  <c r="G51" i="18" s="1"/>
  <c r="F50" i="18"/>
  <c r="G50" i="18" s="1"/>
  <c r="F49" i="18"/>
  <c r="G49" i="18" s="1"/>
  <c r="F48" i="18"/>
  <c r="G48" i="18" s="1"/>
  <c r="F47" i="18"/>
  <c r="G47" i="18" s="1"/>
  <c r="F46" i="18"/>
  <c r="G46" i="18" s="1"/>
  <c r="F45" i="18"/>
  <c r="G45" i="18" s="1"/>
  <c r="F44" i="18"/>
  <c r="G44" i="18" s="1"/>
  <c r="F43" i="18"/>
  <c r="G43" i="18" s="1"/>
  <c r="F42" i="18"/>
  <c r="G42" i="18" s="1"/>
  <c r="F41" i="18"/>
  <c r="G41" i="18" s="1"/>
  <c r="F40" i="18"/>
  <c r="G40" i="18" s="1"/>
  <c r="F39" i="18"/>
  <c r="G39" i="18" s="1"/>
  <c r="F38" i="18"/>
  <c r="G38" i="18" s="1"/>
  <c r="F37" i="18"/>
  <c r="G37" i="18" s="1"/>
  <c r="F36" i="18"/>
  <c r="G36" i="18" s="1"/>
  <c r="F35" i="18"/>
  <c r="G35" i="18" s="1"/>
  <c r="F34" i="18"/>
  <c r="G34" i="18" s="1"/>
  <c r="F33" i="18"/>
  <c r="G33" i="18" s="1"/>
  <c r="F32" i="18"/>
  <c r="G32" i="18" s="1"/>
  <c r="F31" i="18"/>
  <c r="G31" i="18" s="1"/>
  <c r="F30" i="18"/>
  <c r="G30" i="18" s="1"/>
  <c r="F29" i="18"/>
  <c r="G29" i="18" s="1"/>
  <c r="F28" i="18"/>
  <c r="G28" i="18" s="1"/>
  <c r="F27" i="18"/>
  <c r="G27" i="18" s="1"/>
  <c r="F26" i="18"/>
  <c r="G26" i="18" s="1"/>
  <c r="F25" i="18"/>
  <c r="G25" i="18" s="1"/>
  <c r="F24" i="18"/>
  <c r="G24" i="18" s="1"/>
  <c r="F23" i="18"/>
  <c r="G23" i="18" s="1"/>
  <c r="F22" i="18"/>
  <c r="G22" i="18" s="1"/>
  <c r="F21" i="18"/>
  <c r="G21" i="18" s="1"/>
  <c r="F20" i="18"/>
  <c r="G20" i="18" s="1"/>
  <c r="F19" i="18"/>
  <c r="G19" i="18" s="1"/>
  <c r="F18" i="18"/>
  <c r="G18" i="18" s="1"/>
  <c r="F17" i="18"/>
  <c r="G17" i="18" s="1"/>
  <c r="F16" i="18"/>
  <c r="G16" i="18" s="1"/>
  <c r="F15" i="18"/>
  <c r="G15" i="18" s="1"/>
  <c r="F14" i="18"/>
  <c r="G14" i="18" s="1"/>
  <c r="F13" i="18"/>
  <c r="G13" i="18" s="1"/>
  <c r="F12" i="18"/>
  <c r="G12" i="18" s="1"/>
  <c r="F11" i="18"/>
  <c r="G11" i="18" s="1"/>
  <c r="F10" i="18"/>
  <c r="G10" i="18" s="1"/>
  <c r="F9" i="18"/>
  <c r="G9" i="18" s="1"/>
  <c r="F8" i="18"/>
  <c r="G8" i="18" s="1"/>
  <c r="P65" i="12"/>
  <c r="O65" i="12"/>
  <c r="I203" i="9"/>
  <c r="H203" i="9"/>
  <c r="G203" i="9"/>
  <c r="F203" i="9"/>
  <c r="D203" i="9"/>
  <c r="M191" i="9"/>
  <c r="L191" i="9"/>
  <c r="K191" i="9"/>
  <c r="J191" i="9"/>
  <c r="I191" i="9"/>
  <c r="H191" i="9"/>
  <c r="G191" i="9"/>
  <c r="F191" i="9"/>
  <c r="D191" i="9"/>
  <c r="B191" i="9"/>
  <c r="G61" i="18" l="1"/>
  <c r="G77" i="18"/>
  <c r="M64" i="12"/>
  <c r="K64" i="12"/>
  <c r="N64" i="12" s="1"/>
  <c r="M63" i="12"/>
  <c r="K63" i="12"/>
  <c r="N63" i="12" s="1"/>
  <c r="M62" i="12"/>
  <c r="K62" i="12"/>
  <c r="N62" i="12" s="1"/>
  <c r="M61" i="12"/>
  <c r="K61" i="12"/>
  <c r="N61" i="12" s="1"/>
  <c r="M60" i="12"/>
  <c r="K60" i="12"/>
  <c r="N60" i="12" s="1"/>
  <c r="M59" i="12"/>
  <c r="K59" i="12"/>
  <c r="N59" i="12" s="1"/>
  <c r="M58" i="12"/>
  <c r="K58" i="12"/>
  <c r="N58" i="12" s="1"/>
  <c r="M57" i="12"/>
  <c r="K57" i="12"/>
  <c r="N57" i="12" s="1"/>
  <c r="M56" i="12"/>
  <c r="K56" i="12"/>
  <c r="N56" i="12" s="1"/>
  <c r="M55" i="12"/>
  <c r="K55" i="12"/>
  <c r="N55" i="12" s="1"/>
  <c r="M54" i="12"/>
  <c r="K54" i="12"/>
  <c r="N54" i="12" s="1"/>
  <c r="M53" i="12"/>
  <c r="K53" i="12"/>
  <c r="N53" i="12" s="1"/>
  <c r="M52" i="12"/>
  <c r="K52" i="12"/>
  <c r="N52" i="12" s="1"/>
  <c r="M51" i="12"/>
  <c r="K51" i="12"/>
  <c r="N51" i="12" s="1"/>
  <c r="M50" i="12"/>
  <c r="K50" i="12"/>
  <c r="N50" i="12" s="1"/>
  <c r="M49" i="12"/>
  <c r="K49" i="12"/>
  <c r="N49" i="12" s="1"/>
  <c r="M48" i="12"/>
  <c r="K48" i="12"/>
  <c r="N48" i="12" s="1"/>
  <c r="M47" i="12"/>
  <c r="K47" i="12"/>
  <c r="N47" i="12" s="1"/>
  <c r="M46" i="12"/>
  <c r="K46" i="12"/>
  <c r="N46" i="12" s="1"/>
  <c r="M45" i="12"/>
  <c r="K45" i="12"/>
  <c r="N45" i="12" s="1"/>
  <c r="M44" i="12"/>
  <c r="K44" i="12"/>
  <c r="N44" i="12" s="1"/>
  <c r="M43" i="12"/>
  <c r="K43" i="12"/>
  <c r="N43" i="12" s="1"/>
  <c r="M42" i="12"/>
  <c r="K42" i="12"/>
  <c r="N42" i="12" s="1"/>
  <c r="M41" i="12"/>
  <c r="K41" i="12"/>
  <c r="N41" i="12" s="1"/>
  <c r="M33" i="12"/>
  <c r="L33" i="12"/>
  <c r="K33" i="12"/>
  <c r="M32" i="12"/>
  <c r="L32" i="12"/>
  <c r="K32" i="12"/>
  <c r="N32" i="12" s="1"/>
  <c r="M31" i="12"/>
  <c r="L31" i="12"/>
  <c r="K31" i="12"/>
  <c r="N31" i="12" s="1"/>
  <c r="M30" i="12"/>
  <c r="L30" i="12"/>
  <c r="K30" i="12"/>
  <c r="N30" i="12" s="1"/>
  <c r="M29" i="12"/>
  <c r="P29" i="12" s="1"/>
  <c r="P34" i="12" s="1"/>
  <c r="P70" i="12" s="1"/>
  <c r="L29" i="12"/>
  <c r="K29" i="12"/>
  <c r="M28" i="12"/>
  <c r="L28" i="12"/>
  <c r="O28" i="12" s="1"/>
  <c r="K28" i="12"/>
  <c r="N28" i="12" s="1"/>
  <c r="M27" i="12"/>
  <c r="L27" i="12"/>
  <c r="O27" i="12" s="1"/>
  <c r="K27" i="12"/>
  <c r="N27" i="12" s="1"/>
  <c r="M26" i="12"/>
  <c r="L26" i="12"/>
  <c r="O26" i="12" s="1"/>
  <c r="K26" i="12"/>
  <c r="N26" i="12" s="1"/>
  <c r="M25" i="12"/>
  <c r="L25" i="12"/>
  <c r="O25" i="12" s="1"/>
  <c r="K25" i="12"/>
  <c r="N25" i="12" s="1"/>
  <c r="M24" i="12"/>
  <c r="L24" i="12"/>
  <c r="O24" i="12" s="1"/>
  <c r="K24" i="12"/>
  <c r="N24" i="12" s="1"/>
  <c r="M23" i="12"/>
  <c r="L23" i="12"/>
  <c r="O23" i="12" s="1"/>
  <c r="K23" i="12"/>
  <c r="N23" i="12" s="1"/>
  <c r="M22" i="12"/>
  <c r="L22" i="12"/>
  <c r="O22" i="12" s="1"/>
  <c r="K22" i="12"/>
  <c r="N22" i="12" s="1"/>
  <c r="M21" i="12"/>
  <c r="L21" i="12"/>
  <c r="O21" i="12" s="1"/>
  <c r="K21" i="12"/>
  <c r="N21" i="12" s="1"/>
  <c r="M20" i="12"/>
  <c r="L20" i="12"/>
  <c r="O20" i="12" s="1"/>
  <c r="K20" i="12"/>
  <c r="N20" i="12" s="1"/>
  <c r="M19" i="12"/>
  <c r="L19" i="12"/>
  <c r="O19" i="12" s="1"/>
  <c r="K19" i="12"/>
  <c r="N19" i="12" s="1"/>
  <c r="M18" i="12"/>
  <c r="L18" i="12"/>
  <c r="K18" i="12"/>
  <c r="M17" i="12"/>
  <c r="L17" i="12"/>
  <c r="K17" i="12"/>
  <c r="M16" i="12"/>
  <c r="L16" i="12"/>
  <c r="K16" i="12"/>
  <c r="M15" i="12"/>
  <c r="L15" i="12"/>
  <c r="O15" i="12" s="1"/>
  <c r="K15" i="12"/>
  <c r="N15" i="12" s="1"/>
  <c r="M14" i="12"/>
  <c r="L14" i="12"/>
  <c r="O14" i="12" s="1"/>
  <c r="K14" i="12"/>
  <c r="N14" i="12" s="1"/>
  <c r="M13" i="12"/>
  <c r="L13" i="12"/>
  <c r="O13" i="12" s="1"/>
  <c r="K13" i="12"/>
  <c r="N13" i="12" s="1"/>
  <c r="M12" i="12"/>
  <c r="L12" i="12"/>
  <c r="O12" i="12" s="1"/>
  <c r="K12" i="12"/>
  <c r="N12" i="12" s="1"/>
  <c r="M11" i="12"/>
  <c r="L11" i="12"/>
  <c r="O11" i="12" s="1"/>
  <c r="K11" i="12"/>
  <c r="N11" i="12" s="1"/>
  <c r="M10" i="12"/>
  <c r="L10" i="12"/>
  <c r="O10" i="12" s="1"/>
  <c r="K10" i="12"/>
  <c r="N10" i="12" s="1"/>
  <c r="E135" i="16"/>
  <c r="E136" i="16" s="1"/>
  <c r="F134" i="16"/>
  <c r="G134" i="16" s="1"/>
  <c r="F133" i="16"/>
  <c r="G133" i="16" s="1"/>
  <c r="F132" i="16"/>
  <c r="G132" i="16" s="1"/>
  <c r="F131" i="16"/>
  <c r="G131" i="16" s="1"/>
  <c r="F130" i="16"/>
  <c r="G130" i="16" s="1"/>
  <c r="F129" i="16"/>
  <c r="G129" i="16" s="1"/>
  <c r="F128" i="16"/>
  <c r="G128" i="16" s="1"/>
  <c r="F127" i="16"/>
  <c r="G127" i="16" s="1"/>
  <c r="F126" i="16"/>
  <c r="G126" i="16" s="1"/>
  <c r="F125" i="16"/>
  <c r="G125" i="16" s="1"/>
  <c r="F124" i="16"/>
  <c r="G124" i="16" s="1"/>
  <c r="F123" i="16"/>
  <c r="G123" i="16" s="1"/>
  <c r="F122" i="16"/>
  <c r="G122" i="16" s="1"/>
  <c r="F121" i="16"/>
  <c r="G121" i="16" s="1"/>
  <c r="F120" i="16"/>
  <c r="G120" i="16" s="1"/>
  <c r="F119" i="16"/>
  <c r="G119" i="16" s="1"/>
  <c r="F118" i="16"/>
  <c r="G118" i="16" s="1"/>
  <c r="F117" i="16"/>
  <c r="G117" i="16" s="1"/>
  <c r="F116" i="16"/>
  <c r="G116" i="16" s="1"/>
  <c r="F115" i="16"/>
  <c r="G115" i="16" s="1"/>
  <c r="F114" i="16"/>
  <c r="G114" i="16" s="1"/>
  <c r="F113" i="16"/>
  <c r="G113" i="16" s="1"/>
  <c r="F112" i="16"/>
  <c r="G112" i="16" s="1"/>
  <c r="F111" i="16"/>
  <c r="G111" i="16" s="1"/>
  <c r="F110" i="16"/>
  <c r="G110" i="16" s="1"/>
  <c r="F109" i="16"/>
  <c r="G109" i="16" s="1"/>
  <c r="F108" i="16"/>
  <c r="G108" i="16" s="1"/>
  <c r="F107" i="16"/>
  <c r="G107" i="16" s="1"/>
  <c r="F106" i="16"/>
  <c r="G106" i="16" s="1"/>
  <c r="F105" i="16"/>
  <c r="G105" i="16" s="1"/>
  <c r="F104" i="16"/>
  <c r="G104" i="16" s="1"/>
  <c r="F103" i="16"/>
  <c r="G103" i="16" s="1"/>
  <c r="F91" i="16"/>
  <c r="G91" i="16" s="1"/>
  <c r="F90" i="16"/>
  <c r="G90" i="16" s="1"/>
  <c r="F89" i="16"/>
  <c r="G89" i="16" s="1"/>
  <c r="F88" i="16"/>
  <c r="G88" i="16" s="1"/>
  <c r="F87" i="16"/>
  <c r="G87" i="16" s="1"/>
  <c r="F86" i="16"/>
  <c r="G86" i="16" s="1"/>
  <c r="F85" i="16"/>
  <c r="G85" i="16" s="1"/>
  <c r="F84" i="16"/>
  <c r="G84" i="16" s="1"/>
  <c r="F83" i="16"/>
  <c r="G83" i="16" s="1"/>
  <c r="F82" i="16"/>
  <c r="G82" i="16" s="1"/>
  <c r="F81" i="16"/>
  <c r="G81" i="16" s="1"/>
  <c r="F80" i="16"/>
  <c r="G80" i="16" s="1"/>
  <c r="F79" i="16"/>
  <c r="G79" i="16" s="1"/>
  <c r="F78" i="16"/>
  <c r="G78" i="16" s="1"/>
  <c r="F77" i="16"/>
  <c r="G77" i="16" s="1"/>
  <c r="F76" i="16"/>
  <c r="G76" i="16" s="1"/>
  <c r="F75" i="16"/>
  <c r="G75" i="16" s="1"/>
  <c r="F74" i="16"/>
  <c r="G74" i="16" s="1"/>
  <c r="F73" i="16"/>
  <c r="G73" i="16" s="1"/>
  <c r="F72" i="16"/>
  <c r="G72" i="16" s="1"/>
  <c r="F71" i="16"/>
  <c r="G71" i="16" s="1"/>
  <c r="F70" i="16"/>
  <c r="G70" i="16" s="1"/>
  <c r="F65" i="16"/>
  <c r="G65" i="16" s="1"/>
  <c r="F64" i="16"/>
  <c r="G64" i="16" s="1"/>
  <c r="F63" i="16"/>
  <c r="G63" i="16" s="1"/>
  <c r="F62" i="16"/>
  <c r="G62" i="16" s="1"/>
  <c r="F61" i="16"/>
  <c r="G61" i="16" s="1"/>
  <c r="F60" i="16"/>
  <c r="G60" i="16" s="1"/>
  <c r="F59" i="16"/>
  <c r="G59" i="16" s="1"/>
  <c r="F58" i="16"/>
  <c r="G58" i="16" s="1"/>
  <c r="F57" i="16"/>
  <c r="G57" i="16" s="1"/>
  <c r="F56" i="16"/>
  <c r="G56" i="16" s="1"/>
  <c r="F55" i="16"/>
  <c r="G55" i="16" s="1"/>
  <c r="F54" i="16"/>
  <c r="G54" i="16" s="1"/>
  <c r="F53" i="16"/>
  <c r="G53" i="16" s="1"/>
  <c r="F52" i="16"/>
  <c r="G52" i="16" s="1"/>
  <c r="F51" i="16"/>
  <c r="G51" i="16" s="1"/>
  <c r="F50" i="16"/>
  <c r="G50" i="16" s="1"/>
  <c r="F49" i="16"/>
  <c r="G49" i="16" s="1"/>
  <c r="F48" i="16"/>
  <c r="G48" i="16" s="1"/>
  <c r="F47" i="16"/>
  <c r="G47" i="16" s="1"/>
  <c r="F46" i="16"/>
  <c r="G46" i="16" s="1"/>
  <c r="F45" i="16"/>
  <c r="G45" i="16" s="1"/>
  <c r="F44" i="16"/>
  <c r="G44" i="16" s="1"/>
  <c r="F43" i="16"/>
  <c r="G43" i="16" s="1"/>
  <c r="F42" i="16"/>
  <c r="G42" i="16" s="1"/>
  <c r="F41" i="16"/>
  <c r="G41" i="16" s="1"/>
  <c r="F40" i="16"/>
  <c r="G40" i="16" s="1"/>
  <c r="F39" i="16"/>
  <c r="G39" i="16" s="1"/>
  <c r="F38" i="16"/>
  <c r="G38" i="16" s="1"/>
  <c r="F37" i="16"/>
  <c r="G37" i="16" s="1"/>
  <c r="F36" i="16"/>
  <c r="G36" i="16" s="1"/>
  <c r="F35" i="16"/>
  <c r="G35" i="16" s="1"/>
  <c r="F34" i="16"/>
  <c r="G34" i="16" s="1"/>
  <c r="F33" i="16"/>
  <c r="G33" i="16" s="1"/>
  <c r="F32" i="16"/>
  <c r="G32" i="16" s="1"/>
  <c r="F31" i="16"/>
  <c r="G31" i="16" s="1"/>
  <c r="F30" i="16"/>
  <c r="G30" i="16" s="1"/>
  <c r="F29" i="16"/>
  <c r="G29" i="16" s="1"/>
  <c r="F28" i="16"/>
  <c r="G28" i="16" s="1"/>
  <c r="F27" i="16"/>
  <c r="G27" i="16" s="1"/>
  <c r="F26" i="16"/>
  <c r="G26" i="16" s="1"/>
  <c r="F25" i="16"/>
  <c r="G25" i="16" s="1"/>
  <c r="F24" i="16"/>
  <c r="G24" i="16" s="1"/>
  <c r="F23" i="16"/>
  <c r="G23" i="16" s="1"/>
  <c r="F22" i="16"/>
  <c r="G22" i="16" s="1"/>
  <c r="F21" i="16"/>
  <c r="G21" i="16" s="1"/>
  <c r="F20" i="16"/>
  <c r="G20" i="16" s="1"/>
  <c r="F19" i="16"/>
  <c r="G19" i="16" s="1"/>
  <c r="F18" i="16"/>
  <c r="G18" i="16" s="1"/>
  <c r="F17" i="16"/>
  <c r="G17" i="16" s="1"/>
  <c r="F16" i="16"/>
  <c r="G16" i="16" s="1"/>
  <c r="F15" i="16"/>
  <c r="G15" i="16" s="1"/>
  <c r="F14" i="16"/>
  <c r="G14" i="16" s="1"/>
  <c r="F13" i="16"/>
  <c r="G13" i="16" s="1"/>
  <c r="F12" i="16"/>
  <c r="G12" i="16" s="1"/>
  <c r="F11" i="16"/>
  <c r="G11" i="16" s="1"/>
  <c r="F10" i="16"/>
  <c r="G10" i="16" s="1"/>
  <c r="F9" i="16"/>
  <c r="P69" i="15"/>
  <c r="O69" i="15"/>
  <c r="N34" i="15"/>
  <c r="O14" i="15"/>
  <c r="M68" i="15"/>
  <c r="K68" i="15"/>
  <c r="N68" i="15" s="1"/>
  <c r="M67" i="15"/>
  <c r="K67" i="15"/>
  <c r="N67" i="15" s="1"/>
  <c r="M66" i="15"/>
  <c r="K66" i="15"/>
  <c r="N66" i="15" s="1"/>
  <c r="M65" i="15"/>
  <c r="K65" i="15"/>
  <c r="N65" i="15" s="1"/>
  <c r="M64" i="15"/>
  <c r="K64" i="15"/>
  <c r="N64" i="15" s="1"/>
  <c r="M63" i="15"/>
  <c r="K63" i="15"/>
  <c r="N63" i="15" s="1"/>
  <c r="M62" i="15"/>
  <c r="K62" i="15"/>
  <c r="N62" i="15" s="1"/>
  <c r="M61" i="15"/>
  <c r="K61" i="15"/>
  <c r="N61" i="15" s="1"/>
  <c r="M60" i="15"/>
  <c r="K60" i="15"/>
  <c r="N60" i="15" s="1"/>
  <c r="M59" i="15"/>
  <c r="K59" i="15"/>
  <c r="N59" i="15" s="1"/>
  <c r="M58" i="15"/>
  <c r="K58" i="15"/>
  <c r="N58" i="15" s="1"/>
  <c r="M57" i="15"/>
  <c r="K57" i="15"/>
  <c r="N57" i="15" s="1"/>
  <c r="M56" i="15"/>
  <c r="K56" i="15"/>
  <c r="N56" i="15" s="1"/>
  <c r="M55" i="15"/>
  <c r="K55" i="15"/>
  <c r="N55" i="15" s="1"/>
  <c r="M54" i="15"/>
  <c r="K54" i="15"/>
  <c r="N54" i="15" s="1"/>
  <c r="M53" i="15"/>
  <c r="K53" i="15"/>
  <c r="N53" i="15" s="1"/>
  <c r="M52" i="15"/>
  <c r="K52" i="15"/>
  <c r="N52" i="15" s="1"/>
  <c r="M51" i="15"/>
  <c r="K51" i="15"/>
  <c r="N51" i="15" s="1"/>
  <c r="M50" i="15"/>
  <c r="K50" i="15"/>
  <c r="M49" i="15"/>
  <c r="K49" i="15"/>
  <c r="M48" i="15"/>
  <c r="K48" i="15"/>
  <c r="M47" i="15"/>
  <c r="K47" i="15"/>
  <c r="M46" i="15"/>
  <c r="K46" i="15"/>
  <c r="N46" i="15" s="1"/>
  <c r="M45" i="15"/>
  <c r="K45" i="15"/>
  <c r="N45" i="15" s="1"/>
  <c r="M44" i="15"/>
  <c r="K44" i="15"/>
  <c r="N44" i="15" s="1"/>
  <c r="M43" i="15"/>
  <c r="K43" i="15"/>
  <c r="N43" i="15" s="1"/>
  <c r="M42" i="15"/>
  <c r="K42" i="15"/>
  <c r="N42" i="15" s="1"/>
  <c r="M34" i="15"/>
  <c r="L34" i="15"/>
  <c r="K34" i="15"/>
  <c r="M33" i="15"/>
  <c r="L33" i="15"/>
  <c r="K33" i="15"/>
  <c r="N33" i="15" s="1"/>
  <c r="M32" i="15"/>
  <c r="L32" i="15"/>
  <c r="K32" i="15"/>
  <c r="N32" i="15" s="1"/>
  <c r="M31" i="15"/>
  <c r="L31" i="15"/>
  <c r="K31" i="15"/>
  <c r="M30" i="15"/>
  <c r="L30" i="15"/>
  <c r="K30" i="15"/>
  <c r="N30" i="15" s="1"/>
  <c r="M29" i="15"/>
  <c r="L29" i="15"/>
  <c r="K29" i="15"/>
  <c r="N29" i="15" s="1"/>
  <c r="M28" i="15"/>
  <c r="P28" i="15" s="1"/>
  <c r="P35" i="15" s="1"/>
  <c r="P73" i="15" s="1"/>
  <c r="P75" i="15" s="1"/>
  <c r="J14" i="4" s="1"/>
  <c r="L28" i="15"/>
  <c r="K28" i="15"/>
  <c r="M27" i="15"/>
  <c r="L27" i="15"/>
  <c r="O27" i="15" s="1"/>
  <c r="K27" i="15"/>
  <c r="N27" i="15" s="1"/>
  <c r="M26" i="15"/>
  <c r="L26" i="15"/>
  <c r="K26" i="15"/>
  <c r="N26" i="15" s="1"/>
  <c r="M25" i="15"/>
  <c r="L25" i="15"/>
  <c r="K25" i="15"/>
  <c r="N25" i="15" s="1"/>
  <c r="M24" i="15"/>
  <c r="L24" i="15"/>
  <c r="O24" i="15" s="1"/>
  <c r="K24" i="15"/>
  <c r="N24" i="15" s="1"/>
  <c r="M23" i="15"/>
  <c r="L23" i="15"/>
  <c r="K23" i="15"/>
  <c r="N23" i="15" s="1"/>
  <c r="M22" i="15"/>
  <c r="L22" i="15"/>
  <c r="K22" i="15"/>
  <c r="N22" i="15" s="1"/>
  <c r="M21" i="15"/>
  <c r="L21" i="15"/>
  <c r="O21" i="15" s="1"/>
  <c r="K21" i="15"/>
  <c r="N21" i="15" s="1"/>
  <c r="M20" i="15"/>
  <c r="L20" i="15"/>
  <c r="O20" i="15" s="1"/>
  <c r="K20" i="15"/>
  <c r="N20" i="15" s="1"/>
  <c r="M19" i="15"/>
  <c r="L19" i="15"/>
  <c r="K19" i="15"/>
  <c r="N19" i="15" s="1"/>
  <c r="M18" i="15"/>
  <c r="L18" i="15"/>
  <c r="O18" i="15" s="1"/>
  <c r="K18" i="15"/>
  <c r="N18" i="15" s="1"/>
  <c r="M17" i="15"/>
  <c r="L17" i="15"/>
  <c r="O17" i="15" s="1"/>
  <c r="K17" i="15"/>
  <c r="N17" i="15" s="1"/>
  <c r="M16" i="15"/>
  <c r="L16" i="15"/>
  <c r="K16" i="15"/>
  <c r="M15" i="15"/>
  <c r="L15" i="15"/>
  <c r="O15" i="15" s="1"/>
  <c r="K15" i="15"/>
  <c r="N15" i="15" s="1"/>
  <c r="M14" i="15"/>
  <c r="L14" i="15"/>
  <c r="K14" i="15"/>
  <c r="N14" i="15" s="1"/>
  <c r="M13" i="15"/>
  <c r="L13" i="15"/>
  <c r="O13" i="15" s="1"/>
  <c r="K13" i="15"/>
  <c r="N13" i="15" s="1"/>
  <c r="M12" i="15"/>
  <c r="L12" i="15"/>
  <c r="O12" i="15" s="1"/>
  <c r="K12" i="15"/>
  <c r="N12" i="15" s="1"/>
  <c r="M11" i="15"/>
  <c r="L11" i="15"/>
  <c r="O11" i="15" s="1"/>
  <c r="K11" i="15"/>
  <c r="N11" i="15" s="1"/>
  <c r="M10" i="15"/>
  <c r="L10" i="15"/>
  <c r="O10" i="15" s="1"/>
  <c r="K10" i="15"/>
  <c r="N10" i="15" s="1"/>
  <c r="M9" i="15"/>
  <c r="L9" i="15"/>
  <c r="O9" i="15" s="1"/>
  <c r="K9" i="15"/>
  <c r="N9" i="15" s="1"/>
  <c r="M8" i="15"/>
  <c r="L8" i="15"/>
  <c r="O8" i="15" s="1"/>
  <c r="K8" i="15"/>
  <c r="N8" i="15" s="1"/>
  <c r="N65" i="12" l="1"/>
  <c r="O34" i="12"/>
  <c r="O70" i="12" s="1"/>
  <c r="N34" i="12"/>
  <c r="G135" i="16"/>
  <c r="I135" i="16" s="1"/>
  <c r="J9" i="4" s="1"/>
  <c r="G92" i="16"/>
  <c r="I92" i="16" s="1"/>
  <c r="J13" i="4" s="1"/>
  <c r="O35" i="15"/>
  <c r="O73" i="15" s="1"/>
  <c r="O75" i="15" s="1"/>
  <c r="J11" i="4" s="1"/>
  <c r="N69" i="15"/>
  <c r="N35" i="15"/>
  <c r="N73" i="15" s="1"/>
  <c r="J62" i="6"/>
  <c r="K62" i="6"/>
  <c r="H62" i="6"/>
  <c r="G62" i="6"/>
  <c r="F62" i="6"/>
  <c r="E62" i="6"/>
  <c r="D62" i="6"/>
  <c r="C62" i="6"/>
  <c r="B62" i="6"/>
  <c r="J61" i="6"/>
  <c r="J27" i="6"/>
  <c r="J14" i="6"/>
  <c r="J11" i="6"/>
  <c r="J9" i="6"/>
  <c r="J8" i="6"/>
  <c r="J7" i="6"/>
  <c r="O21" i="47"/>
  <c r="O20" i="47"/>
  <c r="O19" i="47"/>
  <c r="O18" i="47"/>
  <c r="L20" i="47"/>
  <c r="L19" i="47"/>
  <c r="L21" i="47"/>
  <c r="L18" i="47"/>
  <c r="K18" i="47"/>
  <c r="C38" i="13"/>
  <c r="N70" i="12" l="1"/>
  <c r="N75" i="15"/>
  <c r="J7" i="4" s="1"/>
  <c r="Q73" i="15"/>
  <c r="J18" i="47"/>
  <c r="I20" i="47"/>
  <c r="P20" i="47" s="1"/>
  <c r="H22" i="47"/>
  <c r="I22" i="47" s="1"/>
  <c r="H21" i="47"/>
  <c r="I21" i="47" s="1"/>
  <c r="P21" i="47" s="1"/>
  <c r="H20" i="47"/>
  <c r="H19" i="47"/>
  <c r="I19" i="47" s="1"/>
  <c r="P19" i="47" s="1"/>
  <c r="H18" i="47"/>
  <c r="I18" i="47" s="1"/>
  <c r="P18" i="47" s="1"/>
  <c r="P23" i="47" s="1"/>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29" i="9"/>
  <c r="K28" i="9"/>
  <c r="K27" i="9"/>
  <c r="K26" i="9"/>
  <c r="K25" i="9"/>
  <c r="K24" i="9"/>
  <c r="K23" i="9"/>
  <c r="K22" i="9"/>
  <c r="K21" i="9"/>
  <c r="K20" i="9"/>
  <c r="K19" i="9"/>
  <c r="K18" i="9"/>
  <c r="K17" i="9"/>
  <c r="K16" i="9"/>
  <c r="K15" i="9"/>
  <c r="K14" i="9"/>
  <c r="K13" i="9"/>
  <c r="K12" i="9"/>
  <c r="K11" i="9"/>
  <c r="K10" i="9"/>
  <c r="K9" i="9"/>
  <c r="K8" i="9"/>
  <c r="K7" i="9"/>
  <c r="K6" i="9"/>
  <c r="K5" i="9"/>
  <c r="K98" i="9"/>
  <c r="K99" i="9"/>
  <c r="K187" i="9"/>
  <c r="K186" i="9"/>
  <c r="K185" i="9"/>
  <c r="K184" i="9"/>
  <c r="K183" i="9"/>
  <c r="K182" i="9"/>
  <c r="K181" i="9"/>
  <c r="K180" i="9"/>
  <c r="K179" i="9"/>
  <c r="M179" i="9" s="1"/>
  <c r="K178" i="9"/>
  <c r="K177" i="9"/>
  <c r="L176" i="9" s="1"/>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88" i="9"/>
  <c r="K189" i="9"/>
  <c r="J100" i="9"/>
  <c r="B100" i="9"/>
  <c r="K203" i="9"/>
  <c r="J195" i="9"/>
  <c r="B195" i="9"/>
  <c r="J196" i="9"/>
  <c r="I196" i="9"/>
  <c r="H196" i="9"/>
  <c r="G196" i="9"/>
  <c r="F196" i="9"/>
  <c r="D196" i="9"/>
  <c r="B196" i="9"/>
  <c r="L187" i="9" l="1"/>
  <c r="K196" i="9"/>
  <c r="L183" i="9"/>
  <c r="L180" i="9"/>
  <c r="I12" i="47" l="1"/>
  <c r="I11" i="47"/>
  <c r="I10" i="47"/>
  <c r="I9" i="47"/>
  <c r="I8" i="47"/>
  <c r="I7" i="47"/>
  <c r="G11" i="47"/>
  <c r="G10" i="47"/>
  <c r="G9" i="47"/>
  <c r="G8" i="47"/>
  <c r="G12" i="47" s="1"/>
  <c r="G7" i="47"/>
  <c r="K21" i="6"/>
  <c r="J21" i="6"/>
  <c r="I21" i="6"/>
  <c r="H21" i="6"/>
  <c r="G21" i="6"/>
  <c r="F21" i="6"/>
  <c r="E21" i="6"/>
  <c r="D21" i="6"/>
  <c r="C21" i="6"/>
  <c r="B21" i="6"/>
  <c r="C30" i="11"/>
  <c r="H90" i="2" l="1"/>
  <c r="C63" i="16"/>
  <c r="C120" i="16" l="1"/>
  <c r="C30" i="16"/>
  <c r="C24" i="16"/>
  <c r="J17" i="40" l="1"/>
  <c r="J56" i="40"/>
  <c r="F26" i="7" l="1"/>
  <c r="E26" i="7"/>
  <c r="D26" i="7"/>
  <c r="G26" i="7"/>
  <c r="H26" i="7"/>
  <c r="C42" i="14"/>
  <c r="C41" i="14"/>
  <c r="C40" i="14"/>
  <c r="F48" i="6" l="1"/>
  <c r="W15" i="43"/>
  <c r="W14" i="43"/>
  <c r="W13" i="43"/>
  <c r="U12" i="43"/>
  <c r="U11" i="43"/>
  <c r="W10" i="43"/>
  <c r="U10" i="43"/>
  <c r="S10" i="43"/>
  <c r="C31" i="42" l="1"/>
  <c r="E35" i="42" s="1"/>
  <c r="E22" i="42"/>
  <c r="E13" i="42"/>
  <c r="C14" i="39"/>
  <c r="C13" i="39"/>
  <c r="C12" i="39"/>
  <c r="C11" i="39"/>
  <c r="C9" i="39"/>
  <c r="C8" i="39"/>
  <c r="C7" i="32"/>
  <c r="C7" i="31"/>
  <c r="D43" i="6"/>
  <c r="D42" i="6"/>
  <c r="C27" i="6"/>
  <c r="B27" i="6"/>
  <c r="C14" i="41"/>
  <c r="C11" i="41"/>
  <c r="C10" i="41"/>
  <c r="C9" i="41"/>
  <c r="C8" i="41"/>
  <c r="C7" i="41"/>
  <c r="C6" i="41"/>
  <c r="M57" i="11"/>
  <c r="D57" i="11"/>
  <c r="D56" i="11"/>
  <c r="D58" i="11" s="1"/>
  <c r="C56" i="11"/>
  <c r="M54" i="11"/>
  <c r="L54" i="11"/>
  <c r="M53" i="11"/>
  <c r="L52" i="11"/>
  <c r="M52" i="11" s="1"/>
  <c r="L51" i="11"/>
  <c r="M51" i="11" s="1"/>
  <c r="L50" i="11"/>
  <c r="M50" i="11" s="1"/>
  <c r="M49" i="11"/>
  <c r="L49" i="11"/>
  <c r="M48" i="11"/>
  <c r="L48" i="11"/>
  <c r="L47" i="11"/>
  <c r="M47" i="11" s="1"/>
  <c r="M46" i="11"/>
  <c r="L46" i="11"/>
  <c r="M44" i="11"/>
  <c r="L44" i="11"/>
  <c r="F32" i="11"/>
  <c r="D32" i="11"/>
  <c r="F30" i="11"/>
  <c r="E30" i="11"/>
  <c r="E32" i="11" s="1"/>
  <c r="D33" i="11" s="1"/>
  <c r="D30" i="11"/>
  <c r="C20" i="11"/>
  <c r="C21" i="11" s="1"/>
  <c r="H18" i="11" s="1"/>
  <c r="M19" i="11"/>
  <c r="C19" i="11"/>
  <c r="M18" i="11"/>
  <c r="J18" i="11"/>
  <c r="F18" i="11"/>
  <c r="C18" i="11"/>
  <c r="N17" i="11"/>
  <c r="O17" i="11" s="1"/>
  <c r="O18" i="11" s="1"/>
  <c r="M17" i="11"/>
  <c r="J17" i="11"/>
  <c r="J19" i="11" s="1"/>
  <c r="I17" i="11"/>
  <c r="I18" i="11" s="1"/>
  <c r="G17" i="11"/>
  <c r="G19" i="11" s="1"/>
  <c r="F17" i="11"/>
  <c r="F19" i="11" s="1"/>
  <c r="E17" i="11"/>
  <c r="E19" i="11" s="1"/>
  <c r="D17" i="11"/>
  <c r="D19" i="11" s="1"/>
  <c r="C17" i="11"/>
  <c r="E12" i="11"/>
  <c r="D12" i="11"/>
  <c r="C39" i="14"/>
  <c r="L35" i="14"/>
  <c r="D33" i="14"/>
  <c r="L32" i="14"/>
  <c r="L31" i="14"/>
  <c r="L30" i="14"/>
  <c r="L29" i="14"/>
  <c r="L28" i="14"/>
  <c r="D28" i="14"/>
  <c r="L27" i="14"/>
  <c r="D27" i="14"/>
  <c r="L26" i="14"/>
  <c r="L25" i="14"/>
  <c r="L24" i="14"/>
  <c r="L23" i="14"/>
  <c r="D23" i="14"/>
  <c r="L22" i="14"/>
  <c r="L21" i="14"/>
  <c r="L20" i="14"/>
  <c r="L19" i="14"/>
  <c r="L16" i="14"/>
  <c r="D16" i="14"/>
  <c r="L15" i="14"/>
  <c r="D15" i="14"/>
  <c r="L13" i="14"/>
  <c r="L12" i="14"/>
  <c r="D11" i="14"/>
  <c r="L10" i="14"/>
  <c r="D9" i="14"/>
  <c r="L8" i="14"/>
  <c r="D8" i="14"/>
  <c r="L7" i="14"/>
  <c r="D7" i="14"/>
  <c r="D6" i="14"/>
  <c r="D5" i="14"/>
  <c r="L4" i="14"/>
  <c r="L39" i="14" s="1"/>
  <c r="D4" i="14"/>
  <c r="D39" i="14" s="1"/>
  <c r="N36" i="13"/>
  <c r="D36" i="13"/>
  <c r="N35" i="13"/>
  <c r="D35" i="13"/>
  <c r="N34" i="13"/>
  <c r="D34" i="13"/>
  <c r="N33" i="13"/>
  <c r="N32" i="13"/>
  <c r="N31" i="13"/>
  <c r="N30" i="13"/>
  <c r="D30" i="13"/>
  <c r="N29" i="13"/>
  <c r="D29" i="13"/>
  <c r="N27" i="13"/>
  <c r="N26" i="13"/>
  <c r="A26" i="13"/>
  <c r="N25" i="13"/>
  <c r="N23" i="13"/>
  <c r="N21" i="13"/>
  <c r="D21" i="13"/>
  <c r="N20" i="13"/>
  <c r="D20" i="13"/>
  <c r="N19" i="13"/>
  <c r="D19" i="13"/>
  <c r="N18" i="13"/>
  <c r="N17" i="13"/>
  <c r="D16" i="13"/>
  <c r="D15" i="13"/>
  <c r="N14" i="13"/>
  <c r="D14" i="13"/>
  <c r="N13" i="13"/>
  <c r="D13" i="13"/>
  <c r="N12" i="13"/>
  <c r="N11" i="13"/>
  <c r="N10" i="13"/>
  <c r="N9" i="13"/>
  <c r="N7" i="13"/>
  <c r="D6" i="13"/>
  <c r="D38" i="13" s="1"/>
  <c r="N5" i="13"/>
  <c r="M5" i="13"/>
  <c r="N4" i="13"/>
  <c r="N38" i="13" s="1"/>
  <c r="E24" i="42" l="1"/>
  <c r="E25" i="42" s="1"/>
  <c r="I46" i="6" s="1"/>
  <c r="E34" i="42"/>
  <c r="E36" i="42" s="1"/>
  <c r="E37" i="42" s="1"/>
  <c r="I44" i="6" s="1"/>
  <c r="C12" i="41"/>
  <c r="D6" i="41" s="1"/>
  <c r="M56" i="11"/>
  <c r="M58" i="11" s="1"/>
  <c r="D18" i="11"/>
  <c r="I19" i="11"/>
  <c r="E18" i="11"/>
  <c r="I26" i="11" s="1"/>
  <c r="N18" i="11"/>
  <c r="K17" i="11"/>
  <c r="G18" i="11"/>
  <c r="N19" i="11"/>
  <c r="C7" i="28"/>
  <c r="C7" i="26"/>
  <c r="C7" i="27"/>
  <c r="C7" i="29"/>
  <c r="I61" i="6" l="1"/>
  <c r="I62" i="6" s="1"/>
  <c r="M62" i="6" s="1"/>
  <c r="D10" i="41"/>
  <c r="C15" i="41"/>
  <c r="D7" i="41"/>
  <c r="D11" i="41"/>
  <c r="D12" i="41"/>
  <c r="D9" i="41"/>
  <c r="D8" i="41"/>
  <c r="K18" i="11"/>
  <c r="P17" i="11"/>
  <c r="N30" i="7"/>
  <c r="N29" i="7"/>
  <c r="N28" i="7"/>
  <c r="N24" i="7"/>
  <c r="N22" i="7"/>
  <c r="H40" i="7"/>
  <c r="F40" i="7"/>
  <c r="G40" i="7"/>
  <c r="F8" i="41" l="1"/>
  <c r="F11" i="41"/>
  <c r="F7" i="41"/>
  <c r="F9" i="41"/>
  <c r="F10" i="41"/>
  <c r="F6" i="41"/>
  <c r="F14" i="41"/>
  <c r="O133" i="9"/>
  <c r="K205" i="9"/>
  <c r="E205" i="9" s="1"/>
  <c r="K213" i="9"/>
  <c r="K204" i="9"/>
  <c r="F15" i="41" l="1"/>
  <c r="M175" i="9"/>
  <c r="L172" i="9"/>
  <c r="AF83" i="3" l="1"/>
  <c r="AF82" i="3"/>
  <c r="AF81" i="3"/>
  <c r="AF80" i="3"/>
  <c r="AF79" i="3"/>
  <c r="AF78" i="3"/>
  <c r="AF77" i="3"/>
  <c r="AF76" i="3"/>
  <c r="AF74" i="3"/>
  <c r="AF72" i="3"/>
  <c r="AF71" i="3"/>
  <c r="AF70" i="3"/>
  <c r="AF69" i="3"/>
  <c r="AF68" i="3"/>
  <c r="AF67" i="3"/>
  <c r="AF66" i="3"/>
  <c r="AF65" i="3"/>
  <c r="AF64" i="3"/>
  <c r="AF61" i="3"/>
  <c r="AF60" i="3"/>
  <c r="AF59" i="3"/>
  <c r="AF58" i="3"/>
  <c r="AF57" i="3"/>
  <c r="AF56" i="3"/>
  <c r="AF55" i="3"/>
  <c r="AF54" i="3"/>
  <c r="AF50" i="3"/>
  <c r="AF49" i="3"/>
  <c r="AF48" i="3"/>
  <c r="AF47" i="3"/>
  <c r="AF46" i="3"/>
  <c r="AF45" i="3"/>
  <c r="AF44" i="3"/>
  <c r="AF43" i="3"/>
  <c r="AF40" i="3"/>
  <c r="AF39" i="3"/>
  <c r="AF38" i="3"/>
  <c r="AF37" i="3"/>
  <c r="AF36" i="3"/>
  <c r="AF35" i="3"/>
  <c r="AF34" i="3"/>
  <c r="AF33" i="3"/>
  <c r="AF32" i="3"/>
  <c r="AF31" i="3"/>
  <c r="AF30" i="3"/>
  <c r="AF29" i="3"/>
  <c r="AF28" i="3"/>
  <c r="AF27" i="3"/>
  <c r="H60" i="7"/>
  <c r="G60" i="7"/>
  <c r="F60" i="7"/>
  <c r="E60" i="7"/>
  <c r="D60" i="7"/>
  <c r="P219" i="8"/>
  <c r="G218" i="8"/>
  <c r="G217" i="8"/>
  <c r="O216" i="8"/>
  <c r="G215" i="8"/>
  <c r="G214" i="8"/>
  <c r="L213" i="8"/>
  <c r="N212" i="8"/>
  <c r="G211" i="8"/>
  <c r="G210" i="8"/>
  <c r="K209" i="8"/>
  <c r="L208" i="8"/>
  <c r="N207" i="8"/>
  <c r="G206" i="8"/>
  <c r="G205" i="8"/>
  <c r="O204" i="8"/>
  <c r="O219" i="8" s="1"/>
  <c r="G203" i="8"/>
  <c r="G202" i="8"/>
  <c r="M219" i="8"/>
  <c r="K219" i="8"/>
  <c r="L219" i="8"/>
  <c r="N219" i="8"/>
  <c r="O195" i="8"/>
  <c r="N195" i="8"/>
  <c r="M195" i="8"/>
  <c r="L195" i="8"/>
  <c r="K195" i="8"/>
  <c r="G195" i="8"/>
  <c r="G194" i="8"/>
  <c r="G193" i="8"/>
  <c r="O192" i="8"/>
  <c r="G191" i="8"/>
  <c r="G190" i="8"/>
  <c r="L189" i="8"/>
  <c r="N188" i="8"/>
  <c r="G187" i="8"/>
  <c r="G186" i="8"/>
  <c r="K185" i="8"/>
  <c r="L184" i="8"/>
  <c r="N183" i="8"/>
  <c r="G182" i="8"/>
  <c r="G181" i="8"/>
  <c r="O180" i="8"/>
  <c r="G179" i="8"/>
  <c r="G178" i="8"/>
  <c r="H38" i="7"/>
  <c r="F38" i="7"/>
  <c r="D38" i="7"/>
  <c r="D39" i="7"/>
  <c r="C30" i="4"/>
  <c r="H24" i="7"/>
  <c r="G24" i="7"/>
  <c r="F24" i="7"/>
  <c r="E24" i="7"/>
  <c r="D24" i="7"/>
  <c r="C12" i="38"/>
  <c r="D12" i="38"/>
  <c r="B12" i="38"/>
  <c r="D15" i="37"/>
  <c r="D14" i="37"/>
  <c r="D13" i="37"/>
  <c r="D12" i="37"/>
  <c r="D11" i="37"/>
  <c r="D10" i="37"/>
  <c r="D9" i="37"/>
  <c r="D8" i="37"/>
  <c r="A12" i="38"/>
  <c r="E61" i="40"/>
  <c r="E60" i="40"/>
  <c r="E59" i="40"/>
  <c r="E58" i="40"/>
  <c r="E55" i="40"/>
  <c r="E54" i="40"/>
  <c r="E53" i="40"/>
  <c r="E52" i="40"/>
  <c r="E51" i="40"/>
  <c r="F56" i="40" s="1"/>
  <c r="E48" i="40"/>
  <c r="E47" i="40"/>
  <c r="E46" i="40"/>
  <c r="E45" i="40"/>
  <c r="E44" i="40"/>
  <c r="E43" i="40"/>
  <c r="E42" i="40"/>
  <c r="E41" i="40"/>
  <c r="E40" i="40"/>
  <c r="E39" i="40"/>
  <c r="E36" i="40"/>
  <c r="E35" i="40"/>
  <c r="E34" i="40"/>
  <c r="E33" i="40"/>
  <c r="E32" i="40"/>
  <c r="E31" i="40"/>
  <c r="E28" i="40"/>
  <c r="E27" i="40"/>
  <c r="E26" i="40"/>
  <c r="E25" i="40"/>
  <c r="E24" i="40"/>
  <c r="E23" i="40"/>
  <c r="E20" i="40"/>
  <c r="E19" i="40"/>
  <c r="E16" i="40"/>
  <c r="E15" i="40"/>
  <c r="E14" i="40"/>
  <c r="E11" i="40"/>
  <c r="E10" i="40"/>
  <c r="E9" i="40"/>
  <c r="E8" i="40"/>
  <c r="E7" i="40"/>
  <c r="E6" i="40"/>
  <c r="F12" i="40" l="1"/>
  <c r="F29" i="40"/>
  <c r="F62" i="40"/>
  <c r="G219" i="8"/>
  <c r="F12" i="38"/>
  <c r="F37" i="40"/>
  <c r="F49" i="40"/>
  <c r="F21" i="40"/>
  <c r="F17" i="40"/>
  <c r="F63" i="40" s="1"/>
  <c r="G29" i="40" l="1"/>
  <c r="G62" i="40"/>
  <c r="E25" i="7" s="1"/>
  <c r="G56" i="40"/>
  <c r="G12" i="40"/>
  <c r="G49" i="40"/>
  <c r="G17" i="40"/>
  <c r="G21" i="40"/>
  <c r="G25" i="7" s="1"/>
  <c r="G37" i="40"/>
  <c r="F25" i="7" s="1"/>
  <c r="H38" i="17"/>
  <c r="H37" i="17"/>
  <c r="H36" i="17"/>
  <c r="H35" i="17"/>
  <c r="H34" i="17"/>
  <c r="H33" i="17"/>
  <c r="H32" i="17"/>
  <c r="H31" i="17"/>
  <c r="H30" i="17"/>
  <c r="H29" i="17"/>
  <c r="H28" i="17"/>
  <c r="H27" i="17"/>
  <c r="H39" i="17" s="1"/>
  <c r="L64" i="18"/>
  <c r="L60" i="18"/>
  <c r="L57" i="18"/>
  <c r="L47" i="18"/>
  <c r="L46" i="18"/>
  <c r="L42" i="18"/>
  <c r="L29" i="18"/>
  <c r="L28" i="18"/>
  <c r="L25" i="18"/>
  <c r="L22" i="18"/>
  <c r="L18" i="18"/>
  <c r="L17" i="18"/>
  <c r="L10" i="18"/>
  <c r="L9" i="18"/>
  <c r="H25" i="7" l="1"/>
  <c r="D25" i="7"/>
  <c r="N26" i="7"/>
  <c r="E27" i="7"/>
  <c r="F27" i="7"/>
  <c r="G63" i="40"/>
  <c r="B72" i="7"/>
  <c r="M61" i="5"/>
  <c r="K21" i="5"/>
  <c r="M20" i="5"/>
  <c r="M19" i="5"/>
  <c r="M21" i="5" s="1"/>
  <c r="M18" i="5"/>
  <c r="U22" i="36"/>
  <c r="S22" i="36"/>
  <c r="Q22" i="36"/>
  <c r="U15" i="36"/>
  <c r="S15" i="36"/>
  <c r="Q15" i="36"/>
  <c r="U8" i="36"/>
  <c r="S8" i="36"/>
  <c r="Q8" i="36"/>
  <c r="N25" i="7" l="1"/>
  <c r="M62" i="5"/>
  <c r="H27" i="7"/>
  <c r="D27" i="7"/>
  <c r="E69" i="4"/>
  <c r="E68" i="4"/>
  <c r="E67" i="4"/>
  <c r="E66" i="4"/>
  <c r="E65" i="4"/>
  <c r="E64" i="4"/>
  <c r="E63" i="4"/>
  <c r="E60" i="4"/>
  <c r="E59" i="4"/>
  <c r="E58" i="4"/>
  <c r="E57" i="4"/>
  <c r="E56" i="4"/>
  <c r="E55" i="4"/>
  <c r="E54" i="4"/>
  <c r="E53" i="4"/>
  <c r="E52" i="4"/>
  <c r="E51" i="4"/>
  <c r="E47" i="4"/>
  <c r="E46" i="4"/>
  <c r="E45" i="4"/>
  <c r="E41" i="4"/>
  <c r="E40" i="4"/>
  <c r="E39" i="4"/>
  <c r="E38" i="4"/>
  <c r="E37" i="4"/>
  <c r="E36" i="4"/>
  <c r="E35" i="4"/>
  <c r="E34" i="4"/>
  <c r="E31" i="4"/>
  <c r="E30" i="4"/>
  <c r="E29" i="4"/>
  <c r="E28" i="4"/>
  <c r="E26" i="4"/>
  <c r="E25" i="4"/>
  <c r="E24" i="4"/>
  <c r="E20" i="4"/>
  <c r="E19" i="4"/>
  <c r="E18" i="4"/>
  <c r="E17" i="4"/>
  <c r="E16" i="4"/>
  <c r="E15" i="4"/>
  <c r="E13" i="4"/>
  <c r="E10" i="4"/>
  <c r="L60" i="6"/>
  <c r="L59" i="6"/>
  <c r="L58" i="6"/>
  <c r="L57" i="6"/>
  <c r="L56" i="6"/>
  <c r="L55" i="6"/>
  <c r="L54" i="6"/>
  <c r="L53" i="6"/>
  <c r="L52" i="6"/>
  <c r="L51" i="6"/>
  <c r="L48" i="6"/>
  <c r="E48" i="4" s="1"/>
  <c r="L47" i="6"/>
  <c r="L46" i="6"/>
  <c r="L45" i="6"/>
  <c r="L43" i="6"/>
  <c r="E43" i="4" s="1"/>
  <c r="L42" i="6"/>
  <c r="E42" i="4" s="1"/>
  <c r="L41" i="6"/>
  <c r="L40" i="6"/>
  <c r="L39" i="6"/>
  <c r="L38" i="6"/>
  <c r="L37" i="6"/>
  <c r="L36" i="6"/>
  <c r="L35" i="6"/>
  <c r="L34" i="6"/>
  <c r="L31" i="6"/>
  <c r="L30" i="6"/>
  <c r="L29" i="6"/>
  <c r="L28" i="6"/>
  <c r="L26" i="6"/>
  <c r="L25" i="6"/>
  <c r="L24" i="6"/>
  <c r="L22" i="6"/>
  <c r="L20" i="6"/>
  <c r="L19" i="6"/>
  <c r="L18" i="6"/>
  <c r="L17" i="6"/>
  <c r="L16" i="6"/>
  <c r="L15" i="6"/>
  <c r="L14" i="6"/>
  <c r="E14" i="4" s="1"/>
  <c r="L13" i="6"/>
  <c r="L12" i="6"/>
  <c r="L11" i="6"/>
  <c r="E11" i="4" s="1"/>
  <c r="L10" i="6"/>
  <c r="L9" i="6"/>
  <c r="E9" i="4" s="1"/>
  <c r="L8" i="6"/>
  <c r="E8" i="4" s="1"/>
  <c r="L7" i="6"/>
  <c r="E7" i="4" s="1"/>
  <c r="K23" i="6"/>
  <c r="K61" i="6" s="1"/>
  <c r="H32" i="6"/>
  <c r="H61" i="6" s="1"/>
  <c r="F61" i="6"/>
  <c r="G49" i="6"/>
  <c r="L49" i="6" s="1"/>
  <c r="E49" i="4" s="1"/>
  <c r="G33" i="6"/>
  <c r="L33" i="6" s="1"/>
  <c r="E33" i="4" s="1"/>
  <c r="N20" i="5"/>
  <c r="I57" i="5"/>
  <c r="I51" i="5"/>
  <c r="U28" i="35"/>
  <c r="U27" i="35"/>
  <c r="U26" i="35"/>
  <c r="U25" i="35"/>
  <c r="U29" i="35" s="1"/>
  <c r="Y23" i="35"/>
  <c r="Y22" i="35"/>
  <c r="W22" i="35"/>
  <c r="W23" i="35" s="1"/>
  <c r="U22" i="35"/>
  <c r="U23" i="35" s="1"/>
  <c r="E12" i="4" l="1"/>
  <c r="L21" i="6"/>
  <c r="E21" i="4" s="1"/>
  <c r="G61" i="6"/>
  <c r="E70" i="4"/>
  <c r="L23" i="6"/>
  <c r="E23" i="4" s="1"/>
  <c r="L32" i="6"/>
  <c r="E32" i="4" s="1"/>
  <c r="N27" i="7"/>
  <c r="L44" i="6"/>
  <c r="E44" i="4" s="1"/>
  <c r="N60" i="5"/>
  <c r="N59" i="5"/>
  <c r="N58" i="5"/>
  <c r="N57" i="5"/>
  <c r="N56" i="5"/>
  <c r="N55" i="5"/>
  <c r="N51" i="5"/>
  <c r="N50" i="5"/>
  <c r="N49" i="5"/>
  <c r="N48" i="5"/>
  <c r="N47" i="5"/>
  <c r="N46" i="5"/>
  <c r="N43" i="5"/>
  <c r="N42" i="5"/>
  <c r="N41" i="5"/>
  <c r="N40" i="5"/>
  <c r="N39" i="5"/>
  <c r="N38" i="5"/>
  <c r="N37" i="5"/>
  <c r="N36" i="5"/>
  <c r="N35" i="5"/>
  <c r="N33" i="5"/>
  <c r="N32" i="5"/>
  <c r="N29" i="5"/>
  <c r="N26" i="5"/>
  <c r="N25" i="5"/>
  <c r="N24" i="5"/>
  <c r="N23" i="5"/>
  <c r="N19" i="5"/>
  <c r="N15" i="5"/>
  <c r="D13" i="39"/>
  <c r="D12" i="39"/>
  <c r="D11" i="39"/>
  <c r="D9" i="39"/>
  <c r="D24" i="39"/>
  <c r="D23" i="39"/>
  <c r="D22" i="39"/>
  <c r="D21" i="39"/>
  <c r="D20" i="39"/>
  <c r="D19" i="39"/>
  <c r="D18" i="39"/>
  <c r="D17" i="39"/>
  <c r="D16" i="39"/>
  <c r="D10" i="39"/>
  <c r="D7" i="39"/>
  <c r="C25" i="39" l="1"/>
  <c r="D8" i="39"/>
  <c r="D25" i="39" s="1"/>
  <c r="C33" i="39" s="1"/>
  <c r="C35" i="39" s="1"/>
  <c r="B21" i="34" l="1"/>
  <c r="H15" i="17" l="1"/>
  <c r="H14" i="17"/>
  <c r="H13" i="17"/>
  <c r="H12" i="17"/>
  <c r="H11" i="17"/>
  <c r="H10" i="17"/>
  <c r="H9" i="17"/>
  <c r="H8" i="17"/>
  <c r="H7" i="17"/>
  <c r="H6" i="17"/>
  <c r="C9" i="4"/>
  <c r="G15" i="44" s="1"/>
  <c r="D61" i="6"/>
  <c r="C61" i="6"/>
  <c r="C16" i="37"/>
  <c r="C14" i="37"/>
  <c r="C11" i="37"/>
  <c r="C10" i="37"/>
  <c r="C9" i="37"/>
  <c r="C8" i="37"/>
  <c r="C13" i="37"/>
  <c r="C12" i="37"/>
  <c r="L27" i="6" l="1"/>
  <c r="B61" i="6"/>
  <c r="H16" i="17"/>
  <c r="B19" i="34"/>
  <c r="E27" i="4" l="1"/>
  <c r="K53" i="5"/>
  <c r="V93" i="24"/>
  <c r="V92" i="24"/>
  <c r="V91" i="24"/>
  <c r="V89" i="24"/>
  <c r="K61" i="5" l="1"/>
  <c r="N53" i="5"/>
  <c r="N27" i="5"/>
  <c r="V87" i="24"/>
  <c r="V90" i="24" s="1"/>
  <c r="V83" i="24"/>
  <c r="V79" i="24"/>
  <c r="V81" i="24" l="1"/>
  <c r="V80" i="24"/>
  <c r="V84" i="24"/>
  <c r="V85" i="24"/>
  <c r="G44" i="5"/>
  <c r="N44" i="5" s="1"/>
  <c r="G34" i="5" l="1"/>
  <c r="N34" i="5" s="1"/>
  <c r="D173" i="8"/>
  <c r="D175" i="8" s="1"/>
  <c r="D172" i="8"/>
  <c r="D108" i="8"/>
  <c r="K108" i="8" s="1"/>
  <c r="D107" i="8"/>
  <c r="K107" i="8" s="1"/>
  <c r="D106" i="8"/>
  <c r="K106" i="8" s="1"/>
  <c r="L106" i="8" s="1"/>
  <c r="M106" i="8" s="1"/>
  <c r="AN108" i="8"/>
  <c r="AM108" i="8"/>
  <c r="AK108" i="8"/>
  <c r="AJ108" i="8"/>
  <c r="AH108" i="8"/>
  <c r="AI108" i="8" s="1"/>
  <c r="AF108" i="8"/>
  <c r="AD108" i="8"/>
  <c r="Q108" i="8"/>
  <c r="G108" i="8"/>
  <c r="AL108" i="8" s="1"/>
  <c r="AN107" i="8"/>
  <c r="AM107" i="8"/>
  <c r="AK107" i="8"/>
  <c r="AJ107" i="8"/>
  <c r="AH107" i="8"/>
  <c r="AI107" i="8" s="1"/>
  <c r="AF107" i="8"/>
  <c r="AD107" i="8"/>
  <c r="Q107" i="8"/>
  <c r="G107" i="8"/>
  <c r="AL107" i="8" s="1"/>
  <c r="AN106" i="8"/>
  <c r="AM106" i="8"/>
  <c r="AK106" i="8"/>
  <c r="AJ106" i="8"/>
  <c r="AH106" i="8"/>
  <c r="AI106" i="8" s="1"/>
  <c r="AF106" i="8"/>
  <c r="AD106" i="8"/>
  <c r="Q106" i="8"/>
  <c r="G106" i="8"/>
  <c r="AL106" i="8" s="1"/>
  <c r="AN55" i="8"/>
  <c r="AM55" i="8"/>
  <c r="AK55" i="8"/>
  <c r="AJ55" i="8"/>
  <c r="AH55" i="8"/>
  <c r="AI55" i="8" s="1"/>
  <c r="AF55" i="8"/>
  <c r="AD55" i="8"/>
  <c r="Q55" i="8"/>
  <c r="K55" i="8"/>
  <c r="L55" i="8" s="1"/>
  <c r="M55" i="8" s="1"/>
  <c r="G55" i="8"/>
  <c r="AL55" i="8" s="1"/>
  <c r="AN72" i="8"/>
  <c r="AM72" i="8"/>
  <c r="AK72" i="8"/>
  <c r="AJ72" i="8"/>
  <c r="AH72" i="8"/>
  <c r="AI72" i="8" s="1"/>
  <c r="AF72" i="8"/>
  <c r="AD72" i="8"/>
  <c r="Q72" i="8"/>
  <c r="K72" i="8"/>
  <c r="L72" i="8" s="1"/>
  <c r="M72" i="8" s="1"/>
  <c r="G72" i="8"/>
  <c r="AL72" i="8" s="1"/>
  <c r="AN23" i="8"/>
  <c r="AM23" i="8"/>
  <c r="AK23" i="8"/>
  <c r="AJ23" i="8"/>
  <c r="AH23" i="8"/>
  <c r="AI23" i="8" s="1"/>
  <c r="AF23" i="8"/>
  <c r="AD23" i="8"/>
  <c r="Q23" i="8"/>
  <c r="K23" i="8"/>
  <c r="L23" i="8" s="1"/>
  <c r="M23" i="8" s="1"/>
  <c r="G23" i="8"/>
  <c r="AL23" i="8" s="1"/>
  <c r="Z106" i="8" l="1"/>
  <c r="T106" i="8"/>
  <c r="AE106" i="8" s="1"/>
  <c r="O106" i="8"/>
  <c r="P106" i="8" s="1"/>
  <c r="AA106" i="8" s="1"/>
  <c r="L108" i="8"/>
  <c r="M108" i="8" s="1"/>
  <c r="L107" i="8"/>
  <c r="M107" i="8" s="1"/>
  <c r="R107" i="8" s="1"/>
  <c r="AC107" i="8" s="1"/>
  <c r="R106" i="8"/>
  <c r="AC106" i="8" s="1"/>
  <c r="Z55" i="8"/>
  <c r="O55" i="8" s="1"/>
  <c r="P55" i="8" s="1"/>
  <c r="AA55" i="8" s="1"/>
  <c r="T55" i="8"/>
  <c r="AE55" i="8" s="1"/>
  <c r="R55" i="8"/>
  <c r="AC55" i="8" s="1"/>
  <c r="Z72" i="8"/>
  <c r="O72" i="8" s="1"/>
  <c r="P72" i="8" s="1"/>
  <c r="AA72" i="8" s="1"/>
  <c r="T72" i="8"/>
  <c r="R72" i="8"/>
  <c r="AC72" i="8" s="1"/>
  <c r="Z23" i="8"/>
  <c r="O23" i="8" s="1"/>
  <c r="P23" i="8" s="1"/>
  <c r="AA23" i="8" s="1"/>
  <c r="T23" i="8"/>
  <c r="AE23" i="8" s="1"/>
  <c r="R23" i="8"/>
  <c r="AC23" i="8" s="1"/>
  <c r="V54" i="33"/>
  <c r="Z46" i="33"/>
  <c r="Z47" i="33" s="1"/>
  <c r="Z48" i="33" s="1"/>
  <c r="X46" i="33"/>
  <c r="X47" i="33" s="1"/>
  <c r="X48" i="33" s="1"/>
  <c r="V46" i="33"/>
  <c r="V47" i="33" s="1"/>
  <c r="V48" i="33" s="1"/>
  <c r="Z107" i="8" l="1"/>
  <c r="O107" i="8" s="1"/>
  <c r="P107" i="8" s="1"/>
  <c r="AA107" i="8" s="1"/>
  <c r="T107" i="8"/>
  <c r="Z108" i="8"/>
  <c r="O108" i="8" s="1"/>
  <c r="P108" i="8" s="1"/>
  <c r="AA108" i="8" s="1"/>
  <c r="T108" i="8"/>
  <c r="R108" i="8"/>
  <c r="AC108" i="8" s="1"/>
  <c r="AB106" i="8"/>
  <c r="AB55" i="8"/>
  <c r="AE72" i="8"/>
  <c r="AB72" i="8"/>
  <c r="AB23" i="8"/>
  <c r="V40" i="22"/>
  <c r="V41" i="22" s="1"/>
  <c r="Z37" i="22"/>
  <c r="Z38" i="22" s="1"/>
  <c r="Z36" i="22"/>
  <c r="X36" i="22"/>
  <c r="X37" i="22" s="1"/>
  <c r="X38" i="22" s="1"/>
  <c r="V36" i="22"/>
  <c r="V37" i="22" s="1"/>
  <c r="V38" i="22" s="1"/>
  <c r="AE108" i="8" l="1"/>
  <c r="AB108" i="8"/>
  <c r="AE107" i="8"/>
  <c r="AB107" i="8"/>
  <c r="Z73" i="24"/>
  <c r="Z74" i="24" s="1"/>
  <c r="Z75" i="24" s="1"/>
  <c r="X73" i="24"/>
  <c r="X74" i="24" s="1"/>
  <c r="X75" i="24" s="1"/>
  <c r="V73" i="24"/>
  <c r="V74" i="24" s="1"/>
  <c r="V75" i="24" s="1"/>
  <c r="G7" i="32" l="1"/>
  <c r="G7" i="31"/>
  <c r="H12" i="30"/>
  <c r="H11" i="30"/>
  <c r="H13" i="30" s="1"/>
  <c r="H9" i="30"/>
  <c r="G12" i="30"/>
  <c r="G11" i="30"/>
  <c r="G9" i="30"/>
  <c r="C9" i="30"/>
  <c r="S59" i="29" l="1"/>
  <c r="U57" i="29"/>
  <c r="U56" i="29"/>
  <c r="J46" i="29"/>
  <c r="J45" i="29"/>
  <c r="J44" i="29"/>
  <c r="J43" i="29"/>
  <c r="V38" i="29"/>
  <c r="J38" i="29"/>
  <c r="V36" i="29"/>
  <c r="V34" i="29"/>
  <c r="V33" i="29"/>
  <c r="J28" i="29"/>
  <c r="V27" i="29"/>
  <c r="K27" i="29"/>
  <c r="V24" i="29"/>
  <c r="V23" i="29"/>
  <c r="V22" i="29"/>
  <c r="V18" i="29"/>
  <c r="V17" i="29"/>
  <c r="V16" i="29"/>
  <c r="V14" i="29"/>
  <c r="V13" i="29"/>
  <c r="V12" i="29"/>
  <c r="V11" i="29"/>
  <c r="F8" i="29"/>
  <c r="F9" i="29" s="1"/>
  <c r="F10" i="29" s="1"/>
  <c r="F11" i="29" s="1"/>
  <c r="F12" i="29" s="1"/>
  <c r="F13" i="29" s="1"/>
  <c r="F14" i="29" s="1"/>
  <c r="F15" i="29" s="1"/>
  <c r="F16" i="29" s="1"/>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V7" i="29"/>
  <c r="V6" i="29"/>
  <c r="S59" i="27"/>
  <c r="U57" i="27"/>
  <c r="U56" i="27"/>
  <c r="V28" i="27" s="1"/>
  <c r="J46" i="27"/>
  <c r="J45" i="27"/>
  <c r="J44" i="27"/>
  <c r="J43" i="27"/>
  <c r="V39" i="27"/>
  <c r="J38" i="27"/>
  <c r="Y68" i="27" s="1"/>
  <c r="V29" i="27"/>
  <c r="J28" i="27"/>
  <c r="K27" i="27"/>
  <c r="V26" i="27"/>
  <c r="V17" i="27"/>
  <c r="V12" i="27"/>
  <c r="V11" i="27"/>
  <c r="F10" i="27"/>
  <c r="F11" i="27" s="1"/>
  <c r="F12" i="27" s="1"/>
  <c r="F13" i="27" s="1"/>
  <c r="F14" i="27" s="1"/>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V8" i="27"/>
  <c r="F8" i="27"/>
  <c r="F9" i="27" s="1"/>
  <c r="S59" i="26"/>
  <c r="U57" i="26"/>
  <c r="U56" i="26"/>
  <c r="J47" i="26"/>
  <c r="J46" i="26"/>
  <c r="J45" i="26"/>
  <c r="J44" i="26"/>
  <c r="J43" i="26"/>
  <c r="J38" i="26"/>
  <c r="V28" i="26"/>
  <c r="J28" i="26"/>
  <c r="V27" i="26"/>
  <c r="K27" i="26"/>
  <c r="I27" i="26"/>
  <c r="AA33" i="26" s="1"/>
  <c r="V18" i="26"/>
  <c r="V17" i="26"/>
  <c r="V14" i="26"/>
  <c r="F8" i="26"/>
  <c r="F9" i="26" s="1"/>
  <c r="F10" i="26" s="1"/>
  <c r="F11" i="26" s="1"/>
  <c r="F12" i="26" s="1"/>
  <c r="F13" i="26" s="1"/>
  <c r="F14" i="26" s="1"/>
  <c r="F15" i="26" s="1"/>
  <c r="F16" i="26" s="1"/>
  <c r="F17" i="26" s="1"/>
  <c r="F18" i="26" s="1"/>
  <c r="F19" i="26" s="1"/>
  <c r="F20" i="26" s="1"/>
  <c r="F21" i="26" s="1"/>
  <c r="F22" i="26" s="1"/>
  <c r="F23" i="26" s="1"/>
  <c r="F24" i="26" s="1"/>
  <c r="F25" i="26" s="1"/>
  <c r="F26" i="26" s="1"/>
  <c r="F27" i="26" s="1"/>
  <c r="F28" i="26" s="1"/>
  <c r="F29" i="26" s="1"/>
  <c r="F30" i="26" s="1"/>
  <c r="F31" i="26" s="1"/>
  <c r="F32" i="26" s="1"/>
  <c r="F33" i="26" s="1"/>
  <c r="F34" i="26" s="1"/>
  <c r="F35" i="26" s="1"/>
  <c r="F36" i="26" s="1"/>
  <c r="F37" i="26" s="1"/>
  <c r="F38" i="26" s="1"/>
  <c r="F39" i="26" s="1"/>
  <c r="F40" i="26" s="1"/>
  <c r="F41" i="26" s="1"/>
  <c r="F42" i="26" s="1"/>
  <c r="F43" i="26" s="1"/>
  <c r="F44" i="26" s="1"/>
  <c r="F45" i="26" s="1"/>
  <c r="F46" i="26" s="1"/>
  <c r="F47" i="26" s="1"/>
  <c r="F48" i="26" s="1"/>
  <c r="F49" i="26" s="1"/>
  <c r="S59" i="28"/>
  <c r="U57" i="28"/>
  <c r="U56" i="28"/>
  <c r="V28" i="28" s="1"/>
  <c r="J46" i="28"/>
  <c r="J45" i="28"/>
  <c r="J47" i="28" s="1"/>
  <c r="J44" i="28"/>
  <c r="J43" i="28"/>
  <c r="V39" i="28"/>
  <c r="J38" i="28"/>
  <c r="Y68" i="28" s="1"/>
  <c r="V37" i="28"/>
  <c r="V33" i="28"/>
  <c r="V31" i="28"/>
  <c r="V29" i="28"/>
  <c r="K27" i="28"/>
  <c r="V26" i="28"/>
  <c r="V24" i="28"/>
  <c r="V23" i="28"/>
  <c r="V21" i="28"/>
  <c r="V18" i="28"/>
  <c r="V17" i="28"/>
  <c r="V14" i="28"/>
  <c r="V13" i="28"/>
  <c r="V12" i="28"/>
  <c r="V11" i="28"/>
  <c r="V9" i="28"/>
  <c r="V8" i="28"/>
  <c r="F8" i="28"/>
  <c r="F9" i="28" s="1"/>
  <c r="F10" i="28" s="1"/>
  <c r="F12" i="28" s="1"/>
  <c r="F13" i="28" s="1"/>
  <c r="F14" i="28" s="1"/>
  <c r="F15" i="28" s="1"/>
  <c r="F16" i="28" s="1"/>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V7" i="28"/>
  <c r="V6" i="28"/>
  <c r="AA11" i="26" l="1"/>
  <c r="L27" i="26"/>
  <c r="AA9" i="26"/>
  <c r="AA6" i="26"/>
  <c r="AA13" i="26"/>
  <c r="AA26" i="26"/>
  <c r="J47" i="29"/>
  <c r="K38" i="29"/>
  <c r="Z68" i="29" s="1"/>
  <c r="Y68" i="29"/>
  <c r="V31" i="29"/>
  <c r="V21" i="29"/>
  <c r="V9" i="29"/>
  <c r="V19" i="29"/>
  <c r="V28" i="29"/>
  <c r="V29" i="29"/>
  <c r="V32" i="29"/>
  <c r="V39" i="29"/>
  <c r="V8" i="29"/>
  <c r="V26" i="29"/>
  <c r="V37" i="29"/>
  <c r="K38" i="27"/>
  <c r="Z68" i="27" s="1"/>
  <c r="V37" i="27"/>
  <c r="V13" i="27"/>
  <c r="V24" i="27"/>
  <c r="V27" i="27"/>
  <c r="V14" i="27"/>
  <c r="V23" i="27"/>
  <c r="V18" i="27"/>
  <c r="V34" i="27"/>
  <c r="V32" i="27"/>
  <c r="V22" i="27"/>
  <c r="V38" i="27"/>
  <c r="V36" i="27"/>
  <c r="V19" i="27"/>
  <c r="V16" i="27"/>
  <c r="V31" i="27"/>
  <c r="V21" i="27"/>
  <c r="V9" i="27"/>
  <c r="V6" i="27"/>
  <c r="V33" i="27"/>
  <c r="V7" i="27"/>
  <c r="J47" i="27"/>
  <c r="V34" i="26"/>
  <c r="V32" i="26"/>
  <c r="V22" i="26"/>
  <c r="V38" i="26"/>
  <c r="V36" i="26"/>
  <c r="V19" i="26"/>
  <c r="V16" i="26"/>
  <c r="V31" i="26"/>
  <c r="V21" i="26"/>
  <c r="V9" i="26"/>
  <c r="V6" i="26"/>
  <c r="V33" i="26"/>
  <c r="V26" i="26"/>
  <c r="V24" i="26"/>
  <c r="V13" i="26"/>
  <c r="V11" i="26"/>
  <c r="V37" i="26"/>
  <c r="V29" i="26"/>
  <c r="V8" i="26"/>
  <c r="AA21" i="26"/>
  <c r="V39" i="26"/>
  <c r="V7" i="26"/>
  <c r="V12" i="26"/>
  <c r="AA37" i="26"/>
  <c r="AA29" i="26"/>
  <c r="AA27" i="26"/>
  <c r="AA18" i="26"/>
  <c r="AA7" i="26"/>
  <c r="AA23" i="26"/>
  <c r="AA12" i="26"/>
  <c r="AA31" i="26"/>
  <c r="AA39" i="26"/>
  <c r="AA28" i="26"/>
  <c r="AA17" i="26"/>
  <c r="AA14" i="26"/>
  <c r="AA8" i="26"/>
  <c r="AA34" i="26"/>
  <c r="AA32" i="26"/>
  <c r="AA22" i="26"/>
  <c r="AA38" i="26"/>
  <c r="AA36" i="26"/>
  <c r="J27" i="26"/>
  <c r="M27" i="26" s="1"/>
  <c r="K11" i="26" s="1"/>
  <c r="I26" i="26"/>
  <c r="AA19" i="26"/>
  <c r="AA16" i="26"/>
  <c r="V23" i="26"/>
  <c r="AA24" i="26"/>
  <c r="Y68" i="26"/>
  <c r="K38" i="26"/>
  <c r="Z68" i="26" s="1"/>
  <c r="V27" i="28"/>
  <c r="K38" i="28"/>
  <c r="Z68" i="28" s="1"/>
  <c r="V34" i="28"/>
  <c r="V32" i="28"/>
  <c r="V22" i="28"/>
  <c r="V38" i="28"/>
  <c r="V36" i="28"/>
  <c r="V19" i="28"/>
  <c r="V16" i="28"/>
  <c r="M11" i="26" l="1"/>
  <c r="I11" i="26"/>
  <c r="J26" i="26"/>
  <c r="I28" i="26"/>
  <c r="C185" i="23" l="1"/>
  <c r="C186" i="23" s="1"/>
  <c r="C177" i="23"/>
  <c r="C176" i="23"/>
  <c r="C184" i="23"/>
  <c r="C183" i="23"/>
  <c r="C178" i="23"/>
  <c r="C179" i="23" l="1"/>
  <c r="C173" i="23"/>
  <c r="C172" i="23"/>
  <c r="C171" i="23"/>
  <c r="M169" i="23"/>
  <c r="K168" i="23"/>
  <c r="E168" i="23"/>
  <c r="K166" i="23"/>
  <c r="E166" i="23"/>
  <c r="L163" i="23"/>
  <c r="L169" i="23" s="1"/>
  <c r="J163" i="23"/>
  <c r="E163" i="23"/>
  <c r="C150" i="23"/>
  <c r="F149" i="23"/>
  <c r="G148" i="23"/>
  <c r="F147" i="23"/>
  <c r="F146" i="23"/>
  <c r="G145" i="23"/>
  <c r="F144" i="23"/>
  <c r="F143" i="23"/>
  <c r="G142" i="23"/>
  <c r="F141" i="23"/>
  <c r="F140" i="23"/>
  <c r="G139" i="23"/>
  <c r="F138" i="23"/>
  <c r="G137" i="23"/>
  <c r="F136" i="23"/>
  <c r="F135" i="23"/>
  <c r="F134" i="23"/>
  <c r="F133" i="23"/>
  <c r="G132" i="23"/>
  <c r="F131" i="23"/>
  <c r="G130" i="23"/>
  <c r="F129" i="23"/>
  <c r="F128" i="23"/>
  <c r="G127" i="23"/>
  <c r="F126" i="23"/>
  <c r="D126" i="23"/>
  <c r="F125" i="23"/>
  <c r="G124" i="23"/>
  <c r="F123" i="23"/>
  <c r="D123" i="23"/>
  <c r="G122" i="23"/>
  <c r="F121" i="23"/>
  <c r="G120" i="23"/>
  <c r="F119" i="23"/>
  <c r="G118" i="23"/>
  <c r="E117" i="23"/>
  <c r="F117" i="23" s="1"/>
  <c r="J116" i="23"/>
  <c r="I116" i="23"/>
  <c r="I169" i="23" s="1"/>
  <c r="H116" i="23"/>
  <c r="H169" i="23" s="1"/>
  <c r="E116" i="23"/>
  <c r="D113" i="23"/>
  <c r="D112" i="23"/>
  <c r="D111" i="23"/>
  <c r="D110" i="23"/>
  <c r="D109" i="23"/>
  <c r="D108" i="23"/>
  <c r="D107" i="23"/>
  <c r="D106" i="23"/>
  <c r="D105" i="23"/>
  <c r="D104" i="23"/>
  <c r="E103" i="23"/>
  <c r="G102" i="23"/>
  <c r="D102" i="23"/>
  <c r="G101" i="23"/>
  <c r="D101" i="23"/>
  <c r="G100" i="23"/>
  <c r="D100" i="23"/>
  <c r="G99" i="23"/>
  <c r="D99" i="23"/>
  <c r="G98" i="23"/>
  <c r="D98" i="23"/>
  <c r="G97" i="23"/>
  <c r="D97" i="23"/>
  <c r="G96" i="23"/>
  <c r="D96" i="23"/>
  <c r="G95" i="23"/>
  <c r="D95" i="23"/>
  <c r="G94" i="23"/>
  <c r="D94" i="23"/>
  <c r="N93" i="23"/>
  <c r="N169" i="23" s="1"/>
  <c r="E93" i="23"/>
  <c r="R80" i="23"/>
  <c r="R169" i="23" s="1"/>
  <c r="J80" i="23"/>
  <c r="E80" i="23"/>
  <c r="D68" i="23"/>
  <c r="Q53" i="23"/>
  <c r="Q169" i="23" s="1"/>
  <c r="P53" i="23"/>
  <c r="P169" i="23" s="1"/>
  <c r="O53" i="23"/>
  <c r="O169" i="23" s="1"/>
  <c r="K53" i="23"/>
  <c r="E37" i="23"/>
  <c r="E36" i="23"/>
  <c r="E35" i="23"/>
  <c r="E34" i="23"/>
  <c r="C33" i="23"/>
  <c r="E33" i="23" s="1"/>
  <c r="C32" i="23"/>
  <c r="E32" i="23" s="1"/>
  <c r="E31" i="23"/>
  <c r="C30" i="23"/>
  <c r="E30" i="23" s="1"/>
  <c r="E29" i="23"/>
  <c r="C28" i="23"/>
  <c r="E28" i="23" s="1"/>
  <c r="E27" i="23"/>
  <c r="C26" i="23"/>
  <c r="E26" i="23" s="1"/>
  <c r="E25" i="23"/>
  <c r="E24" i="23"/>
  <c r="E23" i="23"/>
  <c r="E22" i="23"/>
  <c r="C21" i="23"/>
  <c r="E21" i="23" s="1"/>
  <c r="E20" i="23"/>
  <c r="E19" i="23"/>
  <c r="E18" i="23"/>
  <c r="S18" i="23" s="1"/>
  <c r="S169" i="23" s="1"/>
  <c r="S17" i="23"/>
  <c r="S16" i="23"/>
  <c r="S15" i="23"/>
  <c r="S14" i="23"/>
  <c r="S13" i="23"/>
  <c r="S12" i="23"/>
  <c r="S11" i="23"/>
  <c r="S10" i="23"/>
  <c r="S9" i="23"/>
  <c r="S8" i="23"/>
  <c r="S7" i="23"/>
  <c r="S6" i="23"/>
  <c r="K169" i="23" l="1"/>
  <c r="G150" i="23"/>
  <c r="G103" i="23"/>
  <c r="F150" i="23"/>
  <c r="F169" i="23" s="1"/>
  <c r="J169" i="23"/>
  <c r="E53" i="23"/>
  <c r="E150" i="23"/>
  <c r="E169" i="23" s="1"/>
  <c r="E178" i="23" s="1"/>
  <c r="E180" i="23" s="1"/>
  <c r="J30" i="5" s="1"/>
  <c r="J61" i="5" s="1"/>
  <c r="B31" i="5" l="1"/>
  <c r="N31" i="5" s="1"/>
  <c r="B30" i="5"/>
  <c r="N30" i="5" s="1"/>
  <c r="B9" i="5"/>
  <c r="B10" i="5"/>
  <c r="G16" i="44" s="1"/>
  <c r="H16" i="44" s="1"/>
  <c r="G169" i="23"/>
  <c r="B21" i="5" l="1"/>
  <c r="N10" i="5"/>
  <c r="D58" i="4"/>
  <c r="D57" i="4"/>
  <c r="D56" i="4"/>
  <c r="D49" i="4"/>
  <c r="D48" i="4"/>
  <c r="D41" i="4"/>
  <c r="D40" i="4"/>
  <c r="D37" i="4"/>
  <c r="F37" i="4" s="1"/>
  <c r="B45" i="7" s="1"/>
  <c r="N45" i="7" s="1"/>
  <c r="D33" i="4"/>
  <c r="D32" i="4"/>
  <c r="D29" i="4"/>
  <c r="D24" i="4"/>
  <c r="D23" i="4"/>
  <c r="D20" i="4"/>
  <c r="D19" i="4"/>
  <c r="K62" i="5"/>
  <c r="J21" i="5"/>
  <c r="J62" i="5" s="1"/>
  <c r="I21" i="5"/>
  <c r="H21" i="5"/>
  <c r="G21" i="5"/>
  <c r="F21" i="5"/>
  <c r="E21" i="5"/>
  <c r="D21" i="5"/>
  <c r="D60" i="4"/>
  <c r="D59" i="4"/>
  <c r="D55" i="4"/>
  <c r="D53" i="4"/>
  <c r="D50" i="4"/>
  <c r="D47" i="4"/>
  <c r="D46" i="4"/>
  <c r="D44" i="4"/>
  <c r="D43" i="4"/>
  <c r="D42" i="4"/>
  <c r="D39" i="4"/>
  <c r="D38" i="4"/>
  <c r="D36" i="4"/>
  <c r="D35" i="4"/>
  <c r="D34" i="4"/>
  <c r="D31" i="4"/>
  <c r="F31" i="4" s="1"/>
  <c r="D30" i="4"/>
  <c r="D27" i="4"/>
  <c r="D26" i="4"/>
  <c r="D25" i="4"/>
  <c r="D51" i="4"/>
  <c r="B39" i="7" l="1"/>
  <c r="N39" i="7" s="1"/>
  <c r="I31" i="4"/>
  <c r="K31" i="4" s="1"/>
  <c r="N69" i="5"/>
  <c r="D69" i="4" s="1"/>
  <c r="N68" i="5"/>
  <c r="D68" i="4" s="1"/>
  <c r="N67" i="5"/>
  <c r="D67" i="4" s="1"/>
  <c r="N66" i="5"/>
  <c r="D66" i="4" s="1"/>
  <c r="N65" i="5"/>
  <c r="D65" i="4" s="1"/>
  <c r="I61" i="5"/>
  <c r="I62" i="5" s="1"/>
  <c r="G61" i="5"/>
  <c r="G62" i="5" s="1"/>
  <c r="F61" i="5"/>
  <c r="F62" i="5" s="1"/>
  <c r="B61" i="5"/>
  <c r="B62" i="5" s="1"/>
  <c r="D70" i="4" l="1"/>
  <c r="A46" i="17"/>
  <c r="A45" i="17"/>
  <c r="A44" i="17"/>
  <c r="C24" i="21"/>
  <c r="I21" i="21"/>
  <c r="I24" i="21" s="1"/>
  <c r="H21" i="21"/>
  <c r="H24" i="21" s="1"/>
  <c r="F21" i="21"/>
  <c r="F24" i="21" s="1"/>
  <c r="E21" i="21"/>
  <c r="E24" i="21" s="1"/>
  <c r="D21" i="21"/>
  <c r="D24" i="21" s="1"/>
  <c r="C21" i="21"/>
  <c r="G19" i="21"/>
  <c r="G21" i="21" s="1"/>
  <c r="G24" i="21" s="1"/>
  <c r="I21" i="20"/>
  <c r="H21" i="20"/>
  <c r="G21" i="20"/>
  <c r="D21" i="20"/>
  <c r="C21" i="20"/>
  <c r="J20" i="20"/>
  <c r="K20" i="20" s="1"/>
  <c r="E20" i="20"/>
  <c r="E19" i="20"/>
  <c r="E18" i="20"/>
  <c r="J17" i="20"/>
  <c r="K17" i="20" s="1"/>
  <c r="E17" i="20"/>
  <c r="E16" i="20"/>
  <c r="E15" i="20"/>
  <c r="J14" i="20"/>
  <c r="K14" i="20" s="1"/>
  <c r="E14" i="20"/>
  <c r="E13" i="20"/>
  <c r="E12" i="20"/>
  <c r="J11" i="20"/>
  <c r="J21" i="20" s="1"/>
  <c r="E11" i="20"/>
  <c r="E10" i="20"/>
  <c r="E9" i="20"/>
  <c r="H20" i="19"/>
  <c r="G20" i="19"/>
  <c r="D20" i="19"/>
  <c r="C20" i="19"/>
  <c r="I19" i="19"/>
  <c r="E19" i="19"/>
  <c r="I18" i="19"/>
  <c r="E18" i="19"/>
  <c r="I17" i="19"/>
  <c r="E17" i="19"/>
  <c r="I16" i="19"/>
  <c r="E16" i="19"/>
  <c r="I15" i="19"/>
  <c r="E15" i="19"/>
  <c r="I14" i="19"/>
  <c r="E14" i="19"/>
  <c r="I13" i="19"/>
  <c r="E13" i="19"/>
  <c r="I12" i="19"/>
  <c r="E12" i="19"/>
  <c r="I11" i="19"/>
  <c r="E11" i="19"/>
  <c r="I10" i="19"/>
  <c r="I20" i="19" s="1"/>
  <c r="E10" i="19"/>
  <c r="I9" i="19"/>
  <c r="E9" i="19"/>
  <c r="I8" i="19"/>
  <c r="E8" i="19"/>
  <c r="E114" i="18"/>
  <c r="E113" i="18"/>
  <c r="E112" i="18"/>
  <c r="E107" i="18"/>
  <c r="E106" i="18"/>
  <c r="E105" i="18"/>
  <c r="E104" i="18"/>
  <c r="E103" i="18"/>
  <c r="E102" i="18"/>
  <c r="E101" i="18"/>
  <c r="E100" i="18"/>
  <c r="E99" i="18"/>
  <c r="E98" i="18"/>
  <c r="E97" i="18"/>
  <c r="E96" i="18"/>
  <c r="E95" i="18"/>
  <c r="E94" i="18"/>
  <c r="E93" i="18"/>
  <c r="E92" i="18"/>
  <c r="E91" i="18"/>
  <c r="E90" i="18"/>
  <c r="E89" i="18"/>
  <c r="E88" i="18"/>
  <c r="E87" i="18"/>
  <c r="E86" i="18"/>
  <c r="E85" i="18"/>
  <c r="G108" i="18"/>
  <c r="G109" i="18" s="1"/>
  <c r="E84" i="18"/>
  <c r="D76" i="18"/>
  <c r="E76" i="18" s="1"/>
  <c r="E75" i="18"/>
  <c r="D75" i="18"/>
  <c r="D74" i="18"/>
  <c r="E74" i="18" s="1"/>
  <c r="D73" i="18"/>
  <c r="E73" i="18" s="1"/>
  <c r="E72" i="18"/>
  <c r="D71" i="18"/>
  <c r="E71" i="18" s="1"/>
  <c r="D70" i="18"/>
  <c r="E70" i="18" s="1"/>
  <c r="D69" i="18"/>
  <c r="E69" i="18" s="1"/>
  <c r="D68" i="18"/>
  <c r="E68" i="18" s="1"/>
  <c r="D67" i="18"/>
  <c r="E67" i="18" s="1"/>
  <c r="D66" i="18"/>
  <c r="E66" i="18" s="1"/>
  <c r="D65" i="18"/>
  <c r="E65" i="18" s="1"/>
  <c r="E64" i="18"/>
  <c r="E60" i="18"/>
  <c r="D58" i="18"/>
  <c r="E58" i="18" s="1"/>
  <c r="D57" i="18"/>
  <c r="E57" i="18" s="1"/>
  <c r="D56" i="18"/>
  <c r="E56" i="18" s="1"/>
  <c r="D55" i="18"/>
  <c r="E55" i="18" s="1"/>
  <c r="D54" i="18"/>
  <c r="E54" i="18" s="1"/>
  <c r="D53" i="18"/>
  <c r="E53" i="18" s="1"/>
  <c r="D52" i="18"/>
  <c r="E52" i="18" s="1"/>
  <c r="D51" i="18"/>
  <c r="E51" i="18" s="1"/>
  <c r="E50" i="18"/>
  <c r="D48" i="18"/>
  <c r="E48" i="18" s="1"/>
  <c r="D47" i="18"/>
  <c r="E47" i="18" s="1"/>
  <c r="D46" i="18"/>
  <c r="E46" i="18" s="1"/>
  <c r="D45" i="18"/>
  <c r="E45" i="18" s="1"/>
  <c r="D44" i="18"/>
  <c r="E44" i="18" s="1"/>
  <c r="D43" i="18"/>
  <c r="E43" i="18" s="1"/>
  <c r="D42" i="18"/>
  <c r="E42" i="18" s="1"/>
  <c r="D41" i="18"/>
  <c r="E41" i="18" s="1"/>
  <c r="D40" i="18"/>
  <c r="E40" i="18" s="1"/>
  <c r="D39" i="18"/>
  <c r="E39" i="18" s="1"/>
  <c r="D38" i="18"/>
  <c r="E38" i="18" s="1"/>
  <c r="D37" i="18"/>
  <c r="E37" i="18" s="1"/>
  <c r="D36" i="18"/>
  <c r="E36" i="18" s="1"/>
  <c r="D35" i="18"/>
  <c r="E35" i="18" s="1"/>
  <c r="D34" i="18"/>
  <c r="E34" i="18" s="1"/>
  <c r="D33" i="18"/>
  <c r="E33" i="18" s="1"/>
  <c r="D32" i="18"/>
  <c r="E32" i="18" s="1"/>
  <c r="D31" i="18"/>
  <c r="E31" i="18" s="1"/>
  <c r="D30" i="18"/>
  <c r="E30" i="18" s="1"/>
  <c r="D29" i="18"/>
  <c r="E29" i="18" s="1"/>
  <c r="D28" i="18"/>
  <c r="E28" i="18" s="1"/>
  <c r="D27" i="18"/>
  <c r="E27" i="18" s="1"/>
  <c r="D26" i="18"/>
  <c r="E26" i="18" s="1"/>
  <c r="D25" i="18"/>
  <c r="E25" i="18" s="1"/>
  <c r="D24" i="18"/>
  <c r="E24" i="18" s="1"/>
  <c r="D23" i="18"/>
  <c r="E23" i="18" s="1"/>
  <c r="D22" i="18"/>
  <c r="E22" i="18" s="1"/>
  <c r="D21" i="18"/>
  <c r="E21" i="18" s="1"/>
  <c r="D20" i="18"/>
  <c r="E20" i="18" s="1"/>
  <c r="E19" i="18"/>
  <c r="D19" i="18"/>
  <c r="D18" i="18"/>
  <c r="E18" i="18" s="1"/>
  <c r="E17" i="18"/>
  <c r="D16" i="18"/>
  <c r="E16" i="18" s="1"/>
  <c r="D15" i="18"/>
  <c r="E15" i="18" s="1"/>
  <c r="D14" i="18"/>
  <c r="E14" i="18" s="1"/>
  <c r="D13" i="18"/>
  <c r="E13" i="18" s="1"/>
  <c r="D12" i="18"/>
  <c r="E12" i="18" s="1"/>
  <c r="D11" i="18"/>
  <c r="E11" i="18" s="1"/>
  <c r="D10" i="18"/>
  <c r="E10" i="18" s="1"/>
  <c r="E9" i="18"/>
  <c r="E8" i="18"/>
  <c r="H64" i="12"/>
  <c r="G64" i="12"/>
  <c r="H63" i="12"/>
  <c r="G63" i="12"/>
  <c r="H62" i="12"/>
  <c r="G62" i="12"/>
  <c r="H61" i="12"/>
  <c r="G61" i="12"/>
  <c r="J60" i="12"/>
  <c r="J65" i="12" s="1"/>
  <c r="H60" i="12"/>
  <c r="I59" i="12"/>
  <c r="H59" i="12"/>
  <c r="G59" i="12"/>
  <c r="I58" i="12"/>
  <c r="H58" i="12"/>
  <c r="G58" i="12"/>
  <c r="I57" i="12"/>
  <c r="D57" i="12"/>
  <c r="G57" i="12" s="1"/>
  <c r="I56" i="12"/>
  <c r="H56" i="12"/>
  <c r="G56" i="12"/>
  <c r="I55" i="12"/>
  <c r="H55" i="12"/>
  <c r="G55" i="12"/>
  <c r="D55" i="12"/>
  <c r="I54" i="12"/>
  <c r="H54" i="12"/>
  <c r="G54" i="12"/>
  <c r="I53" i="12"/>
  <c r="D53" i="12"/>
  <c r="H53" i="12" s="1"/>
  <c r="I52" i="12"/>
  <c r="H52" i="12"/>
  <c r="G52" i="12"/>
  <c r="I51" i="12"/>
  <c r="D51" i="12"/>
  <c r="H51" i="12" s="1"/>
  <c r="I50" i="12"/>
  <c r="H50" i="12"/>
  <c r="G50" i="12"/>
  <c r="I49" i="12"/>
  <c r="H49" i="12"/>
  <c r="G49" i="12"/>
  <c r="I48" i="12"/>
  <c r="H48" i="12"/>
  <c r="G48" i="12"/>
  <c r="I47" i="12"/>
  <c r="H47" i="12"/>
  <c r="G47" i="12"/>
  <c r="I46" i="12"/>
  <c r="H46" i="12"/>
  <c r="G46" i="12"/>
  <c r="I45" i="12"/>
  <c r="H45" i="12"/>
  <c r="G45" i="12"/>
  <c r="I44" i="12"/>
  <c r="H44" i="12"/>
  <c r="G44" i="12"/>
  <c r="I43" i="12"/>
  <c r="H43" i="12"/>
  <c r="G43" i="12"/>
  <c r="I42" i="12"/>
  <c r="H42" i="12"/>
  <c r="G42" i="12"/>
  <c r="I41" i="12"/>
  <c r="H41" i="12"/>
  <c r="G41" i="12"/>
  <c r="H33" i="12"/>
  <c r="G33" i="12"/>
  <c r="H32" i="12"/>
  <c r="G32" i="12"/>
  <c r="H31" i="12"/>
  <c r="G31" i="12"/>
  <c r="H30" i="12"/>
  <c r="G30" i="12"/>
  <c r="J29" i="12"/>
  <c r="J34" i="12" s="1"/>
  <c r="J70" i="12" s="1"/>
  <c r="H29" i="12"/>
  <c r="I28" i="12"/>
  <c r="H28" i="12"/>
  <c r="G28" i="12"/>
  <c r="I27" i="12"/>
  <c r="H27" i="12"/>
  <c r="G27" i="12"/>
  <c r="I26" i="12"/>
  <c r="D26" i="12"/>
  <c r="H26" i="12" s="1"/>
  <c r="I25" i="12"/>
  <c r="H25" i="12"/>
  <c r="G25" i="12"/>
  <c r="I24" i="12"/>
  <c r="D24" i="12"/>
  <c r="H24" i="12" s="1"/>
  <c r="I23" i="12"/>
  <c r="H23" i="12"/>
  <c r="G23" i="12"/>
  <c r="I22" i="12"/>
  <c r="H22" i="12"/>
  <c r="D22" i="12"/>
  <c r="G22" i="12" s="1"/>
  <c r="I21" i="12"/>
  <c r="H21" i="12"/>
  <c r="G21" i="12"/>
  <c r="I20" i="12"/>
  <c r="D20" i="12"/>
  <c r="H20" i="12" s="1"/>
  <c r="I19" i="12"/>
  <c r="H19" i="12"/>
  <c r="G19" i="12"/>
  <c r="I18" i="12"/>
  <c r="H18" i="12"/>
  <c r="G18" i="12"/>
  <c r="I17" i="12"/>
  <c r="H17" i="12"/>
  <c r="G17" i="12"/>
  <c r="I16" i="12"/>
  <c r="H16" i="12"/>
  <c r="G16" i="12"/>
  <c r="I15" i="12"/>
  <c r="H15" i="12"/>
  <c r="G15" i="12"/>
  <c r="I14" i="12"/>
  <c r="H14" i="12"/>
  <c r="G14" i="12"/>
  <c r="I13" i="12"/>
  <c r="H13" i="12"/>
  <c r="G13" i="12"/>
  <c r="I12" i="12"/>
  <c r="H12" i="12"/>
  <c r="G12" i="12"/>
  <c r="I11" i="12"/>
  <c r="H11" i="12"/>
  <c r="G11" i="12"/>
  <c r="I10" i="12"/>
  <c r="H10" i="12"/>
  <c r="G10" i="12"/>
  <c r="E134" i="16"/>
  <c r="E133" i="16"/>
  <c r="E132" i="16"/>
  <c r="E131" i="16"/>
  <c r="E130" i="16"/>
  <c r="E129" i="16"/>
  <c r="E128" i="16"/>
  <c r="E127" i="16"/>
  <c r="E126" i="16"/>
  <c r="E125" i="16"/>
  <c r="E120" i="16"/>
  <c r="E119" i="16"/>
  <c r="E118" i="16"/>
  <c r="E117" i="16"/>
  <c r="E116" i="16"/>
  <c r="E115" i="16"/>
  <c r="E114" i="16"/>
  <c r="E113" i="16"/>
  <c r="E112" i="16"/>
  <c r="E111" i="16"/>
  <c r="E110" i="16"/>
  <c r="E109" i="16"/>
  <c r="E108" i="16"/>
  <c r="E107" i="16"/>
  <c r="E106" i="16"/>
  <c r="E105" i="16"/>
  <c r="E104" i="16"/>
  <c r="E103" i="16"/>
  <c r="E91" i="16"/>
  <c r="E90" i="16"/>
  <c r="E89" i="16"/>
  <c r="D88" i="16"/>
  <c r="E88" i="16" s="1"/>
  <c r="D87" i="16"/>
  <c r="E87" i="16" s="1"/>
  <c r="E86" i="16"/>
  <c r="D85" i="16"/>
  <c r="E85" i="16" s="1"/>
  <c r="D84" i="16"/>
  <c r="E84" i="16" s="1"/>
  <c r="E83" i="16"/>
  <c r="D82" i="16"/>
  <c r="E82" i="16" s="1"/>
  <c r="D81" i="16"/>
  <c r="E81" i="16" s="1"/>
  <c r="D80" i="16"/>
  <c r="E80" i="16" s="1"/>
  <c r="D79" i="16"/>
  <c r="E79" i="16" s="1"/>
  <c r="E78" i="16"/>
  <c r="D77" i="16"/>
  <c r="E77" i="16" s="1"/>
  <c r="D76" i="16"/>
  <c r="E76" i="16" s="1"/>
  <c r="D75" i="16"/>
  <c r="E75" i="16" s="1"/>
  <c r="D74" i="16"/>
  <c r="E74" i="16" s="1"/>
  <c r="D73" i="16"/>
  <c r="E73" i="16" s="1"/>
  <c r="D72" i="16"/>
  <c r="E72" i="16" s="1"/>
  <c r="D71" i="16"/>
  <c r="E71" i="16" s="1"/>
  <c r="E70" i="16"/>
  <c r="E65" i="16"/>
  <c r="E64" i="16"/>
  <c r="E63" i="16"/>
  <c r="D62" i="16"/>
  <c r="E62" i="16" s="1"/>
  <c r="D61" i="16"/>
  <c r="E61" i="16" s="1"/>
  <c r="D60" i="16"/>
  <c r="E60" i="16" s="1"/>
  <c r="E59" i="16"/>
  <c r="D58" i="16"/>
  <c r="E58" i="16" s="1"/>
  <c r="D57" i="16"/>
  <c r="E57" i="16" s="1"/>
  <c r="E56" i="16"/>
  <c r="D55" i="16"/>
  <c r="E55" i="16" s="1"/>
  <c r="D54" i="16"/>
  <c r="E54" i="16" s="1"/>
  <c r="D53" i="16"/>
  <c r="E53" i="16" s="1"/>
  <c r="E52" i="16"/>
  <c r="D51" i="16"/>
  <c r="E51" i="16" s="1"/>
  <c r="D50" i="16"/>
  <c r="E50" i="16" s="1"/>
  <c r="D49" i="16"/>
  <c r="E49" i="16" s="1"/>
  <c r="D48" i="16"/>
  <c r="E48" i="16" s="1"/>
  <c r="D47" i="16"/>
  <c r="E47" i="16" s="1"/>
  <c r="D46" i="16"/>
  <c r="E46" i="16" s="1"/>
  <c r="D45" i="16"/>
  <c r="E45" i="16" s="1"/>
  <c r="D44" i="16"/>
  <c r="E44" i="16" s="1"/>
  <c r="D43" i="16"/>
  <c r="E43" i="16" s="1"/>
  <c r="D42" i="16"/>
  <c r="E42" i="16" s="1"/>
  <c r="D41" i="16"/>
  <c r="E41" i="16" s="1"/>
  <c r="D40" i="16"/>
  <c r="E40" i="16" s="1"/>
  <c r="D39" i="16"/>
  <c r="E39" i="16" s="1"/>
  <c r="D38" i="16"/>
  <c r="E38" i="16" s="1"/>
  <c r="D37" i="16"/>
  <c r="E37" i="16" s="1"/>
  <c r="D36" i="16"/>
  <c r="E36" i="16" s="1"/>
  <c r="D35" i="16"/>
  <c r="E35" i="16" s="1"/>
  <c r="D34" i="16"/>
  <c r="E34" i="16" s="1"/>
  <c r="D33" i="16"/>
  <c r="E33" i="16" s="1"/>
  <c r="D32" i="16"/>
  <c r="E32" i="16" s="1"/>
  <c r="D31" i="16"/>
  <c r="E31" i="16" s="1"/>
  <c r="D30" i="16"/>
  <c r="E30" i="16" s="1"/>
  <c r="D29" i="16"/>
  <c r="E29" i="16" s="1"/>
  <c r="D28" i="16"/>
  <c r="E28" i="16" s="1"/>
  <c r="E27" i="16"/>
  <c r="D26" i="16"/>
  <c r="E26" i="16" s="1"/>
  <c r="D25" i="16"/>
  <c r="E25" i="16" s="1"/>
  <c r="D24" i="16"/>
  <c r="E24" i="16" s="1"/>
  <c r="D23" i="16"/>
  <c r="E23" i="16" s="1"/>
  <c r="D22" i="16"/>
  <c r="E22" i="16" s="1"/>
  <c r="D21" i="16"/>
  <c r="E21" i="16" s="1"/>
  <c r="D20" i="16"/>
  <c r="E20" i="16" s="1"/>
  <c r="D19" i="16"/>
  <c r="E19" i="16" s="1"/>
  <c r="E18" i="16"/>
  <c r="D17" i="16"/>
  <c r="E17" i="16" s="1"/>
  <c r="D16" i="16"/>
  <c r="E16" i="16" s="1"/>
  <c r="D15" i="16"/>
  <c r="E15" i="16" s="1"/>
  <c r="D14" i="16"/>
  <c r="E14" i="16" s="1"/>
  <c r="D13" i="16"/>
  <c r="E13" i="16" s="1"/>
  <c r="D12" i="16"/>
  <c r="E12" i="16" s="1"/>
  <c r="D11" i="16"/>
  <c r="E11" i="16" s="1"/>
  <c r="E10" i="16"/>
  <c r="G9" i="16"/>
  <c r="G66" i="16" s="1"/>
  <c r="E9" i="16"/>
  <c r="G8" i="15"/>
  <c r="H8" i="15"/>
  <c r="I8" i="15"/>
  <c r="G9" i="15"/>
  <c r="H9" i="15"/>
  <c r="I9" i="15"/>
  <c r="G10" i="15"/>
  <c r="H10" i="15"/>
  <c r="I10" i="15"/>
  <c r="G11" i="15"/>
  <c r="H11" i="15"/>
  <c r="I11" i="15"/>
  <c r="G12" i="15"/>
  <c r="H12" i="15"/>
  <c r="I12" i="15"/>
  <c r="G13" i="15"/>
  <c r="H13" i="15"/>
  <c r="I13" i="15"/>
  <c r="G14" i="15"/>
  <c r="H14" i="15"/>
  <c r="I14" i="15"/>
  <c r="G15" i="15"/>
  <c r="H15" i="15"/>
  <c r="I15" i="15"/>
  <c r="G16" i="15"/>
  <c r="H16" i="15"/>
  <c r="I16" i="15"/>
  <c r="G17" i="15"/>
  <c r="H17" i="15"/>
  <c r="I17" i="15"/>
  <c r="G18" i="15"/>
  <c r="H18" i="15"/>
  <c r="I18" i="15"/>
  <c r="H19" i="15"/>
  <c r="I19" i="15"/>
  <c r="G20" i="15"/>
  <c r="H20" i="15"/>
  <c r="I20" i="15"/>
  <c r="G21" i="15"/>
  <c r="H21" i="15"/>
  <c r="I21" i="15"/>
  <c r="H22" i="15"/>
  <c r="I22" i="15"/>
  <c r="H23" i="15"/>
  <c r="I23" i="15"/>
  <c r="G24" i="15"/>
  <c r="H24" i="15"/>
  <c r="I24" i="15"/>
  <c r="G25" i="15"/>
  <c r="H25" i="15"/>
  <c r="I25" i="15"/>
  <c r="G26" i="15"/>
  <c r="H26" i="15"/>
  <c r="I26" i="15"/>
  <c r="G27" i="15"/>
  <c r="H27" i="15"/>
  <c r="I27" i="15"/>
  <c r="I28" i="15"/>
  <c r="J28" i="15"/>
  <c r="J35" i="15" s="1"/>
  <c r="J73" i="15" s="1"/>
  <c r="D10" i="44" s="1"/>
  <c r="G29" i="15"/>
  <c r="H29" i="15"/>
  <c r="I29" i="15"/>
  <c r="G30" i="15"/>
  <c r="H30" i="15"/>
  <c r="I30" i="15"/>
  <c r="G32" i="15"/>
  <c r="H32" i="15"/>
  <c r="I32" i="15"/>
  <c r="G33" i="15"/>
  <c r="H33" i="15"/>
  <c r="I33" i="15"/>
  <c r="G34" i="15"/>
  <c r="H34" i="15"/>
  <c r="G42" i="15"/>
  <c r="H42" i="15"/>
  <c r="I42" i="15"/>
  <c r="G43" i="15"/>
  <c r="H43" i="15"/>
  <c r="I43" i="15"/>
  <c r="G44" i="15"/>
  <c r="H44" i="15"/>
  <c r="I44" i="15"/>
  <c r="G45" i="15"/>
  <c r="H45" i="15"/>
  <c r="I45" i="15"/>
  <c r="G46" i="15"/>
  <c r="H46" i="15"/>
  <c r="I46" i="15"/>
  <c r="G47" i="15"/>
  <c r="H47" i="15"/>
  <c r="I47" i="15"/>
  <c r="G48" i="15"/>
  <c r="H48" i="15"/>
  <c r="I48" i="15"/>
  <c r="G49" i="15"/>
  <c r="H49" i="15"/>
  <c r="I49" i="15"/>
  <c r="G50" i="15"/>
  <c r="H50" i="15"/>
  <c r="I50" i="15"/>
  <c r="G51" i="15"/>
  <c r="H51" i="15"/>
  <c r="I51" i="15"/>
  <c r="G52" i="15"/>
  <c r="H52" i="15"/>
  <c r="I52" i="15"/>
  <c r="H53" i="15"/>
  <c r="I53" i="15"/>
  <c r="G54" i="15"/>
  <c r="H54" i="15"/>
  <c r="I54" i="15"/>
  <c r="G55" i="15"/>
  <c r="H55" i="15"/>
  <c r="I55" i="15"/>
  <c r="H56" i="15"/>
  <c r="I56" i="15"/>
  <c r="H57" i="15"/>
  <c r="I57" i="15"/>
  <c r="G58" i="15"/>
  <c r="H58" i="15"/>
  <c r="I58" i="15"/>
  <c r="G59" i="15"/>
  <c r="H59" i="15"/>
  <c r="I59" i="15"/>
  <c r="G60" i="15"/>
  <c r="H60" i="15"/>
  <c r="I60" i="15"/>
  <c r="G61" i="15"/>
  <c r="H61" i="15"/>
  <c r="I61" i="15"/>
  <c r="I62" i="15"/>
  <c r="J62" i="15"/>
  <c r="J69" i="15" s="1"/>
  <c r="G63" i="15"/>
  <c r="H63" i="15"/>
  <c r="I63" i="15"/>
  <c r="G64" i="15"/>
  <c r="H64" i="15"/>
  <c r="I64" i="15"/>
  <c r="G66" i="15"/>
  <c r="H66" i="15"/>
  <c r="I66" i="15"/>
  <c r="G67" i="15"/>
  <c r="H67" i="15"/>
  <c r="I67" i="15"/>
  <c r="G68" i="15"/>
  <c r="H68" i="15"/>
  <c r="F39" i="17"/>
  <c r="F23" i="17"/>
  <c r="F22" i="17"/>
  <c r="F21" i="17"/>
  <c r="F16" i="17"/>
  <c r="I66" i="16" l="1"/>
  <c r="G136" i="16"/>
  <c r="I69" i="15"/>
  <c r="H69" i="15"/>
  <c r="H35" i="15"/>
  <c r="H73" i="15" s="1"/>
  <c r="B10" i="44" s="1"/>
  <c r="I35" i="15"/>
  <c r="I73" i="15" s="1"/>
  <c r="C10" i="44" s="1"/>
  <c r="H57" i="12"/>
  <c r="E20" i="19"/>
  <c r="K11" i="20"/>
  <c r="D49" i="18"/>
  <c r="E49" i="18" s="1"/>
  <c r="E21" i="20"/>
  <c r="G10" i="44"/>
  <c r="H34" i="12"/>
  <c r="G20" i="12"/>
  <c r="G53" i="12"/>
  <c r="I34" i="12"/>
  <c r="I65" i="12"/>
  <c r="E108" i="18"/>
  <c r="E115" i="18"/>
  <c r="I26" i="21"/>
  <c r="F20" i="17" s="1"/>
  <c r="K21" i="20"/>
  <c r="E24" i="20" s="1"/>
  <c r="F19" i="17" s="1"/>
  <c r="E23" i="19"/>
  <c r="F18" i="17" s="1"/>
  <c r="E77" i="18"/>
  <c r="D59" i="18"/>
  <c r="E59" i="18" s="1"/>
  <c r="H65" i="12"/>
  <c r="H70" i="12" s="1"/>
  <c r="G51" i="12"/>
  <c r="G26" i="12"/>
  <c r="G24" i="12"/>
  <c r="E66" i="16"/>
  <c r="E10" i="44" s="1"/>
  <c r="E92" i="16"/>
  <c r="F10" i="44" s="1"/>
  <c r="J8" i="4" l="1"/>
  <c r="I136" i="16"/>
  <c r="H10" i="44"/>
  <c r="F46" i="17"/>
  <c r="H20" i="17"/>
  <c r="F44" i="17"/>
  <c r="H18" i="17"/>
  <c r="F45" i="17"/>
  <c r="H19" i="17"/>
  <c r="F24" i="17"/>
  <c r="F40" i="17" s="1"/>
  <c r="I70" i="12"/>
  <c r="E61" i="18"/>
  <c r="E109" i="18"/>
  <c r="E117" i="18" s="1"/>
  <c r="E78" i="18"/>
  <c r="J21" i="4" l="1"/>
  <c r="H24" i="17"/>
  <c r="F47" i="17"/>
  <c r="C8" i="5"/>
  <c r="I11" i="17"/>
  <c r="C13" i="5" s="1"/>
  <c r="I6" i="17"/>
  <c r="I14" i="17"/>
  <c r="C16" i="5" s="1"/>
  <c r="N16" i="5" s="1"/>
  <c r="I7" i="17"/>
  <c r="I15" i="17"/>
  <c r="I8" i="17"/>
  <c r="C9" i="5" s="1"/>
  <c r="I12" i="17"/>
  <c r="C14" i="5" s="1"/>
  <c r="I9" i="17"/>
  <c r="C11" i="5" s="1"/>
  <c r="I13" i="17"/>
  <c r="I10" i="17"/>
  <c r="C12" i="5" s="1"/>
  <c r="N12" i="5" s="1"/>
  <c r="C54" i="5"/>
  <c r="N54" i="5" s="1"/>
  <c r="J51" i="4" l="1"/>
  <c r="J54" i="4"/>
  <c r="F17" i="44"/>
  <c r="D17" i="44"/>
  <c r="C17" i="44"/>
  <c r="E17" i="44"/>
  <c r="G17" i="44"/>
  <c r="G18" i="44" s="1"/>
  <c r="G20" i="44" s="1"/>
  <c r="L9" i="5" s="1"/>
  <c r="N9" i="5" s="1"/>
  <c r="I16" i="17"/>
  <c r="C17" i="5"/>
  <c r="N17" i="5" s="1"/>
  <c r="C7" i="5"/>
  <c r="C61" i="5"/>
  <c r="J61" i="4" l="1"/>
  <c r="B17" i="44"/>
  <c r="D54" i="4"/>
  <c r="J75" i="4" l="1"/>
  <c r="J62" i="4"/>
  <c r="J72" i="4" s="1"/>
  <c r="H17" i="44"/>
  <c r="H7" i="31"/>
  <c r="H7" i="32"/>
  <c r="E50" i="6" l="1"/>
  <c r="L50" i="6" s="1"/>
  <c r="E203" i="9"/>
  <c r="J206" i="9"/>
  <c r="I206" i="9"/>
  <c r="H206" i="9"/>
  <c r="G206" i="9"/>
  <c r="F206" i="9"/>
  <c r="D206" i="9"/>
  <c r="J197" i="9"/>
  <c r="E197" i="9"/>
  <c r="E61" i="6" l="1"/>
  <c r="E50" i="4"/>
  <c r="L61" i="6"/>
  <c r="B197" i="9"/>
  <c r="L167" i="9"/>
  <c r="L164" i="9"/>
  <c r="L161" i="9"/>
  <c r="M160" i="9"/>
  <c r="L157" i="9"/>
  <c r="L154" i="9"/>
  <c r="M153" i="9"/>
  <c r="L150" i="9"/>
  <c r="L147" i="9"/>
  <c r="M146" i="9"/>
  <c r="L143" i="9"/>
  <c r="L140" i="9"/>
  <c r="L137" i="9"/>
  <c r="M136" i="9"/>
  <c r="L133" i="9"/>
  <c r="L129" i="9"/>
  <c r="L126" i="9"/>
  <c r="M125" i="9"/>
  <c r="L122" i="9"/>
  <c r="L119" i="9"/>
  <c r="M112" i="9"/>
  <c r="K106" i="9"/>
  <c r="J106" i="9"/>
  <c r="L97" i="9"/>
  <c r="M96" i="9"/>
  <c r="L93" i="9"/>
  <c r="L90" i="9"/>
  <c r="M89" i="9"/>
  <c r="L86" i="9"/>
  <c r="L83" i="9"/>
  <c r="M82" i="9"/>
  <c r="L79" i="9"/>
  <c r="L76" i="9"/>
  <c r="M75" i="9"/>
  <c r="L72" i="9"/>
  <c r="L69" i="9"/>
  <c r="M68" i="9"/>
  <c r="L66" i="9"/>
  <c r="M65" i="9"/>
  <c r="L62" i="9"/>
  <c r="L59" i="9"/>
  <c r="L56" i="9"/>
  <c r="M55" i="9"/>
  <c r="L52" i="9"/>
  <c r="L49" i="9"/>
  <c r="M48" i="9"/>
  <c r="L45" i="9"/>
  <c r="L42" i="9"/>
  <c r="M41" i="9"/>
  <c r="L37" i="9"/>
  <c r="L34" i="9"/>
  <c r="M33" i="9"/>
  <c r="I30" i="9"/>
  <c r="H30" i="9"/>
  <c r="G30" i="9"/>
  <c r="F30" i="9"/>
  <c r="E30" i="9"/>
  <c r="D30" i="9"/>
  <c r="M29" i="9"/>
  <c r="L27" i="9"/>
  <c r="L25" i="9"/>
  <c r="M24" i="9"/>
  <c r="L22" i="9"/>
  <c r="L19" i="9"/>
  <c r="M18" i="9"/>
  <c r="L15" i="9"/>
  <c r="L9" i="9"/>
  <c r="M8" i="9"/>
  <c r="L5" i="9"/>
  <c r="E61" i="4" l="1"/>
  <c r="E62" i="4" s="1"/>
  <c r="E72" i="4" s="1"/>
  <c r="L62" i="6"/>
  <c r="F195" i="9"/>
  <c r="F197" i="9" s="1"/>
  <c r="K30" i="9"/>
  <c r="L30" i="9" s="1"/>
  <c r="L100" i="9" s="1"/>
  <c r="F100" i="9"/>
  <c r="H195" i="9"/>
  <c r="H100" i="9"/>
  <c r="G195" i="9"/>
  <c r="G100" i="9"/>
  <c r="I195" i="9"/>
  <c r="I100" i="9"/>
  <c r="D195" i="9"/>
  <c r="D197" i="9" s="1"/>
  <c r="D100" i="9"/>
  <c r="G197" i="9"/>
  <c r="H197" i="9"/>
  <c r="I197" i="9"/>
  <c r="M100" i="9"/>
  <c r="K100" i="9" l="1"/>
  <c r="D108" i="9" s="1"/>
  <c r="K195" i="9"/>
  <c r="K197" i="9" s="1"/>
  <c r="H108" i="9" l="1"/>
  <c r="E108" i="9"/>
  <c r="E213" i="9" s="1"/>
  <c r="F108" i="9"/>
  <c r="I108" i="9"/>
  <c r="M195" i="9"/>
  <c r="B108" i="9"/>
  <c r="G108" i="9"/>
  <c r="K102" i="9"/>
  <c r="L103" i="9" s="1"/>
  <c r="C108" i="9"/>
  <c r="K108" i="9"/>
  <c r="AG169" i="8"/>
  <c r="S169" i="8"/>
  <c r="D170" i="8"/>
  <c r="D12" i="8"/>
  <c r="AN22" i="8"/>
  <c r="AM22" i="8"/>
  <c r="AK22" i="8"/>
  <c r="AJ22" i="8"/>
  <c r="AH22" i="8"/>
  <c r="AI22" i="8" s="1"/>
  <c r="AF22" i="8"/>
  <c r="AD22" i="8"/>
  <c r="Q22" i="8"/>
  <c r="K22" i="8"/>
  <c r="G22" i="8"/>
  <c r="AL22" i="8" s="1"/>
  <c r="AN21" i="8"/>
  <c r="AM21" i="8"/>
  <c r="AK21" i="8"/>
  <c r="AJ21" i="8"/>
  <c r="AH21" i="8"/>
  <c r="AI21" i="8" s="1"/>
  <c r="AF21" i="8"/>
  <c r="AD21" i="8"/>
  <c r="Q21" i="8"/>
  <c r="K21" i="8"/>
  <c r="G21" i="8"/>
  <c r="AL21" i="8" s="1"/>
  <c r="L22" i="8" l="1"/>
  <c r="M22" i="8" s="1"/>
  <c r="L21" i="8"/>
  <c r="M21" i="8" s="1"/>
  <c r="Z21" i="8" l="1"/>
  <c r="O21" i="8" s="1"/>
  <c r="T21" i="8"/>
  <c r="R21" i="8"/>
  <c r="AC21" i="8" s="1"/>
  <c r="Z22" i="8"/>
  <c r="O22" i="8" s="1"/>
  <c r="T22" i="8"/>
  <c r="R22" i="8"/>
  <c r="AC22" i="8" s="1"/>
  <c r="AN29" i="8"/>
  <c r="AN169" i="8" s="1"/>
  <c r="AM29" i="8"/>
  <c r="AM169" i="8" s="1"/>
  <c r="AK29" i="8"/>
  <c r="AK169" i="8" s="1"/>
  <c r="AJ29" i="8"/>
  <c r="AJ169" i="8" s="1"/>
  <c r="AF29" i="8"/>
  <c r="AD29" i="8"/>
  <c r="Q29" i="8"/>
  <c r="K29" i="8"/>
  <c r="L29" i="8" s="1"/>
  <c r="N29" i="8" s="1"/>
  <c r="G29" i="8"/>
  <c r="AL29" i="8" s="1"/>
  <c r="AL169" i="8" s="1"/>
  <c r="P21" i="8" l="1"/>
  <c r="AA21" i="8" s="1"/>
  <c r="P22" i="8"/>
  <c r="AA22" i="8" s="1"/>
  <c r="AE22" i="8"/>
  <c r="AB22" i="8"/>
  <c r="AE21" i="8"/>
  <c r="AB21" i="8"/>
  <c r="AH29" i="8"/>
  <c r="AI29" i="8" s="1"/>
  <c r="M29" i="8"/>
  <c r="Z29" i="8" s="1"/>
  <c r="R29" i="8" l="1"/>
  <c r="AC29" i="8" s="1"/>
  <c r="O29" i="8"/>
  <c r="P29" i="8" s="1"/>
  <c r="T29" i="8"/>
  <c r="AE29" i="8" s="1"/>
  <c r="AA29" i="8" l="1"/>
  <c r="AB29" i="8"/>
  <c r="AF166" i="8" l="1"/>
  <c r="AE166" i="8"/>
  <c r="AD166" i="8"/>
  <c r="AC166" i="8"/>
  <c r="AB166" i="8"/>
  <c r="D166" i="8"/>
  <c r="AN165" i="8"/>
  <c r="AM165" i="8"/>
  <c r="AK165" i="8"/>
  <c r="AJ165" i="8"/>
  <c r="Q165" i="8"/>
  <c r="K165" i="8"/>
  <c r="G165" i="8"/>
  <c r="AL165" i="8" s="1"/>
  <c r="AN164" i="8"/>
  <c r="AM164" i="8"/>
  <c r="AK164" i="8"/>
  <c r="AJ164" i="8"/>
  <c r="Q164" i="8"/>
  <c r="K164" i="8"/>
  <c r="L164" i="8" s="1"/>
  <c r="N164" i="8" s="1"/>
  <c r="G164" i="8"/>
  <c r="AL164" i="8" s="1"/>
  <c r="AN163" i="8"/>
  <c r="AM163" i="8"/>
  <c r="AK163" i="8"/>
  <c r="AJ163" i="8"/>
  <c r="Q163" i="8"/>
  <c r="K163" i="8"/>
  <c r="L163" i="8" s="1"/>
  <c r="N163" i="8" s="1"/>
  <c r="G163" i="8"/>
  <c r="AL163" i="8" s="1"/>
  <c r="AN162" i="8"/>
  <c r="AM162" i="8"/>
  <c r="AK162" i="8"/>
  <c r="AJ162" i="8"/>
  <c r="Q162" i="8"/>
  <c r="K162" i="8"/>
  <c r="L162" i="8" s="1"/>
  <c r="G162" i="8"/>
  <c r="AL162" i="8" s="1"/>
  <c r="AN161" i="8"/>
  <c r="AM161" i="8"/>
  <c r="AK161" i="8"/>
  <c r="AJ161" i="8"/>
  <c r="Q161" i="8"/>
  <c r="K161" i="8"/>
  <c r="L161" i="8" s="1"/>
  <c r="G161" i="8"/>
  <c r="AL161" i="8" s="1"/>
  <c r="AN160" i="8"/>
  <c r="AM160" i="8"/>
  <c r="AK160" i="8"/>
  <c r="AJ160" i="8"/>
  <c r="Q160" i="8"/>
  <c r="K160" i="8"/>
  <c r="G160" i="8"/>
  <c r="AL160" i="8" s="1"/>
  <c r="AN159" i="8"/>
  <c r="AM159" i="8"/>
  <c r="AK159" i="8"/>
  <c r="AJ159" i="8"/>
  <c r="Q159" i="8"/>
  <c r="K159" i="8"/>
  <c r="L159" i="8" s="1"/>
  <c r="G159" i="8"/>
  <c r="AL159" i="8" s="1"/>
  <c r="AN158" i="8"/>
  <c r="AM158" i="8"/>
  <c r="AK158" i="8"/>
  <c r="AJ158" i="8"/>
  <c r="Q158" i="8"/>
  <c r="K158" i="8"/>
  <c r="L158" i="8" s="1"/>
  <c r="G158" i="8"/>
  <c r="AL158" i="8" s="1"/>
  <c r="AN157" i="8"/>
  <c r="AM157" i="8"/>
  <c r="AK157" i="8"/>
  <c r="AJ157" i="8"/>
  <c r="Q157" i="8"/>
  <c r="K157" i="8"/>
  <c r="G157" i="8"/>
  <c r="AL157" i="8" s="1"/>
  <c r="AF154" i="8"/>
  <c r="AE154" i="8"/>
  <c r="AD154" i="8"/>
  <c r="AC154" i="8"/>
  <c r="AB154" i="8"/>
  <c r="D154" i="8"/>
  <c r="AN153" i="8"/>
  <c r="AM153" i="8"/>
  <c r="AK153" i="8"/>
  <c r="AJ153" i="8"/>
  <c r="Q153" i="8"/>
  <c r="K153" i="8"/>
  <c r="G153" i="8"/>
  <c r="AL153" i="8" s="1"/>
  <c r="AN152" i="8"/>
  <c r="AM152" i="8"/>
  <c r="AK152" i="8"/>
  <c r="AJ152" i="8"/>
  <c r="Q152" i="8"/>
  <c r="K152" i="8"/>
  <c r="L152" i="8" s="1"/>
  <c r="N152" i="8" s="1"/>
  <c r="G152" i="8"/>
  <c r="AL152" i="8" s="1"/>
  <c r="AN151" i="8"/>
  <c r="AM151" i="8"/>
  <c r="AK151" i="8"/>
  <c r="AJ151" i="8"/>
  <c r="Q151" i="8"/>
  <c r="K151" i="8"/>
  <c r="L151" i="8" s="1"/>
  <c r="N151" i="8" s="1"/>
  <c r="G151" i="8"/>
  <c r="AL151" i="8" s="1"/>
  <c r="AN150" i="8"/>
  <c r="AM150" i="8"/>
  <c r="AK150" i="8"/>
  <c r="AJ150" i="8"/>
  <c r="Q150" i="8"/>
  <c r="K150" i="8"/>
  <c r="L150" i="8" s="1"/>
  <c r="G150" i="8"/>
  <c r="AL150" i="8" s="1"/>
  <c r="AN149" i="8"/>
  <c r="AM149" i="8"/>
  <c r="AK149" i="8"/>
  <c r="AJ149" i="8"/>
  <c r="Q149" i="8"/>
  <c r="K149" i="8"/>
  <c r="L149" i="8" s="1"/>
  <c r="G149" i="8"/>
  <c r="AL149" i="8" s="1"/>
  <c r="AN148" i="8"/>
  <c r="AM148" i="8"/>
  <c r="AK148" i="8"/>
  <c r="AJ148" i="8"/>
  <c r="Q148" i="8"/>
  <c r="K148" i="8"/>
  <c r="L148" i="8" s="1"/>
  <c r="G148" i="8"/>
  <c r="AL148" i="8" s="1"/>
  <c r="AF145" i="8"/>
  <c r="AE145" i="8"/>
  <c r="AD145" i="8"/>
  <c r="AC145" i="8"/>
  <c r="AB145" i="8"/>
  <c r="D145" i="8"/>
  <c r="AN144" i="8"/>
  <c r="AM144" i="8"/>
  <c r="AK144" i="8"/>
  <c r="AJ144" i="8"/>
  <c r="Q144" i="8"/>
  <c r="K144" i="8"/>
  <c r="K145" i="8" s="1"/>
  <c r="G144" i="8"/>
  <c r="AL144" i="8" s="1"/>
  <c r="D141" i="8"/>
  <c r="AN140" i="8"/>
  <c r="AM140" i="8"/>
  <c r="AK140" i="8"/>
  <c r="AJ140" i="8"/>
  <c r="Q140" i="8"/>
  <c r="K140" i="8"/>
  <c r="L140" i="8" s="1"/>
  <c r="N140" i="8" s="1"/>
  <c r="G140" i="8"/>
  <c r="AL140" i="8" s="1"/>
  <c r="AN139" i="8"/>
  <c r="AM139" i="8"/>
  <c r="AK139" i="8"/>
  <c r="AJ139" i="8"/>
  <c r="Q139" i="8"/>
  <c r="K139" i="8"/>
  <c r="G139" i="8"/>
  <c r="AL139" i="8" s="1"/>
  <c r="AF136" i="8"/>
  <c r="AE136" i="8"/>
  <c r="AD136" i="8"/>
  <c r="AC136" i="8"/>
  <c r="AB136" i="8"/>
  <c r="AN135" i="8"/>
  <c r="AM135" i="8"/>
  <c r="AK135" i="8"/>
  <c r="AJ135" i="8"/>
  <c r="Q135" i="8"/>
  <c r="K135" i="8"/>
  <c r="L135" i="8" s="1"/>
  <c r="N135" i="8" s="1"/>
  <c r="G135" i="8"/>
  <c r="AL135" i="8" s="1"/>
  <c r="AN134" i="8"/>
  <c r="AM134" i="8"/>
  <c r="AK134" i="8"/>
  <c r="AJ134" i="8"/>
  <c r="Q134" i="8"/>
  <c r="K134" i="8"/>
  <c r="L134" i="8" s="1"/>
  <c r="N134" i="8" s="1"/>
  <c r="G134" i="8"/>
  <c r="AL134" i="8" s="1"/>
  <c r="AN133" i="8"/>
  <c r="AM133" i="8"/>
  <c r="AK133" i="8"/>
  <c r="AJ133" i="8"/>
  <c r="Q133" i="8"/>
  <c r="K133" i="8"/>
  <c r="L133" i="8" s="1"/>
  <c r="N133" i="8" s="1"/>
  <c r="G133" i="8"/>
  <c r="AL133" i="8" s="1"/>
  <c r="AN132" i="8"/>
  <c r="AM132" i="8"/>
  <c r="AK132" i="8"/>
  <c r="AJ132" i="8"/>
  <c r="Q132" i="8"/>
  <c r="G132" i="8"/>
  <c r="AL132" i="8" s="1"/>
  <c r="D132" i="8"/>
  <c r="K132" i="8" s="1"/>
  <c r="L132" i="8" s="1"/>
  <c r="N132" i="8" s="1"/>
  <c r="AN131" i="8"/>
  <c r="AM131" i="8"/>
  <c r="AK131" i="8"/>
  <c r="AJ131" i="8"/>
  <c r="Q131" i="8"/>
  <c r="G131" i="8"/>
  <c r="AL131" i="8" s="1"/>
  <c r="D131" i="8"/>
  <c r="K131" i="8" s="1"/>
  <c r="L131" i="8" s="1"/>
  <c r="N131" i="8" s="1"/>
  <c r="AN130" i="8"/>
  <c r="AM130" i="8"/>
  <c r="AK130" i="8"/>
  <c r="AJ130" i="8"/>
  <c r="Q130" i="8"/>
  <c r="G130" i="8"/>
  <c r="AL130" i="8" s="1"/>
  <c r="D130" i="8"/>
  <c r="K130" i="8" s="1"/>
  <c r="AF126" i="8"/>
  <c r="AE126" i="8"/>
  <c r="AD126" i="8"/>
  <c r="AB126" i="8"/>
  <c r="AA126" i="8"/>
  <c r="Y126" i="8"/>
  <c r="X126" i="8"/>
  <c r="W126" i="8"/>
  <c r="U126" i="8"/>
  <c r="T126" i="8"/>
  <c r="D126" i="8"/>
  <c r="AN125" i="8"/>
  <c r="AM125" i="8"/>
  <c r="AK125" i="8"/>
  <c r="AJ125" i="8"/>
  <c r="Q125" i="8"/>
  <c r="K125" i="8"/>
  <c r="L125" i="8" s="1"/>
  <c r="G125" i="8"/>
  <c r="AL125" i="8" s="1"/>
  <c r="AN124" i="8"/>
  <c r="AM124" i="8"/>
  <c r="AK124" i="8"/>
  <c r="AJ124" i="8"/>
  <c r="Q124" i="8"/>
  <c r="K124" i="8"/>
  <c r="L124" i="8" s="1"/>
  <c r="N124" i="8" s="1"/>
  <c r="G124" i="8"/>
  <c r="AL124" i="8" s="1"/>
  <c r="AN123" i="8"/>
  <c r="AM123" i="8"/>
  <c r="AK123" i="8"/>
  <c r="AJ123" i="8"/>
  <c r="Q123" i="8"/>
  <c r="K123" i="8"/>
  <c r="L123" i="8" s="1"/>
  <c r="N123" i="8" s="1"/>
  <c r="G123" i="8"/>
  <c r="AL123" i="8" s="1"/>
  <c r="AN122" i="8"/>
  <c r="AM122" i="8"/>
  <c r="AK122" i="8"/>
  <c r="AJ122" i="8"/>
  <c r="Q122" i="8"/>
  <c r="K122" i="8"/>
  <c r="G122" i="8"/>
  <c r="AL122" i="8" s="1"/>
  <c r="AE118" i="8"/>
  <c r="AD118" i="8"/>
  <c r="AC118" i="8"/>
  <c r="AB118" i="8"/>
  <c r="AA118" i="8"/>
  <c r="X118" i="8"/>
  <c r="W118" i="8"/>
  <c r="V118" i="8"/>
  <c r="U118" i="8"/>
  <c r="T118" i="8"/>
  <c r="AN117" i="8"/>
  <c r="AM117" i="8"/>
  <c r="AK117" i="8"/>
  <c r="AJ117" i="8"/>
  <c r="Q117" i="8"/>
  <c r="K117" i="8"/>
  <c r="G117" i="8"/>
  <c r="AL117" i="8" s="1"/>
  <c r="AN116" i="8"/>
  <c r="AM116" i="8"/>
  <c r="AK116" i="8"/>
  <c r="AJ116" i="8"/>
  <c r="Q116" i="8"/>
  <c r="G116" i="8"/>
  <c r="AL116" i="8" s="1"/>
  <c r="D116" i="8"/>
  <c r="K116" i="8" s="1"/>
  <c r="L116" i="8" s="1"/>
  <c r="AN115" i="8"/>
  <c r="AM115" i="8"/>
  <c r="AK115" i="8"/>
  <c r="AJ115" i="8"/>
  <c r="Q115" i="8"/>
  <c r="K115" i="8"/>
  <c r="L115" i="8" s="1"/>
  <c r="G115" i="8"/>
  <c r="AL115" i="8" s="1"/>
  <c r="AN114" i="8"/>
  <c r="AM114" i="8"/>
  <c r="AK114" i="8"/>
  <c r="AJ114" i="8"/>
  <c r="Q114" i="8"/>
  <c r="G114" i="8"/>
  <c r="AL114" i="8" s="1"/>
  <c r="AF111" i="8"/>
  <c r="AE111" i="8"/>
  <c r="AD111" i="8"/>
  <c r="AC111" i="8"/>
  <c r="AB111" i="8"/>
  <c r="AN110" i="8"/>
  <c r="AM110" i="8"/>
  <c r="AK110" i="8"/>
  <c r="AJ110" i="8"/>
  <c r="Q110" i="8"/>
  <c r="K110" i="8"/>
  <c r="L110" i="8" s="1"/>
  <c r="M110" i="8" s="1"/>
  <c r="G110" i="8"/>
  <c r="AL110" i="8" s="1"/>
  <c r="AN109" i="8"/>
  <c r="AM109" i="8"/>
  <c r="AK109" i="8"/>
  <c r="AJ109" i="8"/>
  <c r="Q109" i="8"/>
  <c r="G109" i="8"/>
  <c r="AL109" i="8" s="1"/>
  <c r="D109" i="8"/>
  <c r="K109" i="8" s="1"/>
  <c r="AN105" i="8"/>
  <c r="AM105" i="8"/>
  <c r="AK105" i="8"/>
  <c r="AJ105" i="8"/>
  <c r="Q105" i="8"/>
  <c r="G105" i="8"/>
  <c r="AL105" i="8" s="1"/>
  <c r="D105" i="8"/>
  <c r="K105" i="8" s="1"/>
  <c r="AN104" i="8"/>
  <c r="AM104" i="8"/>
  <c r="AK104" i="8"/>
  <c r="AJ104" i="8"/>
  <c r="Q104" i="8"/>
  <c r="K104" i="8"/>
  <c r="L104" i="8" s="1"/>
  <c r="M104" i="8" s="1"/>
  <c r="G104" i="8"/>
  <c r="AL104" i="8" s="1"/>
  <c r="AN103" i="8"/>
  <c r="AM103" i="8"/>
  <c r="AK103" i="8"/>
  <c r="AJ103" i="8"/>
  <c r="Q103" i="8"/>
  <c r="K103" i="8"/>
  <c r="L103" i="8" s="1"/>
  <c r="M103" i="8" s="1"/>
  <c r="G103" i="8"/>
  <c r="AL103" i="8" s="1"/>
  <c r="AN102" i="8"/>
  <c r="AM102" i="8"/>
  <c r="AK102" i="8"/>
  <c r="AJ102" i="8"/>
  <c r="Q102" i="8"/>
  <c r="G102" i="8"/>
  <c r="AL102" i="8" s="1"/>
  <c r="D102" i="8"/>
  <c r="K102" i="8" s="1"/>
  <c r="L102" i="8" s="1"/>
  <c r="AN101" i="8"/>
  <c r="AM101" i="8"/>
  <c r="AK101" i="8"/>
  <c r="AJ101" i="8"/>
  <c r="Q101" i="8"/>
  <c r="G101" i="8"/>
  <c r="AL101" i="8" s="1"/>
  <c r="D101" i="8"/>
  <c r="K101" i="8" s="1"/>
  <c r="AN100" i="8"/>
  <c r="AM100" i="8"/>
  <c r="AK100" i="8"/>
  <c r="AJ100" i="8"/>
  <c r="Q100" i="8"/>
  <c r="G100" i="8"/>
  <c r="AL100" i="8" s="1"/>
  <c r="D100" i="8"/>
  <c r="K100" i="8" s="1"/>
  <c r="L100" i="8" s="1"/>
  <c r="N100" i="8" s="1"/>
  <c r="AN99" i="8"/>
  <c r="AM99" i="8"/>
  <c r="AK99" i="8"/>
  <c r="AJ99" i="8"/>
  <c r="Q99" i="8"/>
  <c r="K99" i="8"/>
  <c r="L99" i="8" s="1"/>
  <c r="N99" i="8" s="1"/>
  <c r="G99" i="8"/>
  <c r="AL99" i="8" s="1"/>
  <c r="AN98" i="8"/>
  <c r="AM98" i="8"/>
  <c r="AK98" i="8"/>
  <c r="AJ98" i="8"/>
  <c r="Q98" i="8"/>
  <c r="G98" i="8"/>
  <c r="AL98" i="8" s="1"/>
  <c r="D98" i="8"/>
  <c r="K98" i="8" s="1"/>
  <c r="L98" i="8" s="1"/>
  <c r="N98" i="8" s="1"/>
  <c r="AN97" i="8"/>
  <c r="AM97" i="8"/>
  <c r="AK97" i="8"/>
  <c r="AJ97" i="8"/>
  <c r="Q97" i="8"/>
  <c r="G97" i="8"/>
  <c r="AL97" i="8" s="1"/>
  <c r="D97" i="8"/>
  <c r="AN96" i="8"/>
  <c r="AM96" i="8"/>
  <c r="AK96" i="8"/>
  <c r="AJ96" i="8"/>
  <c r="Q96" i="8"/>
  <c r="K96" i="8"/>
  <c r="L96" i="8" s="1"/>
  <c r="N96" i="8" s="1"/>
  <c r="G96" i="8"/>
  <c r="AL96" i="8" s="1"/>
  <c r="AN95" i="8"/>
  <c r="AM95" i="8"/>
  <c r="AK95" i="8"/>
  <c r="AJ95" i="8"/>
  <c r="Q95" i="8"/>
  <c r="K95" i="8"/>
  <c r="L95" i="8" s="1"/>
  <c r="N95" i="8" s="1"/>
  <c r="G95" i="8"/>
  <c r="AL95" i="8" s="1"/>
  <c r="AN94" i="8"/>
  <c r="AM94" i="8"/>
  <c r="AK94" i="8"/>
  <c r="AJ94" i="8"/>
  <c r="Q94" i="8"/>
  <c r="K94" i="8"/>
  <c r="L94" i="8" s="1"/>
  <c r="N94" i="8" s="1"/>
  <c r="G94" i="8"/>
  <c r="AL94" i="8" s="1"/>
  <c r="AN93" i="8"/>
  <c r="AM93" i="8"/>
  <c r="AK93" i="8"/>
  <c r="AJ93" i="8"/>
  <c r="Q93" i="8"/>
  <c r="K93" i="8"/>
  <c r="L93" i="8" s="1"/>
  <c r="N93" i="8" s="1"/>
  <c r="G93" i="8"/>
  <c r="AL93" i="8" s="1"/>
  <c r="AN92" i="8"/>
  <c r="AM92" i="8"/>
  <c r="AK92" i="8"/>
  <c r="AJ92" i="8"/>
  <c r="Q92" i="8"/>
  <c r="K92" i="8"/>
  <c r="G92" i="8"/>
  <c r="AL92" i="8" s="1"/>
  <c r="AN91" i="8"/>
  <c r="AM91" i="8"/>
  <c r="AK91" i="8"/>
  <c r="AJ91" i="8"/>
  <c r="Q91" i="8"/>
  <c r="K91" i="8"/>
  <c r="L91" i="8" s="1"/>
  <c r="G91" i="8"/>
  <c r="AL91" i="8" s="1"/>
  <c r="AN90" i="8"/>
  <c r="AM90" i="8"/>
  <c r="AK90" i="8"/>
  <c r="AJ90" i="8"/>
  <c r="Q90" i="8"/>
  <c r="K90" i="8"/>
  <c r="L90" i="8" s="1"/>
  <c r="G90" i="8"/>
  <c r="AL90" i="8" s="1"/>
  <c r="AN89" i="8"/>
  <c r="AM89" i="8"/>
  <c r="AK89" i="8"/>
  <c r="AJ89" i="8"/>
  <c r="Q89" i="8"/>
  <c r="K89" i="8"/>
  <c r="L89" i="8" s="1"/>
  <c r="G89" i="8"/>
  <c r="AL89" i="8" s="1"/>
  <c r="AN88" i="8"/>
  <c r="AM88" i="8"/>
  <c r="AK88" i="8"/>
  <c r="AJ88" i="8"/>
  <c r="Q88" i="8"/>
  <c r="K88" i="8"/>
  <c r="G88" i="8"/>
  <c r="AL88" i="8" s="1"/>
  <c r="AF85" i="8"/>
  <c r="AE85" i="8"/>
  <c r="AD85" i="8"/>
  <c r="AC85" i="8"/>
  <c r="AB85" i="8"/>
  <c r="D85" i="8"/>
  <c r="AN84" i="8"/>
  <c r="AM84" i="8"/>
  <c r="AK84" i="8"/>
  <c r="AJ84" i="8"/>
  <c r="Q84" i="8"/>
  <c r="K84" i="8"/>
  <c r="G84" i="8"/>
  <c r="AL84" i="8" s="1"/>
  <c r="AN83" i="8"/>
  <c r="AM83" i="8"/>
  <c r="AK83" i="8"/>
  <c r="AJ83" i="8"/>
  <c r="Q83" i="8"/>
  <c r="K83" i="8"/>
  <c r="G83" i="8"/>
  <c r="AL83" i="8" s="1"/>
  <c r="AN82" i="8"/>
  <c r="AM82" i="8"/>
  <c r="AK82" i="8"/>
  <c r="AJ82" i="8"/>
  <c r="Q82" i="8"/>
  <c r="K82" i="8"/>
  <c r="L82" i="8" s="1"/>
  <c r="N82" i="8" s="1"/>
  <c r="G82" i="8"/>
  <c r="AL82" i="8" s="1"/>
  <c r="AN81" i="8"/>
  <c r="AM81" i="8"/>
  <c r="AK81" i="8"/>
  <c r="AJ81" i="8"/>
  <c r="Q81" i="8"/>
  <c r="K81" i="8"/>
  <c r="L81" i="8" s="1"/>
  <c r="G81" i="8"/>
  <c r="AL81" i="8" s="1"/>
  <c r="AN80" i="8"/>
  <c r="AM80" i="8"/>
  <c r="AK80" i="8"/>
  <c r="AJ80" i="8"/>
  <c r="Q80" i="8"/>
  <c r="K80" i="8"/>
  <c r="G80" i="8"/>
  <c r="AL80" i="8" s="1"/>
  <c r="AN79" i="8"/>
  <c r="AM79" i="8"/>
  <c r="AK79" i="8"/>
  <c r="AJ79" i="8"/>
  <c r="Q79" i="8"/>
  <c r="K79" i="8"/>
  <c r="L79" i="8" s="1"/>
  <c r="G79" i="8"/>
  <c r="AL79" i="8" s="1"/>
  <c r="AN78" i="8"/>
  <c r="AM78" i="8"/>
  <c r="AK78" i="8"/>
  <c r="AJ78" i="8"/>
  <c r="Q78" i="8"/>
  <c r="K78" i="8"/>
  <c r="L78" i="8" s="1"/>
  <c r="G78" i="8"/>
  <c r="AL78" i="8" s="1"/>
  <c r="AN77" i="8"/>
  <c r="AM77" i="8"/>
  <c r="AK77" i="8"/>
  <c r="AJ77" i="8"/>
  <c r="Q77" i="8"/>
  <c r="K77" i="8"/>
  <c r="L77" i="8" s="1"/>
  <c r="G77" i="8"/>
  <c r="AL77" i="8" s="1"/>
  <c r="AF74" i="8"/>
  <c r="AE74" i="8"/>
  <c r="AD74" i="8"/>
  <c r="Y74" i="8"/>
  <c r="X74" i="8"/>
  <c r="W74" i="8"/>
  <c r="D74" i="8"/>
  <c r="AN73" i="8"/>
  <c r="AM73" i="8"/>
  <c r="AK73" i="8"/>
  <c r="AJ73" i="8"/>
  <c r="Q73" i="8"/>
  <c r="K73" i="8"/>
  <c r="L73" i="8" s="1"/>
  <c r="N73" i="8" s="1"/>
  <c r="G73" i="8"/>
  <c r="AL73" i="8" s="1"/>
  <c r="AN71" i="8"/>
  <c r="AM71" i="8"/>
  <c r="AK71" i="8"/>
  <c r="AJ71" i="8"/>
  <c r="Q71" i="8"/>
  <c r="K71" i="8"/>
  <c r="L71" i="8" s="1"/>
  <c r="N71" i="8" s="1"/>
  <c r="G71" i="8"/>
  <c r="AL71" i="8" s="1"/>
  <c r="AN70" i="8"/>
  <c r="AM70" i="8"/>
  <c r="AK70" i="8"/>
  <c r="AJ70" i="8"/>
  <c r="Q70" i="8"/>
  <c r="K70" i="8"/>
  <c r="L70" i="8" s="1"/>
  <c r="G70" i="8"/>
  <c r="AL70" i="8" s="1"/>
  <c r="AN69" i="8"/>
  <c r="AM69" i="8"/>
  <c r="AK69" i="8"/>
  <c r="AJ69" i="8"/>
  <c r="Q69" i="8"/>
  <c r="K69" i="8"/>
  <c r="L69" i="8" s="1"/>
  <c r="G69" i="8"/>
  <c r="AL69" i="8" s="1"/>
  <c r="AN68" i="8"/>
  <c r="AM68" i="8"/>
  <c r="AK68" i="8"/>
  <c r="AJ68" i="8"/>
  <c r="Q68" i="8"/>
  <c r="K68" i="8"/>
  <c r="L68" i="8" s="1"/>
  <c r="G68" i="8"/>
  <c r="AL68" i="8" s="1"/>
  <c r="AN67" i="8"/>
  <c r="AM67" i="8"/>
  <c r="AK67" i="8"/>
  <c r="AJ67" i="8"/>
  <c r="Q67" i="8"/>
  <c r="K67" i="8"/>
  <c r="G67" i="8"/>
  <c r="AL67" i="8" s="1"/>
  <c r="AC64" i="8"/>
  <c r="AB64" i="8"/>
  <c r="AA64" i="8"/>
  <c r="D64" i="8"/>
  <c r="AN63" i="8"/>
  <c r="AM63" i="8"/>
  <c r="AK63" i="8"/>
  <c r="AJ63" i="8"/>
  <c r="Q63" i="8"/>
  <c r="K63" i="8"/>
  <c r="G63" i="8"/>
  <c r="AL63" i="8" s="1"/>
  <c r="AN62" i="8"/>
  <c r="AM62" i="8"/>
  <c r="AK62" i="8"/>
  <c r="AJ62" i="8"/>
  <c r="Q62" i="8"/>
  <c r="K62" i="8"/>
  <c r="L62" i="8" s="1"/>
  <c r="G62" i="8"/>
  <c r="AL62" i="8" s="1"/>
  <c r="AN61" i="8"/>
  <c r="AM61" i="8"/>
  <c r="AK61" i="8"/>
  <c r="AJ61" i="8"/>
  <c r="Q61" i="8"/>
  <c r="K61" i="8"/>
  <c r="L61" i="8" s="1"/>
  <c r="G61" i="8"/>
  <c r="AL61" i="8" s="1"/>
  <c r="AN60" i="8"/>
  <c r="AM60" i="8"/>
  <c r="AK60" i="8"/>
  <c r="AJ60" i="8"/>
  <c r="Q60" i="8"/>
  <c r="K60" i="8"/>
  <c r="G60" i="8"/>
  <c r="AL60" i="8" s="1"/>
  <c r="D57" i="8"/>
  <c r="AN56" i="8"/>
  <c r="AM56" i="8"/>
  <c r="AK56" i="8"/>
  <c r="AJ56" i="8"/>
  <c r="AF56" i="8"/>
  <c r="AD56" i="8"/>
  <c r="Q56" i="8"/>
  <c r="K56" i="8"/>
  <c r="L56" i="8" s="1"/>
  <c r="N56" i="8" s="1"/>
  <c r="G56" i="8"/>
  <c r="AL56" i="8" s="1"/>
  <c r="AN54" i="8"/>
  <c r="AM54" i="8"/>
  <c r="AK54" i="8"/>
  <c r="AJ54" i="8"/>
  <c r="AF54" i="8"/>
  <c r="AD54" i="8"/>
  <c r="Q54" i="8"/>
  <c r="K54" i="8"/>
  <c r="L54" i="8" s="1"/>
  <c r="N54" i="8" s="1"/>
  <c r="G54" i="8"/>
  <c r="AL54" i="8" s="1"/>
  <c r="AN53" i="8"/>
  <c r="AM53" i="8"/>
  <c r="AK53" i="8"/>
  <c r="AJ53" i="8"/>
  <c r="AF53" i="8"/>
  <c r="AD53" i="8"/>
  <c r="Q53" i="8"/>
  <c r="K53" i="8"/>
  <c r="L53" i="8" s="1"/>
  <c r="N53" i="8" s="1"/>
  <c r="G53" i="8"/>
  <c r="AL53" i="8" s="1"/>
  <c r="AN52" i="8"/>
  <c r="AM52" i="8"/>
  <c r="AK52" i="8"/>
  <c r="AJ52" i="8"/>
  <c r="AF52" i="8"/>
  <c r="AF57" i="8" s="1"/>
  <c r="AD52" i="8"/>
  <c r="AD57" i="8" s="1"/>
  <c r="Q52" i="8"/>
  <c r="K52" i="8"/>
  <c r="G52" i="8"/>
  <c r="AL52" i="8" s="1"/>
  <c r="D49" i="8"/>
  <c r="AN48" i="8"/>
  <c r="AM48" i="8"/>
  <c r="AK48" i="8"/>
  <c r="AJ48" i="8"/>
  <c r="Q48" i="8"/>
  <c r="K48" i="8"/>
  <c r="L48" i="8" s="1"/>
  <c r="N48" i="8" s="1"/>
  <c r="G48" i="8"/>
  <c r="AL48" i="8" s="1"/>
  <c r="AN47" i="8"/>
  <c r="AM47" i="8"/>
  <c r="AK47" i="8"/>
  <c r="AJ47" i="8"/>
  <c r="Q47" i="8"/>
  <c r="K47" i="8"/>
  <c r="L47" i="8" s="1"/>
  <c r="N47" i="8" s="1"/>
  <c r="G47" i="8"/>
  <c r="AL47" i="8" s="1"/>
  <c r="AN46" i="8"/>
  <c r="AM46" i="8"/>
  <c r="AK46" i="8"/>
  <c r="AJ46" i="8"/>
  <c r="Q46" i="8"/>
  <c r="K46" i="8"/>
  <c r="L46" i="8" s="1"/>
  <c r="N46" i="8" s="1"/>
  <c r="G46" i="8"/>
  <c r="AL46" i="8" s="1"/>
  <c r="AN45" i="8"/>
  <c r="AM45" i="8"/>
  <c r="AK45" i="8"/>
  <c r="AJ45" i="8"/>
  <c r="Q45" i="8"/>
  <c r="K45" i="8"/>
  <c r="L45" i="8" s="1"/>
  <c r="N45" i="8" s="1"/>
  <c r="G45" i="8"/>
  <c r="AL45" i="8" s="1"/>
  <c r="AN44" i="8"/>
  <c r="AM44" i="8"/>
  <c r="AK44" i="8"/>
  <c r="AJ44" i="8"/>
  <c r="Q44" i="8"/>
  <c r="K44" i="8"/>
  <c r="G44" i="8"/>
  <c r="AL44" i="8" s="1"/>
  <c r="AN43" i="8"/>
  <c r="AM43" i="8"/>
  <c r="AK43" i="8"/>
  <c r="AJ43" i="8"/>
  <c r="Q43" i="8"/>
  <c r="K43" i="8"/>
  <c r="L43" i="8" s="1"/>
  <c r="G43" i="8"/>
  <c r="AL43" i="8" s="1"/>
  <c r="AN42" i="8"/>
  <c r="AM42" i="8"/>
  <c r="AK42" i="8"/>
  <c r="AJ42" i="8"/>
  <c r="Q42" i="8"/>
  <c r="K42" i="8"/>
  <c r="L42" i="8" s="1"/>
  <c r="G42" i="8"/>
  <c r="AL42" i="8" s="1"/>
  <c r="AN41" i="8"/>
  <c r="AM41" i="8"/>
  <c r="AK41" i="8"/>
  <c r="AJ41" i="8"/>
  <c r="Q41" i="8"/>
  <c r="K41" i="8"/>
  <c r="L41" i="8" s="1"/>
  <c r="G41" i="8"/>
  <c r="AL41" i="8" s="1"/>
  <c r="AN40" i="8"/>
  <c r="AM40" i="8"/>
  <c r="AK40" i="8"/>
  <c r="AJ40" i="8"/>
  <c r="Q40" i="8"/>
  <c r="K40" i="8"/>
  <c r="G40" i="8"/>
  <c r="AL40" i="8" s="1"/>
  <c r="AN36" i="8"/>
  <c r="AM36" i="8"/>
  <c r="AK36" i="8"/>
  <c r="AJ36" i="8"/>
  <c r="AF36" i="8"/>
  <c r="AF37" i="8" s="1"/>
  <c r="AD36" i="8"/>
  <c r="AD37" i="8" s="1"/>
  <c r="Q36" i="8"/>
  <c r="G36" i="8"/>
  <c r="AL36" i="8" s="1"/>
  <c r="D36" i="8"/>
  <c r="D37" i="8" s="1"/>
  <c r="Y33" i="8"/>
  <c r="X33" i="8"/>
  <c r="W33" i="8"/>
  <c r="V33" i="8"/>
  <c r="U33" i="8"/>
  <c r="D33" i="8"/>
  <c r="AN32" i="8"/>
  <c r="AM32" i="8"/>
  <c r="AK32" i="8"/>
  <c r="AJ32" i="8"/>
  <c r="AF32" i="8"/>
  <c r="AF33" i="8" s="1"/>
  <c r="AD32" i="8"/>
  <c r="AD33" i="8" s="1"/>
  <c r="Q32" i="8"/>
  <c r="K32" i="8"/>
  <c r="G32" i="8"/>
  <c r="AL32" i="8" s="1"/>
  <c r="X26" i="8"/>
  <c r="W26" i="8"/>
  <c r="V26" i="8"/>
  <c r="U26" i="8"/>
  <c r="D26" i="8"/>
  <c r="AN25" i="8"/>
  <c r="AM25" i="8"/>
  <c r="AK25" i="8"/>
  <c r="AJ25" i="8"/>
  <c r="AF25" i="8"/>
  <c r="AD25" i="8"/>
  <c r="Q25" i="8"/>
  <c r="K25" i="8"/>
  <c r="G25" i="8"/>
  <c r="AL25" i="8" s="1"/>
  <c r="AN24" i="8"/>
  <c r="AM24" i="8"/>
  <c r="AK24" i="8"/>
  <c r="AJ24" i="8"/>
  <c r="AF24" i="8"/>
  <c r="AD24" i="8"/>
  <c r="Q24" i="8"/>
  <c r="K24" i="8"/>
  <c r="G24" i="8"/>
  <c r="AL24" i="8" s="1"/>
  <c r="AN20" i="8"/>
  <c r="AM20" i="8"/>
  <c r="AK20" i="8"/>
  <c r="AJ20" i="8"/>
  <c r="AF20" i="8"/>
  <c r="AD20" i="8"/>
  <c r="Q20" i="8"/>
  <c r="K20" i="8"/>
  <c r="G20" i="8"/>
  <c r="AL20" i="8" s="1"/>
  <c r="AN19" i="8"/>
  <c r="AM19" i="8"/>
  <c r="AK19" i="8"/>
  <c r="AJ19" i="8"/>
  <c r="AF19" i="8"/>
  <c r="AD19" i="8"/>
  <c r="Q19" i="8"/>
  <c r="K19" i="8"/>
  <c r="G19" i="8"/>
  <c r="AL19" i="8" s="1"/>
  <c r="AN18" i="8"/>
  <c r="AM18" i="8"/>
  <c r="AK18" i="8"/>
  <c r="AJ18" i="8"/>
  <c r="AF18" i="8"/>
  <c r="AD18" i="8"/>
  <c r="Q18" i="8"/>
  <c r="K18" i="8"/>
  <c r="G18" i="8"/>
  <c r="AL18" i="8" s="1"/>
  <c r="AN17" i="8"/>
  <c r="AM17" i="8"/>
  <c r="AK17" i="8"/>
  <c r="AJ17" i="8"/>
  <c r="AF17" i="8"/>
  <c r="AD17" i="8"/>
  <c r="Q17" i="8"/>
  <c r="K17" i="8"/>
  <c r="G17" i="8"/>
  <c r="AL17" i="8" s="1"/>
  <c r="AN16" i="8"/>
  <c r="AM16" i="8"/>
  <c r="AK16" i="8"/>
  <c r="AJ16" i="8"/>
  <c r="AF16" i="8"/>
  <c r="AD16" i="8"/>
  <c r="Q16" i="8"/>
  <c r="K16" i="8"/>
  <c r="G16" i="8"/>
  <c r="AL16" i="8" s="1"/>
  <c r="AN15" i="8"/>
  <c r="AM15" i="8"/>
  <c r="AK15" i="8"/>
  <c r="AJ15" i="8"/>
  <c r="AF15" i="8"/>
  <c r="AD15" i="8"/>
  <c r="Q15" i="8"/>
  <c r="K15" i="8"/>
  <c r="G15" i="8"/>
  <c r="AL15" i="8" s="1"/>
  <c r="AN14" i="8"/>
  <c r="AM14" i="8"/>
  <c r="AK14" i="8"/>
  <c r="AJ14" i="8"/>
  <c r="AF14" i="8"/>
  <c r="AD14" i="8"/>
  <c r="Q14" i="8"/>
  <c r="K14" i="8"/>
  <c r="G14" i="8"/>
  <c r="AL14" i="8" s="1"/>
  <c r="AN13" i="8"/>
  <c r="AM13" i="8"/>
  <c r="AK13" i="8"/>
  <c r="AJ13" i="8"/>
  <c r="AF13" i="8"/>
  <c r="AD13" i="8"/>
  <c r="Q13" i="8"/>
  <c r="K13" i="8"/>
  <c r="L13" i="8" s="1"/>
  <c r="G13" i="8"/>
  <c r="AL13" i="8" s="1"/>
  <c r="AN12" i="8"/>
  <c r="AM12" i="8"/>
  <c r="AK12" i="8"/>
  <c r="AJ12" i="8"/>
  <c r="AF12" i="8"/>
  <c r="AD12" i="8"/>
  <c r="Q12" i="8"/>
  <c r="K12" i="8"/>
  <c r="G12" i="8"/>
  <c r="AL12" i="8" s="1"/>
  <c r="AF10" i="8"/>
  <c r="AE10" i="8"/>
  <c r="AD10" i="8"/>
  <c r="AC10" i="8"/>
  <c r="AB10" i="8"/>
  <c r="AA10" i="8"/>
  <c r="Y10" i="8"/>
  <c r="X3" i="8" s="1"/>
  <c r="X10" i="8"/>
  <c r="W10" i="8"/>
  <c r="V10" i="8"/>
  <c r="U10" i="8"/>
  <c r="T10" i="8"/>
  <c r="L25" i="8" l="1"/>
  <c r="M25" i="8" s="1"/>
  <c r="L24" i="8"/>
  <c r="M24" i="8" s="1"/>
  <c r="R24" i="8" s="1"/>
  <c r="AC24" i="8" s="1"/>
  <c r="Q166" i="8"/>
  <c r="L44" i="8"/>
  <c r="N44" i="8" s="1"/>
  <c r="M46" i="8"/>
  <c r="Z46" i="8" s="1"/>
  <c r="M47" i="8"/>
  <c r="L117" i="8"/>
  <c r="N117" i="8" s="1"/>
  <c r="AH117" i="8" s="1"/>
  <c r="AI117" i="8" s="1"/>
  <c r="M43" i="8"/>
  <c r="N43" i="8"/>
  <c r="M45" i="8"/>
  <c r="Z45" i="8" s="1"/>
  <c r="L63" i="8"/>
  <c r="N63" i="8" s="1"/>
  <c r="L122" i="8"/>
  <c r="L157" i="8"/>
  <c r="K166" i="8"/>
  <c r="M102" i="8"/>
  <c r="T102" i="8" s="1"/>
  <c r="N102" i="8"/>
  <c r="AH102" i="8" s="1"/>
  <c r="AI102" i="8" s="1"/>
  <c r="M162" i="8"/>
  <c r="R162" i="8" s="1"/>
  <c r="N162" i="8"/>
  <c r="L165" i="8"/>
  <c r="N165" i="8" s="1"/>
  <c r="L14" i="8"/>
  <c r="M125" i="8"/>
  <c r="V125" i="8" s="1"/>
  <c r="N125" i="8"/>
  <c r="AH125" i="8" s="1"/>
  <c r="AI125" i="8" s="1"/>
  <c r="M48" i="8"/>
  <c r="Z48" i="8" s="1"/>
  <c r="L92" i="8"/>
  <c r="M92" i="8" s="1"/>
  <c r="N92" i="8" s="1"/>
  <c r="N161" i="8"/>
  <c r="AH161" i="8" s="1"/>
  <c r="AI161" i="8" s="1"/>
  <c r="L18" i="8"/>
  <c r="M18" i="8" s="1"/>
  <c r="L19" i="8"/>
  <c r="N19" i="8" s="1"/>
  <c r="AH19" i="8" s="1"/>
  <c r="AI19" i="8" s="1"/>
  <c r="L16" i="8"/>
  <c r="N16" i="8" s="1"/>
  <c r="AH16" i="8" s="1"/>
  <c r="AI16" i="8" s="1"/>
  <c r="L17" i="8"/>
  <c r="N17" i="8" s="1"/>
  <c r="AH17" i="8" s="1"/>
  <c r="AI17" i="8" s="1"/>
  <c r="Z110" i="8"/>
  <c r="AD26" i="8"/>
  <c r="L15" i="8"/>
  <c r="N15" i="8" s="1"/>
  <c r="M157" i="8"/>
  <c r="K64" i="8"/>
  <c r="L144" i="8"/>
  <c r="L145" i="8" s="1"/>
  <c r="N89" i="8"/>
  <c r="AH89" i="8" s="1"/>
  <c r="AI89" i="8" s="1"/>
  <c r="N61" i="8"/>
  <c r="AH61" i="8" s="1"/>
  <c r="AI61" i="8" s="1"/>
  <c r="AH140" i="8"/>
  <c r="AI140" i="8" s="1"/>
  <c r="K36" i="8"/>
  <c r="K37" i="8" s="1"/>
  <c r="M100" i="8"/>
  <c r="R100" i="8" s="1"/>
  <c r="AF26" i="8"/>
  <c r="Z24" i="8"/>
  <c r="R110" i="8"/>
  <c r="K126" i="8"/>
  <c r="M124" i="8"/>
  <c r="R124" i="8" s="1"/>
  <c r="M61" i="8"/>
  <c r="T61" i="8" s="1"/>
  <c r="M93" i="8"/>
  <c r="Z93" i="8" s="1"/>
  <c r="AH153" i="8"/>
  <c r="AI153" i="8" s="1"/>
  <c r="M135" i="8"/>
  <c r="Z135" i="8" s="1"/>
  <c r="M77" i="8"/>
  <c r="Z77" i="8" s="1"/>
  <c r="AH104" i="8"/>
  <c r="AI104" i="8" s="1"/>
  <c r="AH135" i="8"/>
  <c r="AI135" i="8" s="1"/>
  <c r="AH63" i="8"/>
  <c r="AI63" i="8" s="1"/>
  <c r="M96" i="8"/>
  <c r="R96" i="8" s="1"/>
  <c r="M41" i="8"/>
  <c r="Z41" i="8" s="1"/>
  <c r="L60" i="8"/>
  <c r="M79" i="8"/>
  <c r="R79" i="8" s="1"/>
  <c r="AH110" i="8"/>
  <c r="AI110" i="8" s="1"/>
  <c r="M52" i="8"/>
  <c r="T52" i="8" s="1"/>
  <c r="AB52" i="8" s="1"/>
  <c r="AB57" i="8" s="1"/>
  <c r="M122" i="8"/>
  <c r="Z122" i="8" s="1"/>
  <c r="Q126" i="8"/>
  <c r="M144" i="8"/>
  <c r="Z144" i="8" s="1"/>
  <c r="Z145" i="8" s="1"/>
  <c r="M164" i="8"/>
  <c r="R164" i="8" s="1"/>
  <c r="M158" i="8"/>
  <c r="T158" i="8" s="1"/>
  <c r="N40" i="8"/>
  <c r="AH40" i="8" s="1"/>
  <c r="M42" i="8"/>
  <c r="Z42" i="8" s="1"/>
  <c r="N80" i="8"/>
  <c r="AH80" i="8" s="1"/>
  <c r="AI80" i="8" s="1"/>
  <c r="Q141" i="8"/>
  <c r="AH24" i="8"/>
  <c r="AI24" i="8" s="1"/>
  <c r="M70" i="8"/>
  <c r="R70" i="8" s="1"/>
  <c r="M73" i="8"/>
  <c r="Z73" i="8" s="1"/>
  <c r="N77" i="8"/>
  <c r="AH77" i="8" s="1"/>
  <c r="M134" i="8"/>
  <c r="R134" i="8" s="1"/>
  <c r="T25" i="8"/>
  <c r="AE25" i="8" s="1"/>
  <c r="M78" i="8"/>
  <c r="Z78" i="8" s="1"/>
  <c r="N79" i="8"/>
  <c r="AH79" i="8" s="1"/>
  <c r="AI79" i="8" s="1"/>
  <c r="Q136" i="8"/>
  <c r="AH131" i="8"/>
  <c r="AI131" i="8" s="1"/>
  <c r="AH152" i="8"/>
  <c r="AI152" i="8" s="1"/>
  <c r="AH123" i="8"/>
  <c r="AI123" i="8" s="1"/>
  <c r="AH71" i="8"/>
  <c r="AI71" i="8" s="1"/>
  <c r="AH48" i="8"/>
  <c r="AI48" i="8" s="1"/>
  <c r="M116" i="8"/>
  <c r="Z116" i="8" s="1"/>
  <c r="M12" i="8"/>
  <c r="R12" i="8" s="1"/>
  <c r="M32" i="8"/>
  <c r="M33" i="8" s="1"/>
  <c r="M40" i="8"/>
  <c r="U45" i="8" s="1"/>
  <c r="AH124" i="8"/>
  <c r="AI124" i="8" s="1"/>
  <c r="M152" i="8"/>
  <c r="T152" i="8" s="1"/>
  <c r="M151" i="8"/>
  <c r="T151" i="8" s="1"/>
  <c r="M80" i="8"/>
  <c r="T80" i="8" s="1"/>
  <c r="M89" i="8"/>
  <c r="T89" i="8" s="1"/>
  <c r="M36" i="8"/>
  <c r="R36" i="8" s="1"/>
  <c r="AH47" i="8"/>
  <c r="AI47" i="8" s="1"/>
  <c r="Q37" i="8"/>
  <c r="N69" i="8"/>
  <c r="AH69" i="8" s="1"/>
  <c r="AI69" i="8" s="1"/>
  <c r="M69" i="8"/>
  <c r="R69" i="8" s="1"/>
  <c r="K26" i="8"/>
  <c r="L84" i="8"/>
  <c r="M84" i="8" s="1"/>
  <c r="L130" i="8"/>
  <c r="K136" i="8"/>
  <c r="W3" i="8"/>
  <c r="R25" i="8"/>
  <c r="AC25" i="8" s="1"/>
  <c r="M53" i="8"/>
  <c r="R53" i="8" s="1"/>
  <c r="AC53" i="8" s="1"/>
  <c r="M82" i="8"/>
  <c r="R82" i="8" s="1"/>
  <c r="AH82" i="8"/>
  <c r="AI82" i="8" s="1"/>
  <c r="M98" i="8"/>
  <c r="M99" i="8"/>
  <c r="R99" i="8" s="1"/>
  <c r="AH99" i="8"/>
  <c r="AI99" i="8" s="1"/>
  <c r="L20" i="8"/>
  <c r="M20" i="8" s="1"/>
  <c r="AH45" i="8"/>
  <c r="AI45" i="8" s="1"/>
  <c r="K33" i="8"/>
  <c r="L32" i="8"/>
  <c r="L33" i="8" s="1"/>
  <c r="AH44" i="8"/>
  <c r="AI44" i="8" s="1"/>
  <c r="M54" i="8"/>
  <c r="R54" i="8" s="1"/>
  <c r="AC54" i="8" s="1"/>
  <c r="M95" i="8"/>
  <c r="R95" i="8" s="1"/>
  <c r="AH95" i="8"/>
  <c r="AI95" i="8" s="1"/>
  <c r="N62" i="8"/>
  <c r="AH62" i="8" s="1"/>
  <c r="AI62" i="8" s="1"/>
  <c r="M62" i="8"/>
  <c r="Q85" i="8"/>
  <c r="Q26" i="8"/>
  <c r="Z25" i="8"/>
  <c r="Q57" i="8"/>
  <c r="N91" i="8"/>
  <c r="AH91" i="8" s="1"/>
  <c r="AI91" i="8" s="1"/>
  <c r="M91" i="8"/>
  <c r="R42" i="8"/>
  <c r="N42" i="8" s="1"/>
  <c r="Q49" i="8"/>
  <c r="N60" i="8"/>
  <c r="M60" i="8"/>
  <c r="R60" i="8" s="1"/>
  <c r="N88" i="8"/>
  <c r="M88" i="8"/>
  <c r="R88" i="8" s="1"/>
  <c r="AH132" i="8"/>
  <c r="AI132" i="8" s="1"/>
  <c r="M132" i="8"/>
  <c r="L12" i="8"/>
  <c r="AH25" i="8"/>
  <c r="AI25" i="8" s="1"/>
  <c r="L52" i="8"/>
  <c r="L57" i="8" s="1"/>
  <c r="K57" i="8"/>
  <c r="N13" i="8"/>
  <c r="AH13" i="8" s="1"/>
  <c r="AI13" i="8" s="1"/>
  <c r="N32" i="8"/>
  <c r="N12" i="8"/>
  <c r="M13" i="8"/>
  <c r="Q33" i="8"/>
  <c r="L40" i="8"/>
  <c r="K49" i="8"/>
  <c r="R103" i="8"/>
  <c r="Z103" i="8"/>
  <c r="D118" i="8"/>
  <c r="K114" i="8"/>
  <c r="N148" i="8"/>
  <c r="L153" i="8"/>
  <c r="M153" i="8" s="1"/>
  <c r="K154" i="8"/>
  <c r="AH53" i="8"/>
  <c r="AI53" i="8" s="1"/>
  <c r="M56" i="8"/>
  <c r="R56" i="8" s="1"/>
  <c r="AC56" i="8" s="1"/>
  <c r="K85" i="8"/>
  <c r="L80" i="8"/>
  <c r="M90" i="8"/>
  <c r="L88" i="8"/>
  <c r="Q145" i="8"/>
  <c r="N52" i="8"/>
  <c r="L67" i="8"/>
  <c r="L74" i="8" s="1"/>
  <c r="K74" i="8"/>
  <c r="N67" i="8"/>
  <c r="D111" i="8"/>
  <c r="K97" i="8"/>
  <c r="L97" i="8" s="1"/>
  <c r="M159" i="8"/>
  <c r="N159" i="8"/>
  <c r="AH159" i="8" s="1"/>
  <c r="AI159" i="8" s="1"/>
  <c r="AH56" i="8"/>
  <c r="AI56" i="8" s="1"/>
  <c r="M71" i="8"/>
  <c r="AH93" i="8"/>
  <c r="AI93" i="8" s="1"/>
  <c r="M94" i="8"/>
  <c r="AH94" i="8"/>
  <c r="AI94" i="8" s="1"/>
  <c r="L101" i="8"/>
  <c r="R104" i="8"/>
  <c r="Z104" i="8"/>
  <c r="M163" i="8"/>
  <c r="N68" i="8"/>
  <c r="AH68" i="8" s="1"/>
  <c r="AI68" i="8" s="1"/>
  <c r="M68" i="8"/>
  <c r="R68" i="8" s="1"/>
  <c r="M115" i="8"/>
  <c r="R115" i="8" s="1"/>
  <c r="N115" i="8" s="1"/>
  <c r="AH115" i="8" s="1"/>
  <c r="AI115" i="8" s="1"/>
  <c r="AH46" i="8"/>
  <c r="AI46" i="8" s="1"/>
  <c r="AH54" i="8"/>
  <c r="AI54" i="8" s="1"/>
  <c r="Q64" i="8"/>
  <c r="N70" i="8"/>
  <c r="AH70" i="8" s="1"/>
  <c r="AI70" i="8" s="1"/>
  <c r="M81" i="8"/>
  <c r="N139" i="8"/>
  <c r="M139" i="8"/>
  <c r="L160" i="8"/>
  <c r="M165" i="8"/>
  <c r="Q118" i="8"/>
  <c r="M131" i="8"/>
  <c r="AH133" i="8"/>
  <c r="AI133" i="8" s="1"/>
  <c r="M133" i="8"/>
  <c r="N78" i="8"/>
  <c r="AH78" i="8" s="1"/>
  <c r="AI78" i="8" s="1"/>
  <c r="L83" i="8"/>
  <c r="N90" i="8"/>
  <c r="AH90" i="8" s="1"/>
  <c r="AI90" i="8" s="1"/>
  <c r="AH96" i="8"/>
  <c r="AI96" i="8" s="1"/>
  <c r="L105" i="8"/>
  <c r="M105" i="8" s="1"/>
  <c r="M123" i="8"/>
  <c r="R123" i="8" s="1"/>
  <c r="Q154" i="8"/>
  <c r="AH73" i="8"/>
  <c r="AI73" i="8" s="1"/>
  <c r="Q111" i="8"/>
  <c r="N150" i="8"/>
  <c r="AH150" i="8" s="1"/>
  <c r="AI150" i="8" s="1"/>
  <c r="M150" i="8"/>
  <c r="AH134" i="8"/>
  <c r="AI134" i="8" s="1"/>
  <c r="M148" i="8"/>
  <c r="R148" i="8" s="1"/>
  <c r="AH163" i="8"/>
  <c r="AI163" i="8" s="1"/>
  <c r="Q74" i="8"/>
  <c r="M67" i="8"/>
  <c r="AH98" i="8"/>
  <c r="AI98" i="8" s="1"/>
  <c r="AH164" i="8"/>
  <c r="AI164" i="8" s="1"/>
  <c r="T110" i="8"/>
  <c r="M140" i="8"/>
  <c r="N149" i="8"/>
  <c r="AH149" i="8" s="1"/>
  <c r="AI149" i="8" s="1"/>
  <c r="M149" i="8"/>
  <c r="M160" i="8"/>
  <c r="K141" i="8"/>
  <c r="L139" i="8"/>
  <c r="L141" i="8" s="1"/>
  <c r="AH151" i="8"/>
  <c r="AI151" i="8" s="1"/>
  <c r="AH100" i="8"/>
  <c r="AI100" i="8" s="1"/>
  <c r="L109" i="8"/>
  <c r="M109" i="8" s="1"/>
  <c r="M114" i="8"/>
  <c r="M161" i="8"/>
  <c r="R161" i="8" s="1"/>
  <c r="D136" i="8"/>
  <c r="N157" i="8"/>
  <c r="N158" i="8"/>
  <c r="AH158" i="8" s="1"/>
  <c r="AI158" i="8" s="1"/>
  <c r="AH165" i="8"/>
  <c r="AI165" i="8" s="1"/>
  <c r="N144" i="8"/>
  <c r="T103" i="8"/>
  <c r="AH103" i="8"/>
  <c r="AI103" i="8" s="1"/>
  <c r="T104" i="8"/>
  <c r="R92" i="8" l="1"/>
  <c r="AH92" i="8" s="1"/>
  <c r="AI92" i="8" s="1"/>
  <c r="L166" i="8"/>
  <c r="V122" i="8"/>
  <c r="T24" i="8"/>
  <c r="M117" i="8"/>
  <c r="R117" i="8" s="1"/>
  <c r="R102" i="8"/>
  <c r="Z151" i="8"/>
  <c r="O151" i="8" s="1"/>
  <c r="P151" i="8" s="1"/>
  <c r="Z102" i="8"/>
  <c r="O102" i="8" s="1"/>
  <c r="P102" i="8" s="1"/>
  <c r="M19" i="8"/>
  <c r="Z19" i="8" s="1"/>
  <c r="O19" i="8" s="1"/>
  <c r="P19" i="8" s="1"/>
  <c r="L64" i="8"/>
  <c r="M63" i="8"/>
  <c r="Z63" i="8" s="1"/>
  <c r="O63" i="8" s="1"/>
  <c r="P63" i="8" s="1"/>
  <c r="M16" i="8"/>
  <c r="Z16" i="8" s="1"/>
  <c r="O16" i="8" s="1"/>
  <c r="P16" i="8" s="1"/>
  <c r="Y61" i="8"/>
  <c r="T96" i="8"/>
  <c r="Z125" i="8"/>
  <c r="O125" i="8" s="1"/>
  <c r="R144" i="8"/>
  <c r="R145" i="8" s="1"/>
  <c r="D169" i="8"/>
  <c r="D171" i="8" s="1"/>
  <c r="R125" i="8"/>
  <c r="Q169" i="8"/>
  <c r="T135" i="8"/>
  <c r="L49" i="8"/>
  <c r="M44" i="8"/>
  <c r="Z44" i="8" s="1"/>
  <c r="O44" i="8" s="1"/>
  <c r="P44" i="8" s="1"/>
  <c r="M83" i="8"/>
  <c r="R83" i="8" s="1"/>
  <c r="N83" i="8"/>
  <c r="AH83" i="8" s="1"/>
  <c r="AI83" i="8" s="1"/>
  <c r="M15" i="8"/>
  <c r="Z15" i="8" s="1"/>
  <c r="AH15" i="8"/>
  <c r="AI15" i="8" s="1"/>
  <c r="M101" i="8"/>
  <c r="R101" i="8" s="1"/>
  <c r="N101" i="8"/>
  <c r="AH101" i="8" s="1"/>
  <c r="AI101" i="8" s="1"/>
  <c r="O110" i="8"/>
  <c r="M14" i="8"/>
  <c r="T14" i="8" s="1"/>
  <c r="N14" i="8"/>
  <c r="L136" i="8"/>
  <c r="N130" i="8"/>
  <c r="R93" i="8"/>
  <c r="Z96" i="8"/>
  <c r="O96" i="8" s="1"/>
  <c r="P96" i="8" s="1"/>
  <c r="L126" i="8"/>
  <c r="N122" i="8"/>
  <c r="AH122" i="8" s="1"/>
  <c r="AI122" i="8" s="1"/>
  <c r="O122" i="8" s="1"/>
  <c r="M97" i="8"/>
  <c r="R97" i="8" s="1"/>
  <c r="N97" i="8"/>
  <c r="AH97" i="8" s="1"/>
  <c r="AI97" i="8" s="1"/>
  <c r="O24" i="8"/>
  <c r="Z157" i="8"/>
  <c r="M166" i="8"/>
  <c r="N18" i="8"/>
  <c r="AH18" i="8" s="1"/>
  <c r="AI18" i="8" s="1"/>
  <c r="M17" i="8"/>
  <c r="O104" i="8"/>
  <c r="P104" i="8" s="1"/>
  <c r="R61" i="8"/>
  <c r="R157" i="8"/>
  <c r="V61" i="8"/>
  <c r="T157" i="8"/>
  <c r="W61" i="8"/>
  <c r="U61" i="8"/>
  <c r="Z61" i="8"/>
  <c r="O61" i="8" s="1"/>
  <c r="P61" i="8" s="1"/>
  <c r="AD61" i="8" s="1"/>
  <c r="X61" i="8"/>
  <c r="T100" i="8"/>
  <c r="AB25" i="8"/>
  <c r="O135" i="8"/>
  <c r="P135" i="8" s="1"/>
  <c r="T144" i="8"/>
  <c r="T145" i="8" s="1"/>
  <c r="T164" i="8"/>
  <c r="T134" i="8"/>
  <c r="Z164" i="8"/>
  <c r="O164" i="8" s="1"/>
  <c r="P164" i="8" s="1"/>
  <c r="AI126" i="8"/>
  <c r="T79" i="8"/>
  <c r="R135" i="8"/>
  <c r="V124" i="8"/>
  <c r="R77" i="8"/>
  <c r="Z79" i="8"/>
  <c r="O79" i="8" s="1"/>
  <c r="P79" i="8" s="1"/>
  <c r="AA79" i="8" s="1"/>
  <c r="T77" i="8"/>
  <c r="L36" i="8"/>
  <c r="L37" i="8" s="1"/>
  <c r="R122" i="8"/>
  <c r="M145" i="8"/>
  <c r="L26" i="8"/>
  <c r="Z124" i="8"/>
  <c r="O124" i="8" s="1"/>
  <c r="P124" i="8" s="1"/>
  <c r="R151" i="8"/>
  <c r="T93" i="8"/>
  <c r="Z52" i="8"/>
  <c r="Z57" i="8" s="1"/>
  <c r="R52" i="8"/>
  <c r="R57" i="8" s="1"/>
  <c r="AH105" i="8"/>
  <c r="AI105" i="8" s="1"/>
  <c r="Z117" i="8"/>
  <c r="O117" i="8" s="1"/>
  <c r="P117" i="8" s="1"/>
  <c r="Z100" i="8"/>
  <c r="O100" i="8" s="1"/>
  <c r="P100" i="8" s="1"/>
  <c r="Z70" i="8"/>
  <c r="O70" i="8" s="1"/>
  <c r="P70" i="8" s="1"/>
  <c r="AH84" i="8"/>
  <c r="AI84" i="8" s="1"/>
  <c r="R46" i="8"/>
  <c r="Z134" i="8"/>
  <c r="O134" i="8" s="1"/>
  <c r="P134" i="8" s="1"/>
  <c r="O93" i="8"/>
  <c r="P93" i="8" s="1"/>
  <c r="R116" i="8"/>
  <c r="N116" i="8" s="1"/>
  <c r="AH116" i="8" s="1"/>
  <c r="AI116" i="8" s="1"/>
  <c r="O116" i="8" s="1"/>
  <c r="P116" i="8" s="1"/>
  <c r="AF116" i="8" s="1"/>
  <c r="N36" i="8"/>
  <c r="AH36" i="8" s="1"/>
  <c r="R41" i="8"/>
  <c r="N41" i="8" s="1"/>
  <c r="AH41" i="8" s="1"/>
  <c r="AI41" i="8" s="1"/>
  <c r="O41" i="8" s="1"/>
  <c r="P41" i="8" s="1"/>
  <c r="AH109" i="8"/>
  <c r="AI109" i="8" s="1"/>
  <c r="O46" i="8"/>
  <c r="P46" i="8" s="1"/>
  <c r="M126" i="8"/>
  <c r="Z89" i="8"/>
  <c r="O89" i="8" s="1"/>
  <c r="P89" i="8" s="1"/>
  <c r="AA89" i="8" s="1"/>
  <c r="AH20" i="8"/>
  <c r="AI20" i="8" s="1"/>
  <c r="Z12" i="8"/>
  <c r="T12" i="8"/>
  <c r="AE12" i="8" s="1"/>
  <c r="W44" i="8"/>
  <c r="R73" i="8"/>
  <c r="U41" i="8"/>
  <c r="O25" i="8"/>
  <c r="Y45" i="8"/>
  <c r="V70" i="8"/>
  <c r="Z158" i="8"/>
  <c r="O158" i="8" s="1"/>
  <c r="P158" i="8" s="1"/>
  <c r="AA158" i="8" s="1"/>
  <c r="Y41" i="8"/>
  <c r="W46" i="8"/>
  <c r="Y43" i="8"/>
  <c r="U70" i="8"/>
  <c r="X42" i="8"/>
  <c r="R158" i="8"/>
  <c r="Y48" i="8"/>
  <c r="V44" i="8"/>
  <c r="U46" i="8"/>
  <c r="V45" i="8"/>
  <c r="Y40" i="8"/>
  <c r="Y49" i="8" s="1"/>
  <c r="V41" i="8"/>
  <c r="Z32" i="8"/>
  <c r="Z33" i="8" s="1"/>
  <c r="R32" i="8"/>
  <c r="R33" i="8" s="1"/>
  <c r="R78" i="8"/>
  <c r="U42" i="8"/>
  <c r="W47" i="8"/>
  <c r="V40" i="8"/>
  <c r="V49" i="8" s="1"/>
  <c r="V43" i="8"/>
  <c r="X45" i="8"/>
  <c r="O73" i="8"/>
  <c r="P73" i="8" s="1"/>
  <c r="T78" i="8"/>
  <c r="Z40" i="8"/>
  <c r="Z49" i="8" s="1"/>
  <c r="W40" i="8"/>
  <c r="W49" i="8" s="1"/>
  <c r="W41" i="8"/>
  <c r="Y44" i="8"/>
  <c r="V47" i="8"/>
  <c r="O48" i="8"/>
  <c r="P48" i="8" s="1"/>
  <c r="X40" i="8"/>
  <c r="X49" i="8" s="1"/>
  <c r="X47" i="8"/>
  <c r="W43" i="8"/>
  <c r="U48" i="8"/>
  <c r="V42" i="8"/>
  <c r="X46" i="8"/>
  <c r="T32" i="8"/>
  <c r="AE32" i="8" s="1"/>
  <c r="AE33" i="8" s="1"/>
  <c r="R80" i="8"/>
  <c r="U43" i="8"/>
  <c r="T40" i="8"/>
  <c r="T49" i="8" s="1"/>
  <c r="U47" i="8"/>
  <c r="U40" i="8"/>
  <c r="U49" i="8" s="1"/>
  <c r="W42" i="8"/>
  <c r="R40" i="8"/>
  <c r="X43" i="8"/>
  <c r="X44" i="8"/>
  <c r="Y46" i="8"/>
  <c r="X48" i="8"/>
  <c r="V48" i="8"/>
  <c r="V46" i="8"/>
  <c r="Y47" i="8"/>
  <c r="T41" i="8"/>
  <c r="Z80" i="8"/>
  <c r="O80" i="8" s="1"/>
  <c r="P80" i="8" s="1"/>
  <c r="AA80" i="8" s="1"/>
  <c r="T70" i="8"/>
  <c r="O45" i="8"/>
  <c r="P45" i="8" s="1"/>
  <c r="W45" i="8"/>
  <c r="W48" i="8"/>
  <c r="X41" i="8"/>
  <c r="U44" i="8"/>
  <c r="R89" i="8"/>
  <c r="Y116" i="8"/>
  <c r="R152" i="8"/>
  <c r="Z152" i="8"/>
  <c r="O152" i="8" s="1"/>
  <c r="P152" i="8" s="1"/>
  <c r="R48" i="8"/>
  <c r="R45" i="8"/>
  <c r="N126" i="8"/>
  <c r="AH42" i="8"/>
  <c r="AI42" i="8" s="1"/>
  <c r="AH157" i="8"/>
  <c r="Z131" i="8"/>
  <c r="O131" i="8" s="1"/>
  <c r="P131" i="8" s="1"/>
  <c r="T131" i="8"/>
  <c r="R131" i="8"/>
  <c r="Z94" i="8"/>
  <c r="O94" i="8" s="1"/>
  <c r="P94" i="8" s="1"/>
  <c r="T94" i="8"/>
  <c r="T95" i="8"/>
  <c r="Z95" i="8"/>
  <c r="O95" i="8" s="1"/>
  <c r="P95" i="8" s="1"/>
  <c r="Z149" i="8"/>
  <c r="O149" i="8" s="1"/>
  <c r="P149" i="8" s="1"/>
  <c r="AA149" i="8" s="1"/>
  <c r="R149" i="8"/>
  <c r="T149" i="8"/>
  <c r="Z139" i="8"/>
  <c r="W139" i="8"/>
  <c r="M141" i="8"/>
  <c r="V139" i="8"/>
  <c r="Y139" i="8"/>
  <c r="T139" i="8"/>
  <c r="X139" i="8"/>
  <c r="U139" i="8"/>
  <c r="R139" i="8"/>
  <c r="R90" i="8"/>
  <c r="T90" i="8"/>
  <c r="Z90" i="8"/>
  <c r="O90" i="8" s="1"/>
  <c r="P90" i="8" s="1"/>
  <c r="AA90" i="8" s="1"/>
  <c r="R18" i="8"/>
  <c r="AC18" i="8" s="1"/>
  <c r="Z18" i="8"/>
  <c r="T18" i="8"/>
  <c r="Z115" i="8"/>
  <c r="O115" i="8" s="1"/>
  <c r="P115" i="8" s="1"/>
  <c r="AF115" i="8" s="1"/>
  <c r="Y115" i="8"/>
  <c r="N64" i="8"/>
  <c r="AH60" i="8"/>
  <c r="Z153" i="8"/>
  <c r="O153" i="8" s="1"/>
  <c r="T153" i="8"/>
  <c r="AI40" i="8"/>
  <c r="AH49" i="8"/>
  <c r="T53" i="8"/>
  <c r="Z53" i="8"/>
  <c r="O53" i="8" s="1"/>
  <c r="P53" i="8" s="1"/>
  <c r="Z84" i="8"/>
  <c r="T84" i="8"/>
  <c r="R84" i="8"/>
  <c r="T109" i="8"/>
  <c r="Z109" i="8"/>
  <c r="R109" i="8"/>
  <c r="V67" i="8"/>
  <c r="U67" i="8"/>
  <c r="M74" i="8"/>
  <c r="Z67" i="8"/>
  <c r="R67" i="8"/>
  <c r="T67" i="8"/>
  <c r="L154" i="8"/>
  <c r="Z105" i="8"/>
  <c r="R105" i="8"/>
  <c r="T105" i="8"/>
  <c r="Z132" i="8"/>
  <c r="O132" i="8" s="1"/>
  <c r="P132" i="8" s="1"/>
  <c r="T132" i="8"/>
  <c r="R132" i="8"/>
  <c r="R20" i="8"/>
  <c r="AC20" i="8" s="1"/>
  <c r="Z20" i="8"/>
  <c r="T20" i="8"/>
  <c r="V71" i="8"/>
  <c r="U73" i="8"/>
  <c r="T71" i="8"/>
  <c r="R71" i="8"/>
  <c r="V73" i="8"/>
  <c r="Z71" i="8"/>
  <c r="O71" i="8" s="1"/>
  <c r="P71" i="8" s="1"/>
  <c r="U71" i="8"/>
  <c r="T73" i="8"/>
  <c r="T159" i="8"/>
  <c r="R159" i="8"/>
  <c r="Z159" i="8"/>
  <c r="O159" i="8" s="1"/>
  <c r="P159" i="8" s="1"/>
  <c r="AA159" i="8" s="1"/>
  <c r="AI77" i="8"/>
  <c r="L111" i="8"/>
  <c r="M57" i="8"/>
  <c r="Z99" i="8"/>
  <c r="O99" i="8" s="1"/>
  <c r="P99" i="8" s="1"/>
  <c r="T99" i="8"/>
  <c r="Z161" i="8"/>
  <c r="O161" i="8" s="1"/>
  <c r="P161" i="8" s="1"/>
  <c r="AA161" i="8" s="1"/>
  <c r="T161" i="8"/>
  <c r="Z123" i="8"/>
  <c r="V123" i="8"/>
  <c r="R133" i="8"/>
  <c r="Z133" i="8"/>
  <c r="O133" i="8" s="1"/>
  <c r="P133" i="8" s="1"/>
  <c r="T133" i="8"/>
  <c r="N74" i="8"/>
  <c r="AH67" i="8"/>
  <c r="K111" i="8"/>
  <c r="L85" i="8"/>
  <c r="L114" i="8"/>
  <c r="L118" i="8" s="1"/>
  <c r="K118" i="8"/>
  <c r="N114" i="8"/>
  <c r="T88" i="8"/>
  <c r="Z88" i="8"/>
  <c r="Z98" i="8"/>
  <c r="O98" i="8" s="1"/>
  <c r="P98" i="8" s="1"/>
  <c r="T98" i="8"/>
  <c r="R98" i="8"/>
  <c r="Z47" i="8"/>
  <c r="O47" i="8" s="1"/>
  <c r="P47" i="8" s="1"/>
  <c r="R47" i="8"/>
  <c r="R160" i="8"/>
  <c r="N160" i="8" s="1"/>
  <c r="AH160" i="8" s="1"/>
  <c r="AI160" i="8" s="1"/>
  <c r="T160" i="8"/>
  <c r="Z160" i="8"/>
  <c r="AH12" i="8"/>
  <c r="W60" i="8"/>
  <c r="Y60" i="8"/>
  <c r="U60" i="8"/>
  <c r="T60" i="8"/>
  <c r="X60" i="8"/>
  <c r="Z60" i="8"/>
  <c r="V60" i="8"/>
  <c r="Z81" i="8"/>
  <c r="T81" i="8"/>
  <c r="AH32" i="8"/>
  <c r="N33" i="8"/>
  <c r="AE24" i="8"/>
  <c r="AB24" i="8"/>
  <c r="Y63" i="8"/>
  <c r="U63" i="8"/>
  <c r="X63" i="8"/>
  <c r="W62" i="8"/>
  <c r="W63" i="8"/>
  <c r="Z62" i="8"/>
  <c r="O62" i="8" s="1"/>
  <c r="P62" i="8" s="1"/>
  <c r="AD62" i="8" s="1"/>
  <c r="V63" i="8"/>
  <c r="Y62" i="8"/>
  <c r="V62" i="8"/>
  <c r="T62" i="8"/>
  <c r="T63" i="8"/>
  <c r="X62" i="8"/>
  <c r="U62" i="8"/>
  <c r="T82" i="8"/>
  <c r="Z82" i="8"/>
  <c r="O82" i="8" s="1"/>
  <c r="P82" i="8" s="1"/>
  <c r="Z114" i="8"/>
  <c r="M118" i="8"/>
  <c r="R114" i="8"/>
  <c r="Y114" i="8"/>
  <c r="Z150" i="8"/>
  <c r="O150" i="8" s="1"/>
  <c r="P150" i="8" s="1"/>
  <c r="AA150" i="8" s="1"/>
  <c r="R150" i="8"/>
  <c r="T150" i="8"/>
  <c r="T92" i="8"/>
  <c r="Z92" i="8"/>
  <c r="R62" i="8"/>
  <c r="Z69" i="8"/>
  <c r="O69" i="8" s="1"/>
  <c r="P69" i="8" s="1"/>
  <c r="T69" i="8"/>
  <c r="V69" i="8"/>
  <c r="U69" i="8"/>
  <c r="U140" i="8"/>
  <c r="Z140" i="8"/>
  <c r="O140" i="8" s="1"/>
  <c r="P140" i="8" s="1"/>
  <c r="W140" i="8"/>
  <c r="Y140" i="8"/>
  <c r="X140" i="8"/>
  <c r="R140" i="8"/>
  <c r="V140" i="8"/>
  <c r="T140" i="8"/>
  <c r="R153" i="8"/>
  <c r="N57" i="8"/>
  <c r="AH52" i="8"/>
  <c r="Z56" i="8"/>
  <c r="O56" i="8" s="1"/>
  <c r="P56" i="8" s="1"/>
  <c r="T56" i="8"/>
  <c r="R37" i="8"/>
  <c r="AC36" i="8"/>
  <c r="AC37" i="8" s="1"/>
  <c r="N141" i="8"/>
  <c r="AH139" i="8"/>
  <c r="T162" i="8"/>
  <c r="Z162" i="8"/>
  <c r="AH148" i="8"/>
  <c r="N154" i="8"/>
  <c r="T57" i="8"/>
  <c r="AE52" i="8"/>
  <c r="AE57" i="8" s="1"/>
  <c r="Z54" i="8"/>
  <c r="O54" i="8" s="1"/>
  <c r="P54" i="8" s="1"/>
  <c r="T54" i="8"/>
  <c r="AH144" i="8"/>
  <c r="N145" i="8"/>
  <c r="M130" i="8"/>
  <c r="O78" i="8"/>
  <c r="P78" i="8" s="1"/>
  <c r="AA78" i="8" s="1"/>
  <c r="Z68" i="8"/>
  <c r="O68" i="8" s="1"/>
  <c r="P68" i="8" s="1"/>
  <c r="V68" i="8"/>
  <c r="U68" i="8"/>
  <c r="T68" i="8"/>
  <c r="Z101" i="8"/>
  <c r="Z43" i="8"/>
  <c r="R43" i="8"/>
  <c r="AH43" i="8" s="1"/>
  <c r="AI43" i="8" s="1"/>
  <c r="O103" i="8"/>
  <c r="P103" i="8" s="1"/>
  <c r="R94" i="8"/>
  <c r="Z148" i="8"/>
  <c r="T148" i="8"/>
  <c r="M154" i="8"/>
  <c r="R81" i="8"/>
  <c r="N81" i="8" s="1"/>
  <c r="AH81" i="8" s="1"/>
  <c r="AI81" i="8" s="1"/>
  <c r="T165" i="8"/>
  <c r="R165" i="8"/>
  <c r="Z165" i="8"/>
  <c r="O165" i="8" s="1"/>
  <c r="P165" i="8" s="1"/>
  <c r="Z163" i="8"/>
  <c r="O163" i="8" s="1"/>
  <c r="P163" i="8" s="1"/>
  <c r="T163" i="8"/>
  <c r="R163" i="8"/>
  <c r="T13" i="8"/>
  <c r="R13" i="8"/>
  <c r="AC13" i="8" s="1"/>
  <c r="Z13" i="8"/>
  <c r="AH88" i="8"/>
  <c r="T91" i="8"/>
  <c r="Z91" i="8"/>
  <c r="O91" i="8" s="1"/>
  <c r="P91" i="8" s="1"/>
  <c r="AA91" i="8" s="1"/>
  <c r="R91" i="8"/>
  <c r="Y12" i="8"/>
  <c r="AC12" i="8"/>
  <c r="Z36" i="8"/>
  <c r="Z37" i="8" s="1"/>
  <c r="T36" i="8"/>
  <c r="M37" i="8"/>
  <c r="O92" i="8" l="1"/>
  <c r="T83" i="8"/>
  <c r="Z83" i="8"/>
  <c r="Y117" i="8"/>
  <c r="M85" i="8"/>
  <c r="K169" i="8"/>
  <c r="R19" i="8"/>
  <c r="AC19" i="8" s="1"/>
  <c r="M64" i="8"/>
  <c r="R16" i="8"/>
  <c r="AC16" i="8" s="1"/>
  <c r="T16" i="8"/>
  <c r="AE16" i="8" s="1"/>
  <c r="R63" i="8"/>
  <c r="R64" i="8" s="1"/>
  <c r="Z14" i="8"/>
  <c r="Z26" i="8" s="1"/>
  <c r="R14" i="8"/>
  <c r="AC14" i="8" s="1"/>
  <c r="AC26" i="8" s="1"/>
  <c r="Z97" i="8"/>
  <c r="O97" i="8" s="1"/>
  <c r="P97" i="8" s="1"/>
  <c r="T19" i="8"/>
  <c r="AE19" i="8" s="1"/>
  <c r="R44" i="8"/>
  <c r="R49" i="8" s="1"/>
  <c r="P25" i="8"/>
  <c r="AA25" i="8" s="1"/>
  <c r="P24" i="8"/>
  <c r="AA24" i="8" s="1"/>
  <c r="P125" i="8"/>
  <c r="AC125" i="8" s="1"/>
  <c r="P153" i="8"/>
  <c r="AA153" i="8" s="1"/>
  <c r="P110" i="8"/>
  <c r="AA110" i="8" s="1"/>
  <c r="R166" i="8"/>
  <c r="T15" i="8"/>
  <c r="AE15" i="8" s="1"/>
  <c r="M26" i="8"/>
  <c r="R118" i="8"/>
  <c r="R17" i="8"/>
  <c r="AC17" i="8" s="1"/>
  <c r="T17" i="8"/>
  <c r="AB17" i="8" s="1"/>
  <c r="P122" i="8"/>
  <c r="AC122" i="8" s="1"/>
  <c r="Z17" i="8"/>
  <c r="O17" i="8" s="1"/>
  <c r="P17" i="8" s="1"/>
  <c r="AA17" i="8" s="1"/>
  <c r="N37" i="8"/>
  <c r="AF61" i="8"/>
  <c r="M49" i="8"/>
  <c r="L169" i="8"/>
  <c r="R15" i="8"/>
  <c r="AC15" i="8" s="1"/>
  <c r="M111" i="8"/>
  <c r="AH126" i="8"/>
  <c r="AE61" i="8"/>
  <c r="R126" i="8"/>
  <c r="AF117" i="8"/>
  <c r="O15" i="8"/>
  <c r="T97" i="8"/>
  <c r="T101" i="8"/>
  <c r="P92" i="8"/>
  <c r="AA92" i="8" s="1"/>
  <c r="AA165" i="8"/>
  <c r="O18" i="8"/>
  <c r="P18" i="8" s="1"/>
  <c r="AA18" i="8" s="1"/>
  <c r="AC124" i="8"/>
  <c r="AA82" i="8"/>
  <c r="AA164" i="8"/>
  <c r="AA163" i="8"/>
  <c r="AH162" i="8"/>
  <c r="AI162" i="8" s="1"/>
  <c r="O162" i="8" s="1"/>
  <c r="P162" i="8" s="1"/>
  <c r="N166" i="8"/>
  <c r="AA152" i="8"/>
  <c r="AA151" i="8"/>
  <c r="AA135" i="8"/>
  <c r="AA134" i="8"/>
  <c r="AA133" i="8"/>
  <c r="AA132" i="8"/>
  <c r="AA131" i="8"/>
  <c r="AA104" i="8"/>
  <c r="AA103" i="8"/>
  <c r="AA102" i="8"/>
  <c r="AA100" i="8"/>
  <c r="AA99" i="8"/>
  <c r="AA98" i="8"/>
  <c r="AA96" i="8"/>
  <c r="AA95" i="8"/>
  <c r="AA94" i="8"/>
  <c r="AA93" i="8"/>
  <c r="AA56" i="8"/>
  <c r="AD63" i="8"/>
  <c r="AA54" i="8"/>
  <c r="AA53" i="8"/>
  <c r="AA16" i="8"/>
  <c r="V126" i="8"/>
  <c r="AC52" i="8"/>
  <c r="AC57" i="8" s="1"/>
  <c r="N111" i="8"/>
  <c r="O101" i="8"/>
  <c r="P101" i="8" s="1"/>
  <c r="AA19" i="8"/>
  <c r="O83" i="8"/>
  <c r="O109" i="8"/>
  <c r="P109" i="8" s="1"/>
  <c r="AE62" i="8"/>
  <c r="AC32" i="8"/>
  <c r="AC33" i="8" s="1"/>
  <c r="T33" i="8"/>
  <c r="T42" i="8"/>
  <c r="Z154" i="8"/>
  <c r="AB12" i="8"/>
  <c r="O20" i="8"/>
  <c r="O105" i="8"/>
  <c r="P105" i="8" s="1"/>
  <c r="O84" i="8"/>
  <c r="AB32" i="8"/>
  <c r="AB33" i="8" s="1"/>
  <c r="AF63" i="8"/>
  <c r="Y64" i="8"/>
  <c r="Z85" i="8"/>
  <c r="AH85" i="8"/>
  <c r="T85" i="8"/>
  <c r="R154" i="8"/>
  <c r="O43" i="8"/>
  <c r="P43" i="8" s="1"/>
  <c r="AF62" i="8"/>
  <c r="N49" i="8"/>
  <c r="T154" i="8"/>
  <c r="R111" i="8"/>
  <c r="W64" i="8"/>
  <c r="X141" i="8"/>
  <c r="V74" i="8"/>
  <c r="Z166" i="8"/>
  <c r="Z118" i="8"/>
  <c r="T166" i="8"/>
  <c r="R85" i="8"/>
  <c r="N85" i="8"/>
  <c r="Y141" i="8"/>
  <c r="AI60" i="8"/>
  <c r="AH64" i="8"/>
  <c r="O123" i="8"/>
  <c r="P123" i="8" s="1"/>
  <c r="Z126" i="8"/>
  <c r="AE13" i="8"/>
  <c r="AB13" i="8"/>
  <c r="T43" i="8"/>
  <c r="AE14" i="8"/>
  <c r="AB14" i="8"/>
  <c r="T44" i="8"/>
  <c r="Z130" i="8"/>
  <c r="Z136" i="8" s="1"/>
  <c r="R130" i="8"/>
  <c r="R136" i="8" s="1"/>
  <c r="T130" i="8"/>
  <c r="T136" i="8" s="1"/>
  <c r="M136" i="8"/>
  <c r="AA68" i="8"/>
  <c r="AB68" i="8"/>
  <c r="AC68" i="8"/>
  <c r="T26" i="8"/>
  <c r="AH37" i="8"/>
  <c r="AI36" i="8"/>
  <c r="AE53" i="8"/>
  <c r="AB53" i="8"/>
  <c r="O81" i="8"/>
  <c r="P81" i="8" s="1"/>
  <c r="AA81" i="8" s="1"/>
  <c r="T141" i="8"/>
  <c r="AH145" i="8"/>
  <c r="AI144" i="8"/>
  <c r="T74" i="8"/>
  <c r="V64" i="8"/>
  <c r="AH114" i="8"/>
  <c r="N118" i="8"/>
  <c r="AH74" i="8"/>
  <c r="AI67" i="8"/>
  <c r="R74" i="8"/>
  <c r="AI49" i="8"/>
  <c r="O40" i="8"/>
  <c r="AH57" i="8"/>
  <c r="AI52" i="8"/>
  <c r="Z64" i="8"/>
  <c r="AI12" i="8"/>
  <c r="Z74" i="8"/>
  <c r="AI88" i="8"/>
  <c r="AH111" i="8"/>
  <c r="O13" i="8"/>
  <c r="P13" i="8" s="1"/>
  <c r="AA13" i="8" s="1"/>
  <c r="AE54" i="8"/>
  <c r="AB54" i="8"/>
  <c r="AI148" i="8"/>
  <c r="AH154" i="8"/>
  <c r="X64" i="8"/>
  <c r="O160" i="8"/>
  <c r="P160" i="8" s="1"/>
  <c r="AA160" i="8" s="1"/>
  <c r="Z111" i="8"/>
  <c r="AC71" i="8"/>
  <c r="AC73" i="8"/>
  <c r="AB71" i="8"/>
  <c r="AA71" i="8"/>
  <c r="AA73" i="8"/>
  <c r="AB73" i="8"/>
  <c r="AE20" i="8"/>
  <c r="AB20" i="8"/>
  <c r="W141" i="8"/>
  <c r="O42" i="8"/>
  <c r="P42" i="8" s="1"/>
  <c r="U64" i="8"/>
  <c r="AF60" i="8"/>
  <c r="O77" i="8"/>
  <c r="AI85" i="8"/>
  <c r="T46" i="8"/>
  <c r="U141" i="8"/>
  <c r="Y26" i="8"/>
  <c r="Y42" i="8"/>
  <c r="AH130" i="8"/>
  <c r="N136" i="8"/>
  <c r="AI139" i="8"/>
  <c r="AH141" i="8"/>
  <c r="AE56" i="8"/>
  <c r="AB56" i="8"/>
  <c r="AH166" i="8"/>
  <c r="AI157" i="8"/>
  <c r="AA69" i="8"/>
  <c r="AB69" i="8"/>
  <c r="AC69" i="8"/>
  <c r="V141" i="8"/>
  <c r="T37" i="8"/>
  <c r="AE36" i="8"/>
  <c r="AE37" i="8" s="1"/>
  <c r="AB36" i="8"/>
  <c r="AB37" i="8" s="1"/>
  <c r="AI32" i="8"/>
  <c r="AH33" i="8"/>
  <c r="AC140" i="8"/>
  <c r="AB140" i="8"/>
  <c r="AA140" i="8"/>
  <c r="AF140" i="8"/>
  <c r="AE140" i="8"/>
  <c r="AD140" i="8"/>
  <c r="Y118" i="8"/>
  <c r="AE63" i="8"/>
  <c r="T64" i="8"/>
  <c r="AE60" i="8"/>
  <c r="AB70" i="8"/>
  <c r="AA70" i="8"/>
  <c r="AC70" i="8"/>
  <c r="U74" i="8"/>
  <c r="AE18" i="8"/>
  <c r="AB18" i="8"/>
  <c r="T48" i="8"/>
  <c r="R141" i="8"/>
  <c r="Z141" i="8"/>
  <c r="AB16" i="8" l="1"/>
  <c r="T111" i="8"/>
  <c r="T169" i="8" s="1"/>
  <c r="AB19" i="8"/>
  <c r="T45" i="8"/>
  <c r="AB15" i="8"/>
  <c r="T47" i="8"/>
  <c r="P83" i="8"/>
  <c r="AA83" i="8" s="1"/>
  <c r="P84" i="8"/>
  <c r="AA84" i="8" s="1"/>
  <c r="P20" i="8"/>
  <c r="AA20" i="8" s="1"/>
  <c r="M169" i="8"/>
  <c r="AE17" i="8"/>
  <c r="V169" i="8"/>
  <c r="X169" i="8"/>
  <c r="W169" i="8"/>
  <c r="U169" i="8"/>
  <c r="P15" i="8"/>
  <c r="AA15" i="8" s="1"/>
  <c r="Z169" i="8"/>
  <c r="R26" i="8"/>
  <c r="R169" i="8" s="1"/>
  <c r="Y169" i="8"/>
  <c r="AA109" i="8"/>
  <c r="AA105" i="8"/>
  <c r="AA101" i="8"/>
  <c r="AA97" i="8"/>
  <c r="AE64" i="8"/>
  <c r="AE26" i="8"/>
  <c r="O85" i="8"/>
  <c r="O49" i="8"/>
  <c r="AF64" i="8"/>
  <c r="P77" i="8"/>
  <c r="AB26" i="8"/>
  <c r="P40" i="8"/>
  <c r="AE42" i="8" s="1"/>
  <c r="AI57" i="8"/>
  <c r="O52" i="8"/>
  <c r="O57" i="8" s="1"/>
  <c r="AI74" i="8"/>
  <c r="O67" i="8"/>
  <c r="O74" i="8" s="1"/>
  <c r="AI33" i="8"/>
  <c r="O32" i="8"/>
  <c r="O33" i="8" s="1"/>
  <c r="O12" i="8"/>
  <c r="AH14" i="8"/>
  <c r="N26" i="8"/>
  <c r="N169" i="8" s="1"/>
  <c r="O144" i="8"/>
  <c r="O145" i="8" s="1"/>
  <c r="AI145" i="8"/>
  <c r="AI64" i="8"/>
  <c r="O60" i="8"/>
  <c r="O64" i="8" s="1"/>
  <c r="O139" i="8"/>
  <c r="O141" i="8" s="1"/>
  <c r="AI141" i="8"/>
  <c r="O157" i="8"/>
  <c r="O166" i="8" s="1"/>
  <c r="AI166" i="8"/>
  <c r="AI154" i="8"/>
  <c r="O148" i="8"/>
  <c r="O154" i="8" s="1"/>
  <c r="O126" i="8"/>
  <c r="AI130" i="8"/>
  <c r="AH136" i="8"/>
  <c r="AI111" i="8"/>
  <c r="O88" i="8"/>
  <c r="O111" i="8" s="1"/>
  <c r="AH118" i="8"/>
  <c r="AI114" i="8"/>
  <c r="AI37" i="8"/>
  <c r="O36" i="8"/>
  <c r="O37" i="8" s="1"/>
  <c r="AA40" i="8" l="1"/>
  <c r="AA49" i="8" s="1"/>
  <c r="AB45" i="8"/>
  <c r="AB42" i="8"/>
  <c r="AD43" i="8"/>
  <c r="AF45" i="8"/>
  <c r="P85" i="8"/>
  <c r="AA41" i="8"/>
  <c r="P52" i="8"/>
  <c r="AA52" i="8" s="1"/>
  <c r="AA57" i="8" s="1"/>
  <c r="AB47" i="8"/>
  <c r="AE44" i="8"/>
  <c r="P32" i="8"/>
  <c r="AE40" i="8"/>
  <c r="AE49" i="8" s="1"/>
  <c r="AE46" i="8"/>
  <c r="AE45" i="8"/>
  <c r="AC48" i="8"/>
  <c r="AB43" i="8"/>
  <c r="AE41" i="8"/>
  <c r="AA47" i="8"/>
  <c r="AD44" i="8"/>
  <c r="AA162" i="8"/>
  <c r="AC47" i="8"/>
  <c r="AF48" i="8"/>
  <c r="AC46" i="8"/>
  <c r="AD42" i="8"/>
  <c r="AA45" i="8"/>
  <c r="AC45" i="8"/>
  <c r="AC43" i="8"/>
  <c r="AC44" i="8"/>
  <c r="AD40" i="8"/>
  <c r="AD49" i="8" s="1"/>
  <c r="AB44" i="8"/>
  <c r="AF40" i="8"/>
  <c r="AF49" i="8" s="1"/>
  <c r="AD45" i="8"/>
  <c r="AD46" i="8"/>
  <c r="AA48" i="8"/>
  <c r="AE43" i="8"/>
  <c r="AB48" i="8"/>
  <c r="AE48" i="8"/>
  <c r="AF47" i="8"/>
  <c r="AB41" i="8"/>
  <c r="AF42" i="8"/>
  <c r="AD48" i="8"/>
  <c r="AC42" i="8"/>
  <c r="AF46" i="8"/>
  <c r="AC40" i="8"/>
  <c r="AC49" i="8" s="1"/>
  <c r="AD47" i="8"/>
  <c r="AE47" i="8"/>
  <c r="AC41" i="8"/>
  <c r="AD41" i="8"/>
  <c r="AF41" i="8"/>
  <c r="AA46" i="8"/>
  <c r="AA77" i="8"/>
  <c r="AA85" i="8" s="1"/>
  <c r="AF44" i="8"/>
  <c r="AB46" i="8"/>
  <c r="AA43" i="8"/>
  <c r="AF43" i="8"/>
  <c r="AB40" i="8"/>
  <c r="AB49" i="8" s="1"/>
  <c r="P49" i="8"/>
  <c r="P144" i="8"/>
  <c r="P145" i="8" s="1"/>
  <c r="P139" i="8"/>
  <c r="P141" i="8" s="1"/>
  <c r="P88" i="8"/>
  <c r="P111" i="8" s="1"/>
  <c r="P148" i="8"/>
  <c r="P154" i="8" s="1"/>
  <c r="P60" i="8"/>
  <c r="P64" i="8" s="1"/>
  <c r="P33" i="8"/>
  <c r="AA32" i="8"/>
  <c r="AA33" i="8" s="1"/>
  <c r="P36" i="8"/>
  <c r="AI14" i="8"/>
  <c r="AH26" i="8"/>
  <c r="AH169" i="8" s="1"/>
  <c r="AC123" i="8"/>
  <c r="AC126" i="8" s="1"/>
  <c r="P126" i="8"/>
  <c r="AI118" i="8"/>
  <c r="O114" i="8"/>
  <c r="O118" i="8" s="1"/>
  <c r="AI136" i="8"/>
  <c r="O130" i="8"/>
  <c r="P130" i="8" s="1"/>
  <c r="P157" i="8"/>
  <c r="P166" i="8" s="1"/>
  <c r="P12" i="8"/>
  <c r="P67" i="8"/>
  <c r="P57" i="8" l="1"/>
  <c r="O136" i="8"/>
  <c r="AD60" i="8"/>
  <c r="AD64" i="8" s="1"/>
  <c r="AA144" i="8"/>
  <c r="AA145" i="8" s="1"/>
  <c r="AA88" i="8"/>
  <c r="AA111" i="8" s="1"/>
  <c r="AF139" i="8"/>
  <c r="AF141" i="8" s="1"/>
  <c r="AA148" i="8"/>
  <c r="AA154" i="8" s="1"/>
  <c r="AC139" i="8"/>
  <c r="AC141" i="8" s="1"/>
  <c r="AA139" i="8"/>
  <c r="AA141" i="8" s="1"/>
  <c r="AD139" i="8"/>
  <c r="AD141" i="8" s="1"/>
  <c r="AB139" i="8"/>
  <c r="AB141" i="8" s="1"/>
  <c r="AE139" i="8"/>
  <c r="AE141" i="8" s="1"/>
  <c r="AE169" i="8" s="1"/>
  <c r="AA157" i="8"/>
  <c r="AA166" i="8" s="1"/>
  <c r="AA36" i="8"/>
  <c r="AA37" i="8" s="1"/>
  <c r="P37" i="8"/>
  <c r="AC67" i="8"/>
  <c r="AC74" i="8" s="1"/>
  <c r="AC169" i="8" s="1"/>
  <c r="AB67" i="8"/>
  <c r="AB74" i="8" s="1"/>
  <c r="AA67" i="8"/>
  <c r="AA74" i="8" s="1"/>
  <c r="P74" i="8"/>
  <c r="O14" i="8"/>
  <c r="AI26" i="8"/>
  <c r="AI169" i="8" s="1"/>
  <c r="AA12" i="8"/>
  <c r="P114" i="8"/>
  <c r="AB169" i="8" l="1"/>
  <c r="AD169" i="8"/>
  <c r="O26" i="8"/>
  <c r="O169" i="8" s="1"/>
  <c r="P14" i="8"/>
  <c r="AF114" i="8"/>
  <c r="AF118" i="8" s="1"/>
  <c r="AF169" i="8" s="1"/>
  <c r="P118" i="8"/>
  <c r="AA42" i="8"/>
  <c r="P136" i="8"/>
  <c r="AA130" i="8"/>
  <c r="AA136" i="8" s="1"/>
  <c r="AA14" i="8" l="1"/>
  <c r="P26" i="8"/>
  <c r="P169" i="8" s="1"/>
  <c r="J28" i="28" s="1"/>
  <c r="AA44" i="8" l="1"/>
  <c r="AA26" i="8"/>
  <c r="AA169" i="8" s="1"/>
  <c r="C41" i="4" l="1"/>
  <c r="F41" i="4" s="1"/>
  <c r="B49" i="7" s="1"/>
  <c r="N49" i="7" s="1"/>
  <c r="C38" i="4"/>
  <c r="F38" i="4" s="1"/>
  <c r="B46" i="7" s="1"/>
  <c r="N46" i="7" s="1"/>
  <c r="S287" i="3" l="1"/>
  <c r="AA286" i="3"/>
  <c r="AA287" i="3" s="1"/>
  <c r="Y286" i="3"/>
  <c r="Y287" i="3" s="1"/>
  <c r="W286" i="3"/>
  <c r="W287" i="3" s="1"/>
  <c r="U286" i="3"/>
  <c r="U287" i="3" s="1"/>
  <c r="S286" i="3"/>
  <c r="Q286" i="3"/>
  <c r="Q287" i="3" s="1"/>
  <c r="O286" i="3"/>
  <c r="O287" i="3" s="1"/>
  <c r="M286" i="3"/>
  <c r="M287" i="3" s="1"/>
  <c r="K286" i="3"/>
  <c r="K287" i="3" s="1"/>
  <c r="I286" i="3"/>
  <c r="I287" i="3" s="1"/>
  <c r="G286" i="3"/>
  <c r="G287" i="3" s="1"/>
  <c r="E286" i="3"/>
  <c r="E287" i="3" s="1"/>
  <c r="AC285" i="3"/>
  <c r="C69" i="4" s="1"/>
  <c r="F69" i="4" s="1"/>
  <c r="AA281" i="3"/>
  <c r="AA282" i="3" s="1"/>
  <c r="Y281" i="3"/>
  <c r="Y282" i="3" s="1"/>
  <c r="W281" i="3"/>
  <c r="W282" i="3" s="1"/>
  <c r="U281" i="3"/>
  <c r="U282" i="3" s="1"/>
  <c r="S281" i="3"/>
  <c r="S282" i="3" s="1"/>
  <c r="Q281" i="3"/>
  <c r="Q282" i="3" s="1"/>
  <c r="Q288" i="3" s="1"/>
  <c r="O281" i="3"/>
  <c r="O282" i="3" s="1"/>
  <c r="M281" i="3"/>
  <c r="K281" i="3"/>
  <c r="K282" i="3" s="1"/>
  <c r="I281" i="3"/>
  <c r="I282" i="3" s="1"/>
  <c r="G281" i="3"/>
  <c r="G282" i="3" s="1"/>
  <c r="E281" i="3"/>
  <c r="E282" i="3" s="1"/>
  <c r="AC280" i="3"/>
  <c r="C68" i="4" s="1"/>
  <c r="F68" i="4" s="1"/>
  <c r="AC279" i="3"/>
  <c r="C67" i="4" s="1"/>
  <c r="F67" i="4" s="1"/>
  <c r="AC278" i="3"/>
  <c r="C66" i="4" s="1"/>
  <c r="F66" i="4" s="1"/>
  <c r="AC277" i="3"/>
  <c r="C65" i="4" s="1"/>
  <c r="AA271" i="3"/>
  <c r="Y271" i="3"/>
  <c r="W271" i="3"/>
  <c r="U271" i="3"/>
  <c r="S271" i="3"/>
  <c r="Q271" i="3"/>
  <c r="O271" i="3"/>
  <c r="M271" i="3"/>
  <c r="K271" i="3"/>
  <c r="I271" i="3"/>
  <c r="G271" i="3"/>
  <c r="E271" i="3"/>
  <c r="AC270" i="3"/>
  <c r="AC269" i="3"/>
  <c r="AC267" i="3"/>
  <c r="C57" i="4" s="1"/>
  <c r="F57" i="4" s="1"/>
  <c r="AA266" i="3"/>
  <c r="Y266" i="3"/>
  <c r="W266" i="3"/>
  <c r="U266" i="3"/>
  <c r="S266" i="3"/>
  <c r="Q266" i="3"/>
  <c r="O266" i="3"/>
  <c r="M266" i="3"/>
  <c r="K266" i="3"/>
  <c r="I266" i="3"/>
  <c r="G266" i="3"/>
  <c r="E266" i="3"/>
  <c r="AC265" i="3"/>
  <c r="AC264" i="3"/>
  <c r="AC263" i="3"/>
  <c r="AC262" i="3"/>
  <c r="AC261" i="3"/>
  <c r="AC260" i="3"/>
  <c r="AC259" i="3"/>
  <c r="AC258" i="3"/>
  <c r="AC257" i="3"/>
  <c r="AC256" i="3"/>
  <c r="AC254" i="3"/>
  <c r="C58" i="4" s="1"/>
  <c r="F58" i="4" s="1"/>
  <c r="AA253" i="3"/>
  <c r="Y253" i="3"/>
  <c r="W253" i="3"/>
  <c r="U253" i="3"/>
  <c r="S253" i="3"/>
  <c r="Q253" i="3"/>
  <c r="O253" i="3"/>
  <c r="M253" i="3"/>
  <c r="K253" i="3"/>
  <c r="I253" i="3"/>
  <c r="G253" i="3"/>
  <c r="E253" i="3"/>
  <c r="AC253" i="3" s="1"/>
  <c r="C25" i="4" s="1"/>
  <c r="F25" i="4" s="1"/>
  <c r="AC252" i="3"/>
  <c r="AC251" i="3"/>
  <c r="AC250" i="3"/>
  <c r="AC249" i="3"/>
  <c r="AC248" i="3"/>
  <c r="AC247" i="3"/>
  <c r="AC246" i="3"/>
  <c r="AC245" i="3"/>
  <c r="AC244" i="3"/>
  <c r="E242" i="3"/>
  <c r="AC241" i="3"/>
  <c r="AC240" i="3"/>
  <c r="AA239" i="3"/>
  <c r="Y239" i="3"/>
  <c r="W239" i="3"/>
  <c r="U239" i="3"/>
  <c r="S239" i="3"/>
  <c r="Q239" i="3"/>
  <c r="O239" i="3"/>
  <c r="M239" i="3"/>
  <c r="K239" i="3"/>
  <c r="I239" i="3"/>
  <c r="G239" i="3"/>
  <c r="E239" i="3"/>
  <c r="AC238" i="3"/>
  <c r="AC237" i="3"/>
  <c r="AC236" i="3"/>
  <c r="AC235" i="3"/>
  <c r="AC234" i="3"/>
  <c r="AA232" i="3"/>
  <c r="AA242" i="3" s="1"/>
  <c r="Y232" i="3"/>
  <c r="W232" i="3"/>
  <c r="U232" i="3"/>
  <c r="U242" i="3" s="1"/>
  <c r="S232" i="3"/>
  <c r="S242" i="3" s="1"/>
  <c r="Q232" i="3"/>
  <c r="O232" i="3"/>
  <c r="O242" i="3" s="1"/>
  <c r="M232" i="3"/>
  <c r="M242" i="3" s="1"/>
  <c r="K232" i="3"/>
  <c r="K242" i="3" s="1"/>
  <c r="I232" i="3"/>
  <c r="G232" i="3"/>
  <c r="E232" i="3"/>
  <c r="AC231" i="3"/>
  <c r="AC230" i="3"/>
  <c r="AC229" i="3"/>
  <c r="AC228" i="3"/>
  <c r="AC227" i="3"/>
  <c r="AC226" i="3"/>
  <c r="AC225" i="3"/>
  <c r="AC224" i="3"/>
  <c r="AC221" i="3"/>
  <c r="C51" i="4" s="1"/>
  <c r="F51" i="4" s="1"/>
  <c r="AA220" i="3"/>
  <c r="Y220" i="3"/>
  <c r="W220" i="3"/>
  <c r="U220" i="3"/>
  <c r="S220" i="3"/>
  <c r="Q220" i="3"/>
  <c r="O220" i="3"/>
  <c r="M220" i="3"/>
  <c r="K220" i="3"/>
  <c r="I220" i="3"/>
  <c r="G220" i="3"/>
  <c r="E220" i="3"/>
  <c r="AC219" i="3"/>
  <c r="AC218" i="3"/>
  <c r="AC217" i="3"/>
  <c r="AC216" i="3"/>
  <c r="AA214" i="3"/>
  <c r="Y214" i="3"/>
  <c r="W214" i="3"/>
  <c r="U214" i="3"/>
  <c r="S214" i="3"/>
  <c r="Q214" i="3"/>
  <c r="O214" i="3"/>
  <c r="M214" i="3"/>
  <c r="K214" i="3"/>
  <c r="I214" i="3"/>
  <c r="G214" i="3"/>
  <c r="E214" i="3"/>
  <c r="AC214" i="3" s="1"/>
  <c r="C46" i="4" s="1"/>
  <c r="F46" i="4" s="1"/>
  <c r="AC213" i="3"/>
  <c r="AC212" i="3"/>
  <c r="AC211" i="3"/>
  <c r="AC210" i="3"/>
  <c r="AC209" i="3"/>
  <c r="AA207" i="3"/>
  <c r="Y207" i="3"/>
  <c r="W207" i="3"/>
  <c r="U207" i="3"/>
  <c r="S207" i="3"/>
  <c r="Q207" i="3"/>
  <c r="O207" i="3"/>
  <c r="M207" i="3"/>
  <c r="K207" i="3"/>
  <c r="I207" i="3"/>
  <c r="G207" i="3"/>
  <c r="E207" i="3"/>
  <c r="AC206" i="3"/>
  <c r="AC205" i="3"/>
  <c r="C45" i="4" s="1"/>
  <c r="AC204" i="3"/>
  <c r="AC203" i="3"/>
  <c r="AC202" i="3"/>
  <c r="AC201" i="3"/>
  <c r="AC200" i="3"/>
  <c r="AC199" i="3"/>
  <c r="AC198" i="3"/>
  <c r="AC197" i="3"/>
  <c r="AC196" i="3"/>
  <c r="AC195" i="3"/>
  <c r="AC194" i="3"/>
  <c r="AC193" i="3"/>
  <c r="AC192" i="3"/>
  <c r="AA189" i="3"/>
  <c r="AA190" i="3" s="1"/>
  <c r="Y189" i="3"/>
  <c r="Y190" i="3" s="1"/>
  <c r="W189" i="3"/>
  <c r="W190" i="3" s="1"/>
  <c r="U189" i="3"/>
  <c r="U190" i="3" s="1"/>
  <c r="S189" i="3"/>
  <c r="S190" i="3" s="1"/>
  <c r="Q189" i="3"/>
  <c r="Q190" i="3" s="1"/>
  <c r="O189" i="3"/>
  <c r="O190" i="3" s="1"/>
  <c r="M189" i="3"/>
  <c r="M190" i="3" s="1"/>
  <c r="K189" i="3"/>
  <c r="K190" i="3" s="1"/>
  <c r="I189" i="3"/>
  <c r="I190" i="3" s="1"/>
  <c r="G189" i="3"/>
  <c r="G190" i="3" s="1"/>
  <c r="E189" i="3"/>
  <c r="E190" i="3" s="1"/>
  <c r="AC188" i="3"/>
  <c r="AC187" i="3"/>
  <c r="AC186" i="3"/>
  <c r="AC185" i="3"/>
  <c r="AC184" i="3"/>
  <c r="AC183" i="3"/>
  <c r="AC182" i="3"/>
  <c r="AC181" i="3"/>
  <c r="AC180" i="3"/>
  <c r="AC179" i="3"/>
  <c r="AC177" i="3"/>
  <c r="C40" i="4" s="1"/>
  <c r="F40" i="4" s="1"/>
  <c r="AA175" i="3"/>
  <c r="Y175" i="3"/>
  <c r="W175" i="3"/>
  <c r="U175" i="3"/>
  <c r="S175" i="3"/>
  <c r="Q175" i="3"/>
  <c r="O175" i="3"/>
  <c r="M175" i="3"/>
  <c r="K175" i="3"/>
  <c r="I175" i="3"/>
  <c r="G175" i="3"/>
  <c r="E175" i="3"/>
  <c r="AC174" i="3"/>
  <c r="AC173" i="3"/>
  <c r="AC172" i="3"/>
  <c r="AC171" i="3"/>
  <c r="AC170" i="3"/>
  <c r="AC169" i="3"/>
  <c r="AC168" i="3"/>
  <c r="AC167" i="3"/>
  <c r="AC165" i="3"/>
  <c r="Q164" i="3"/>
  <c r="AC163" i="3"/>
  <c r="AC162" i="3"/>
  <c r="C36" i="4" s="1"/>
  <c r="F36" i="4" s="1"/>
  <c r="AC161" i="3"/>
  <c r="C35" i="4" s="1"/>
  <c r="F35" i="4" s="1"/>
  <c r="AC160" i="3"/>
  <c r="C34" i="4" s="1"/>
  <c r="F34" i="4" s="1"/>
  <c r="AA159" i="3"/>
  <c r="AA164" i="3" s="1"/>
  <c r="Y159" i="3"/>
  <c r="Y164" i="3" s="1"/>
  <c r="W159" i="3"/>
  <c r="W164" i="3" s="1"/>
  <c r="U159" i="3"/>
  <c r="U164" i="3" s="1"/>
  <c r="S159" i="3"/>
  <c r="S164" i="3" s="1"/>
  <c r="Q159" i="3"/>
  <c r="O159" i="3"/>
  <c r="O164" i="3" s="1"/>
  <c r="M159" i="3"/>
  <c r="M164" i="3" s="1"/>
  <c r="K159" i="3"/>
  <c r="K164" i="3" s="1"/>
  <c r="I159" i="3"/>
  <c r="I164" i="3" s="1"/>
  <c r="G159" i="3"/>
  <c r="G164" i="3" s="1"/>
  <c r="E159" i="3"/>
  <c r="E164" i="3" s="1"/>
  <c r="AC158" i="3"/>
  <c r="C49" i="4" s="1"/>
  <c r="F49" i="4" s="1"/>
  <c r="AC157" i="3"/>
  <c r="AC156" i="3"/>
  <c r="AC155" i="3"/>
  <c r="AC154" i="3"/>
  <c r="AC153" i="3"/>
  <c r="AC152" i="3"/>
  <c r="C43" i="4" s="1"/>
  <c r="F43" i="4" s="1"/>
  <c r="AC151" i="3"/>
  <c r="C48" i="4" s="1"/>
  <c r="F48" i="4" s="1"/>
  <c r="AA148" i="3"/>
  <c r="Y148" i="3"/>
  <c r="W148" i="3"/>
  <c r="U148" i="3"/>
  <c r="S148" i="3"/>
  <c r="Q148" i="3"/>
  <c r="O148" i="3"/>
  <c r="M148" i="3"/>
  <c r="K148" i="3"/>
  <c r="I148" i="3"/>
  <c r="G148" i="3"/>
  <c r="E148" i="3"/>
  <c r="AC147" i="3"/>
  <c r="AC146" i="3"/>
  <c r="AC145" i="3"/>
  <c r="AA143" i="3"/>
  <c r="Y143" i="3"/>
  <c r="W143" i="3"/>
  <c r="U143" i="3"/>
  <c r="S143" i="3"/>
  <c r="Q143" i="3"/>
  <c r="O143" i="3"/>
  <c r="M143" i="3"/>
  <c r="AC143" i="3" s="1"/>
  <c r="F30" i="4" s="1"/>
  <c r="K143" i="3"/>
  <c r="I143" i="3"/>
  <c r="G143" i="3"/>
  <c r="E143" i="3"/>
  <c r="AC142" i="3"/>
  <c r="AC141" i="3"/>
  <c r="AC140" i="3"/>
  <c r="AC139" i="3"/>
  <c r="AC138" i="3"/>
  <c r="AC137" i="3"/>
  <c r="AC136" i="3"/>
  <c r="AC135" i="3"/>
  <c r="AA133" i="3"/>
  <c r="Y133" i="3"/>
  <c r="W133" i="3"/>
  <c r="U133" i="3"/>
  <c r="S133" i="3"/>
  <c r="Q133" i="3"/>
  <c r="O133" i="3"/>
  <c r="M133" i="3"/>
  <c r="K133" i="3"/>
  <c r="I133" i="3"/>
  <c r="G133" i="3"/>
  <c r="E133" i="3"/>
  <c r="AC132" i="3"/>
  <c r="AC131" i="3"/>
  <c r="AC130" i="3"/>
  <c r="AC129" i="3"/>
  <c r="AA127" i="3"/>
  <c r="Y127" i="3"/>
  <c r="W127" i="3"/>
  <c r="U127" i="3"/>
  <c r="S127" i="3"/>
  <c r="Q127" i="3"/>
  <c r="O127" i="3"/>
  <c r="M127" i="3"/>
  <c r="K127" i="3"/>
  <c r="I127" i="3"/>
  <c r="G127" i="3"/>
  <c r="E127" i="3"/>
  <c r="AC127" i="3" s="1"/>
  <c r="C28" i="4" s="1"/>
  <c r="AC126" i="3"/>
  <c r="AC125" i="3"/>
  <c r="AC124" i="3"/>
  <c r="AC123" i="3"/>
  <c r="AC122" i="3"/>
  <c r="AC121" i="3"/>
  <c r="AC120" i="3"/>
  <c r="AC119" i="3"/>
  <c r="AC118" i="3"/>
  <c r="AC116" i="3"/>
  <c r="C26" i="4" s="1"/>
  <c r="F26" i="4" s="1"/>
  <c r="AA114" i="3"/>
  <c r="Y114" i="3"/>
  <c r="W114" i="3"/>
  <c r="U114" i="3"/>
  <c r="S114" i="3"/>
  <c r="Q114" i="3"/>
  <c r="O114" i="3"/>
  <c r="M114" i="3"/>
  <c r="K114" i="3"/>
  <c r="I114" i="3"/>
  <c r="G114" i="3"/>
  <c r="E114" i="3"/>
  <c r="AC113" i="3"/>
  <c r="AC112" i="3"/>
  <c r="AC111" i="3"/>
  <c r="AC110" i="3"/>
  <c r="AC109" i="3"/>
  <c r="AC108" i="3"/>
  <c r="AC107" i="3"/>
  <c r="AC106" i="3"/>
  <c r="AA104" i="3"/>
  <c r="Y104" i="3"/>
  <c r="W104" i="3"/>
  <c r="U104" i="3"/>
  <c r="S104" i="3"/>
  <c r="Q104" i="3"/>
  <c r="O104" i="3"/>
  <c r="M104" i="3"/>
  <c r="K104" i="3"/>
  <c r="I104" i="3"/>
  <c r="G104" i="3"/>
  <c r="E104" i="3"/>
  <c r="AC103" i="3"/>
  <c r="AC102" i="3"/>
  <c r="AC101" i="3"/>
  <c r="AC100" i="3"/>
  <c r="AC99" i="3"/>
  <c r="AC98" i="3"/>
  <c r="AC97" i="3"/>
  <c r="AC96" i="3"/>
  <c r="AA94" i="3"/>
  <c r="Y94" i="3"/>
  <c r="W94" i="3"/>
  <c r="U94" i="3"/>
  <c r="S94" i="3"/>
  <c r="Q94" i="3"/>
  <c r="O94" i="3"/>
  <c r="M94" i="3"/>
  <c r="K94" i="3"/>
  <c r="I94" i="3"/>
  <c r="G94" i="3"/>
  <c r="E94" i="3"/>
  <c r="AC93" i="3"/>
  <c r="AC92" i="3"/>
  <c r="AC91" i="3"/>
  <c r="AC90" i="3"/>
  <c r="AC89" i="3"/>
  <c r="AC88" i="3"/>
  <c r="AC87" i="3"/>
  <c r="AC86" i="3"/>
  <c r="AA84" i="3"/>
  <c r="Y84" i="3"/>
  <c r="W84" i="3"/>
  <c r="U84" i="3"/>
  <c r="S84" i="3"/>
  <c r="Q84" i="3"/>
  <c r="O84" i="3"/>
  <c r="M84" i="3"/>
  <c r="K84" i="3"/>
  <c r="I84" i="3"/>
  <c r="G84" i="3"/>
  <c r="E84" i="3"/>
  <c r="AC83" i="3"/>
  <c r="AC82" i="3"/>
  <c r="AC81" i="3"/>
  <c r="AC80" i="3"/>
  <c r="AC79" i="3"/>
  <c r="AC78" i="3"/>
  <c r="AC77" i="3"/>
  <c r="AC76" i="3"/>
  <c r="AC74" i="3"/>
  <c r="C42" i="4" s="1"/>
  <c r="F42" i="4" s="1"/>
  <c r="AA73" i="3"/>
  <c r="Y73" i="3"/>
  <c r="W73" i="3"/>
  <c r="U73" i="3"/>
  <c r="S73" i="3"/>
  <c r="Q73" i="3"/>
  <c r="O73" i="3"/>
  <c r="M73" i="3"/>
  <c r="K73" i="3"/>
  <c r="I73" i="3"/>
  <c r="G73" i="3"/>
  <c r="E73" i="3"/>
  <c r="AC72" i="3"/>
  <c r="AC71" i="3"/>
  <c r="AC70" i="3"/>
  <c r="AC69" i="3"/>
  <c r="AC68" i="3"/>
  <c r="AC67" i="3"/>
  <c r="AC66" i="3"/>
  <c r="AC65" i="3"/>
  <c r="AC64" i="3"/>
  <c r="AA62" i="3"/>
  <c r="Y62" i="3"/>
  <c r="W62" i="3"/>
  <c r="U62" i="3"/>
  <c r="S62" i="3"/>
  <c r="Q62" i="3"/>
  <c r="O62" i="3"/>
  <c r="O115" i="3" s="1"/>
  <c r="M62" i="3"/>
  <c r="M115" i="3" s="1"/>
  <c r="K62" i="3"/>
  <c r="I62" i="3"/>
  <c r="G62" i="3"/>
  <c r="E62" i="3"/>
  <c r="AC61" i="3"/>
  <c r="AC60" i="3"/>
  <c r="AC59" i="3"/>
  <c r="AC58" i="3"/>
  <c r="AC57" i="3"/>
  <c r="AC56" i="3"/>
  <c r="AC55" i="3"/>
  <c r="AC54" i="3"/>
  <c r="AA51" i="3"/>
  <c r="Y51" i="3"/>
  <c r="W51" i="3"/>
  <c r="U51" i="3"/>
  <c r="S51" i="3"/>
  <c r="Q51" i="3"/>
  <c r="O51" i="3"/>
  <c r="M51" i="3"/>
  <c r="K51" i="3"/>
  <c r="I51" i="3"/>
  <c r="G51" i="3"/>
  <c r="E51" i="3"/>
  <c r="AC51" i="3" s="1"/>
  <c r="C24" i="4" s="1"/>
  <c r="F24" i="4" s="1"/>
  <c r="AC50" i="3"/>
  <c r="AC49" i="3"/>
  <c r="AC48" i="3"/>
  <c r="AC47" i="3"/>
  <c r="AC46" i="3"/>
  <c r="AC45" i="3"/>
  <c r="AC44" i="3"/>
  <c r="AC43" i="3"/>
  <c r="AA41" i="3"/>
  <c r="Y41" i="3"/>
  <c r="W41" i="3"/>
  <c r="U41" i="3"/>
  <c r="S41" i="3"/>
  <c r="Q41" i="3"/>
  <c r="O41" i="3"/>
  <c r="M41" i="3"/>
  <c r="K41" i="3"/>
  <c r="I41" i="3"/>
  <c r="G41" i="3"/>
  <c r="E41" i="3"/>
  <c r="AC40" i="3"/>
  <c r="AC39" i="3"/>
  <c r="AC38" i="3"/>
  <c r="AC37" i="3"/>
  <c r="AC36" i="3"/>
  <c r="AC35" i="3"/>
  <c r="AC34" i="3"/>
  <c r="AC33" i="3"/>
  <c r="AC32" i="3"/>
  <c r="AC31" i="3"/>
  <c r="AC29" i="3"/>
  <c r="AC28" i="3"/>
  <c r="AC27" i="3"/>
  <c r="AA24" i="3"/>
  <c r="Y24" i="3"/>
  <c r="W24" i="3"/>
  <c r="U24" i="3"/>
  <c r="S24" i="3"/>
  <c r="Q24" i="3"/>
  <c r="O24" i="3"/>
  <c r="M24" i="3"/>
  <c r="K24" i="3"/>
  <c r="I24" i="3"/>
  <c r="G24" i="3"/>
  <c r="E24" i="3"/>
  <c r="AC23" i="3"/>
  <c r="AA21" i="3"/>
  <c r="AA25" i="3" s="1"/>
  <c r="U21" i="3"/>
  <c r="U25" i="3" s="1"/>
  <c r="M21" i="3"/>
  <c r="M25" i="3" s="1"/>
  <c r="AA20" i="3"/>
  <c r="Y20" i="3"/>
  <c r="W20" i="3"/>
  <c r="U20" i="3"/>
  <c r="S20" i="3"/>
  <c r="Q20" i="3"/>
  <c r="O20" i="3"/>
  <c r="M20" i="3"/>
  <c r="K20" i="3"/>
  <c r="I20" i="3"/>
  <c r="G20" i="3"/>
  <c r="E20" i="3"/>
  <c r="AC19" i="3"/>
  <c r="C20" i="4" s="1"/>
  <c r="F20" i="4" s="1"/>
  <c r="AC18" i="3"/>
  <c r="C19" i="4" s="1"/>
  <c r="F19" i="4" s="1"/>
  <c r="AC17" i="3"/>
  <c r="AA15" i="3"/>
  <c r="Y15" i="3"/>
  <c r="Y21" i="3" s="1"/>
  <c r="Y25" i="3" s="1"/>
  <c r="W15" i="3"/>
  <c r="U15" i="3"/>
  <c r="S15" i="3"/>
  <c r="Q15" i="3"/>
  <c r="Q21" i="3" s="1"/>
  <c r="Q25" i="3" s="1"/>
  <c r="O15" i="3"/>
  <c r="O21" i="3" s="1"/>
  <c r="M15" i="3"/>
  <c r="K15" i="3"/>
  <c r="K21" i="3" s="1"/>
  <c r="K25" i="3" s="1"/>
  <c r="I15" i="3"/>
  <c r="I21" i="3" s="1"/>
  <c r="I25" i="3" s="1"/>
  <c r="G15" i="3"/>
  <c r="E15" i="3"/>
  <c r="E21" i="3" s="1"/>
  <c r="AC14" i="3"/>
  <c r="C17" i="4" s="1"/>
  <c r="AC13" i="3"/>
  <c r="C16" i="4" s="1"/>
  <c r="AC12" i="3"/>
  <c r="C15" i="4" s="1"/>
  <c r="AC11" i="3"/>
  <c r="C14" i="4" s="1"/>
  <c r="D15" i="44" s="1"/>
  <c r="D18" i="44" s="1"/>
  <c r="D20" i="44" s="1"/>
  <c r="L14" i="5" s="1"/>
  <c r="N14" i="5" s="1"/>
  <c r="AC10" i="3"/>
  <c r="C13" i="4" s="1"/>
  <c r="F15" i="44" s="1"/>
  <c r="F18" i="44" s="1"/>
  <c r="F20" i="44" s="1"/>
  <c r="L13" i="5" s="1"/>
  <c r="N13" i="5" s="1"/>
  <c r="AC9" i="3"/>
  <c r="C12" i="4" s="1"/>
  <c r="AC8" i="3"/>
  <c r="C11" i="4" s="1"/>
  <c r="C15" i="44" s="1"/>
  <c r="C18" i="44" s="1"/>
  <c r="C20" i="44" s="1"/>
  <c r="L11" i="5" s="1"/>
  <c r="N11" i="5" s="1"/>
  <c r="AC7" i="3"/>
  <c r="AC6" i="3"/>
  <c r="C8" i="4" s="1"/>
  <c r="E15" i="44" s="1"/>
  <c r="E18" i="44" s="1"/>
  <c r="E20" i="44" s="1"/>
  <c r="AC5" i="3"/>
  <c r="B77" i="7" l="1"/>
  <c r="H69" i="4"/>
  <c r="B74" i="7"/>
  <c r="H66" i="4"/>
  <c r="B75" i="7"/>
  <c r="H67" i="4"/>
  <c r="B76" i="7"/>
  <c r="H68" i="4"/>
  <c r="E22" i="44"/>
  <c r="L8" i="5"/>
  <c r="N8" i="5" s="1"/>
  <c r="B42" i="7"/>
  <c r="H42" i="7" s="1"/>
  <c r="H34" i="4" s="1"/>
  <c r="I34" i="4" s="1"/>
  <c r="K34" i="4" s="1"/>
  <c r="B43" i="7"/>
  <c r="D43" i="7" s="1"/>
  <c r="B54" i="7"/>
  <c r="G54" i="7" s="1"/>
  <c r="B50" i="7"/>
  <c r="H50" i="7" s="1"/>
  <c r="H42" i="4" s="1"/>
  <c r="I42" i="4" s="1"/>
  <c r="K42" i="4" s="1"/>
  <c r="B44" i="7"/>
  <c r="D44" i="7" s="1"/>
  <c r="B48" i="7"/>
  <c r="F48" i="7" s="1"/>
  <c r="B65" i="7"/>
  <c r="G65" i="7" s="1"/>
  <c r="B33" i="7"/>
  <c r="G33" i="7" s="1"/>
  <c r="B57" i="7"/>
  <c r="H57" i="7" s="1"/>
  <c r="H49" i="4" s="1"/>
  <c r="I49" i="4" s="1"/>
  <c r="K49" i="4" s="1"/>
  <c r="B32" i="7"/>
  <c r="D32" i="7" s="1"/>
  <c r="B38" i="7"/>
  <c r="N38" i="7" s="1"/>
  <c r="I30" i="4"/>
  <c r="K30" i="4" s="1"/>
  <c r="B51" i="7"/>
  <c r="E51" i="7" s="1"/>
  <c r="B59" i="7"/>
  <c r="D59" i="7" s="1"/>
  <c r="N59" i="7" s="1"/>
  <c r="I51" i="4"/>
  <c r="K51" i="4" s="1"/>
  <c r="B20" i="7"/>
  <c r="G20" i="7" s="1"/>
  <c r="N20" i="7" s="1"/>
  <c r="I20" i="4"/>
  <c r="K20" i="4" s="1"/>
  <c r="B34" i="7"/>
  <c r="F34" i="7" s="1"/>
  <c r="B66" i="7"/>
  <c r="E66" i="7" s="1"/>
  <c r="B56" i="7"/>
  <c r="G56" i="7" s="1"/>
  <c r="B19" i="7"/>
  <c r="H19" i="4"/>
  <c r="H45" i="5"/>
  <c r="G66" i="7"/>
  <c r="E42" i="7"/>
  <c r="F32" i="7"/>
  <c r="D33" i="7"/>
  <c r="H33" i="7"/>
  <c r="H25" i="4" s="1"/>
  <c r="I25" i="4" s="1"/>
  <c r="K25" i="4" s="1"/>
  <c r="E33" i="7"/>
  <c r="I33" i="7"/>
  <c r="F33" i="7"/>
  <c r="I65" i="7"/>
  <c r="F57" i="7"/>
  <c r="S21" i="3"/>
  <c r="S25" i="3" s="1"/>
  <c r="AC104" i="3"/>
  <c r="C60" i="4" s="1"/>
  <c r="F60" i="4" s="1"/>
  <c r="Q115" i="3"/>
  <c r="AC94" i="3"/>
  <c r="C59" i="4" s="1"/>
  <c r="F59" i="4" s="1"/>
  <c r="AC114" i="3"/>
  <c r="C55" i="4" s="1"/>
  <c r="F55" i="4" s="1"/>
  <c r="C39" i="4"/>
  <c r="F39" i="4" s="1"/>
  <c r="AC239" i="3"/>
  <c r="F65" i="4"/>
  <c r="H65" i="4" s="1"/>
  <c r="C70" i="4"/>
  <c r="AC281" i="3"/>
  <c r="G21" i="3"/>
  <c r="G25" i="3" s="1"/>
  <c r="W21" i="3"/>
  <c r="W25" i="3" s="1"/>
  <c r="AC24" i="3"/>
  <c r="S115" i="3"/>
  <c r="S272" i="3" s="1"/>
  <c r="S273" i="3" s="1"/>
  <c r="S289" i="3" s="1"/>
  <c r="AC175" i="3"/>
  <c r="Q242" i="3"/>
  <c r="Q272" i="3" s="1"/>
  <c r="Q273" i="3" s="1"/>
  <c r="Q289" i="3" s="1"/>
  <c r="O288" i="3"/>
  <c r="C7" i="4"/>
  <c r="B15" i="44" s="1"/>
  <c r="AC15" i="3"/>
  <c r="E115" i="3"/>
  <c r="AC115" i="3" s="1"/>
  <c r="U115" i="3"/>
  <c r="AC73" i="3"/>
  <c r="C56" i="4" s="1"/>
  <c r="F56" i="4" s="1"/>
  <c r="AC133" i="3"/>
  <c r="C29" i="4" s="1"/>
  <c r="F29" i="4" s="1"/>
  <c r="AC220" i="3"/>
  <c r="C47" i="4" s="1"/>
  <c r="F47" i="4" s="1"/>
  <c r="G115" i="3"/>
  <c r="W115" i="3"/>
  <c r="AC232" i="3"/>
  <c r="S288" i="3"/>
  <c r="C18" i="4"/>
  <c r="AC20" i="3"/>
  <c r="I115" i="3"/>
  <c r="I272" i="3" s="1"/>
  <c r="I273" i="3" s="1"/>
  <c r="I289" i="3" s="1"/>
  <c r="Y115" i="3"/>
  <c r="AC84" i="3"/>
  <c r="C33" i="4" s="1"/>
  <c r="F33" i="4" s="1"/>
  <c r="G242" i="3"/>
  <c r="AC242" i="3" s="1"/>
  <c r="C52" i="4" s="1"/>
  <c r="W242" i="3"/>
  <c r="AC271" i="3"/>
  <c r="C53" i="4" s="1"/>
  <c r="F53" i="4" s="1"/>
  <c r="U288" i="3"/>
  <c r="AC287" i="3"/>
  <c r="O25" i="3"/>
  <c r="C23" i="4"/>
  <c r="K272" i="3"/>
  <c r="K273" i="3" s="1"/>
  <c r="AA272" i="3"/>
  <c r="AA273" i="3" s="1"/>
  <c r="AA289" i="3" s="1"/>
  <c r="K115" i="3"/>
  <c r="AA115" i="3"/>
  <c r="AC148" i="3"/>
  <c r="C32" i="4" s="1"/>
  <c r="F32" i="4" s="1"/>
  <c r="AC207" i="3"/>
  <c r="C44" i="4" s="1"/>
  <c r="F44" i="4" s="1"/>
  <c r="I242" i="3"/>
  <c r="Y242" i="3"/>
  <c r="AC266" i="3"/>
  <c r="C54" i="4" s="1"/>
  <c r="F54" i="4" s="1"/>
  <c r="G288" i="3"/>
  <c r="W288" i="3"/>
  <c r="E288" i="3"/>
  <c r="O273" i="3"/>
  <c r="O289" i="3" s="1"/>
  <c r="AC164" i="3"/>
  <c r="M272" i="3"/>
  <c r="M273" i="3" s="1"/>
  <c r="E272" i="3"/>
  <c r="Y288" i="3"/>
  <c r="Y272" i="3"/>
  <c r="Y273" i="3" s="1"/>
  <c r="Y289" i="3" s="1"/>
  <c r="AC190" i="3"/>
  <c r="I288" i="3"/>
  <c r="K288" i="3"/>
  <c r="U272" i="3"/>
  <c r="U273" i="3" s="1"/>
  <c r="AC21" i="3"/>
  <c r="G272" i="3"/>
  <c r="G273" i="3" s="1"/>
  <c r="G289" i="3" s="1"/>
  <c r="W272" i="3"/>
  <c r="W273" i="3" s="1"/>
  <c r="W289" i="3" s="1"/>
  <c r="O272" i="3"/>
  <c r="AA288" i="3"/>
  <c r="E25" i="3"/>
  <c r="AC62" i="3"/>
  <c r="C27" i="4" s="1"/>
  <c r="F27" i="4" s="1"/>
  <c r="AC189" i="3"/>
  <c r="C50" i="4" s="1"/>
  <c r="F50" i="4" s="1"/>
  <c r="AC159" i="3"/>
  <c r="M282" i="3"/>
  <c r="M288" i="3" s="1"/>
  <c r="AC286" i="3"/>
  <c r="AC41" i="3"/>
  <c r="H56" i="7" l="1"/>
  <c r="H48" i="4" s="1"/>
  <c r="I48" i="4" s="1"/>
  <c r="K48" i="4" s="1"/>
  <c r="E43" i="7"/>
  <c r="H48" i="7"/>
  <c r="H40" i="4" s="1"/>
  <c r="I40" i="4" s="1"/>
  <c r="K40" i="4" s="1"/>
  <c r="D65" i="7"/>
  <c r="H32" i="7"/>
  <c r="H24" i="4" s="1"/>
  <c r="I24" i="4" s="1"/>
  <c r="K24" i="4" s="1"/>
  <c r="H43" i="7"/>
  <c r="H35" i="4" s="1"/>
  <c r="I35" i="4" s="1"/>
  <c r="K35" i="4" s="1"/>
  <c r="G48" i="7"/>
  <c r="I32" i="7"/>
  <c r="E50" i="7"/>
  <c r="H19" i="7"/>
  <c r="N19" i="7" s="1"/>
  <c r="D50" i="7"/>
  <c r="D42" i="7"/>
  <c r="E32" i="7"/>
  <c r="F42" i="7"/>
  <c r="G50" i="7"/>
  <c r="H44" i="7"/>
  <c r="H36" i="4" s="1"/>
  <c r="I36" i="4" s="1"/>
  <c r="K36" i="4" s="1"/>
  <c r="H54" i="7"/>
  <c r="H46" i="4" s="1"/>
  <c r="I46" i="4" s="1"/>
  <c r="K46" i="4" s="1"/>
  <c r="D51" i="7"/>
  <c r="G57" i="7"/>
  <c r="G51" i="7"/>
  <c r="H34" i="7"/>
  <c r="H26" i="4" s="1"/>
  <c r="I26" i="4" s="1"/>
  <c r="K26" i="4" s="1"/>
  <c r="F66" i="7"/>
  <c r="D56" i="7"/>
  <c r="E56" i="7"/>
  <c r="H51" i="7"/>
  <c r="H43" i="4" s="1"/>
  <c r="I43" i="4" s="1"/>
  <c r="K43" i="4" s="1"/>
  <c r="I66" i="7"/>
  <c r="I54" i="7"/>
  <c r="D66" i="7"/>
  <c r="D57" i="7"/>
  <c r="F51" i="7"/>
  <c r="F50" i="7"/>
  <c r="H66" i="7"/>
  <c r="H58" i="4" s="1"/>
  <c r="I58" i="4" s="1"/>
  <c r="K58" i="4" s="1"/>
  <c r="G44" i="7"/>
  <c r="H70" i="4"/>
  <c r="E44" i="7"/>
  <c r="G34" i="7"/>
  <c r="B62" i="7"/>
  <c r="B37" i="7"/>
  <c r="G37" i="7" s="1"/>
  <c r="H65" i="7"/>
  <c r="H57" i="4" s="1"/>
  <c r="I57" i="4" s="1"/>
  <c r="K57" i="4" s="1"/>
  <c r="D54" i="7"/>
  <c r="B58" i="7"/>
  <c r="G58" i="7" s="1"/>
  <c r="B64" i="7"/>
  <c r="G64" i="7" s="1"/>
  <c r="B63" i="7"/>
  <c r="G63" i="7" s="1"/>
  <c r="F65" i="7"/>
  <c r="G32" i="7"/>
  <c r="F54" i="7"/>
  <c r="F56" i="7"/>
  <c r="F43" i="7"/>
  <c r="N45" i="5"/>
  <c r="D45" i="4" s="1"/>
  <c r="F45" i="4" s="1"/>
  <c r="B53" i="7" s="1"/>
  <c r="N53" i="7" s="1"/>
  <c r="H61" i="5"/>
  <c r="H62" i="5" s="1"/>
  <c r="B55" i="7"/>
  <c r="D55" i="7" s="1"/>
  <c r="B47" i="7"/>
  <c r="G47" i="7" s="1"/>
  <c r="E65" i="7"/>
  <c r="E54" i="7"/>
  <c r="B40" i="7"/>
  <c r="N40" i="7" s="1"/>
  <c r="I32" i="4"/>
  <c r="K32" i="4" s="1"/>
  <c r="B61" i="7"/>
  <c r="G61" i="7" s="1"/>
  <c r="D34" i="7"/>
  <c r="G43" i="7"/>
  <c r="E57" i="7"/>
  <c r="F44" i="7"/>
  <c r="E34" i="7"/>
  <c r="G42" i="7"/>
  <c r="N42" i="7" s="1"/>
  <c r="E48" i="7"/>
  <c r="B41" i="7"/>
  <c r="G41" i="7" s="1"/>
  <c r="B52" i="7"/>
  <c r="F52" i="7" s="1"/>
  <c r="B35" i="7"/>
  <c r="G35" i="7" s="1"/>
  <c r="B67" i="7"/>
  <c r="G67" i="7" s="1"/>
  <c r="D48" i="7"/>
  <c r="H15" i="44"/>
  <c r="B18" i="44"/>
  <c r="B68" i="7"/>
  <c r="G68" i="7" s="1"/>
  <c r="N33" i="7"/>
  <c r="G55" i="7"/>
  <c r="F70" i="4"/>
  <c r="B73" i="7"/>
  <c r="B78" i="7" s="1"/>
  <c r="F64" i="7"/>
  <c r="E64" i="7"/>
  <c r="I64" i="7"/>
  <c r="I63" i="7"/>
  <c r="D63" i="7"/>
  <c r="F35" i="7"/>
  <c r="D35" i="7"/>
  <c r="D52" i="5"/>
  <c r="N52" i="5" s="1"/>
  <c r="D9" i="4"/>
  <c r="F9" i="4" s="1"/>
  <c r="M289" i="3"/>
  <c r="F23" i="4"/>
  <c r="C61" i="4"/>
  <c r="C18" i="5"/>
  <c r="N18" i="5" s="1"/>
  <c r="D8" i="4"/>
  <c r="F8" i="4" s="1"/>
  <c r="C21" i="4"/>
  <c r="U289" i="3"/>
  <c r="D13" i="4"/>
  <c r="F13" i="4" s="1"/>
  <c r="K289" i="3"/>
  <c r="D10" i="4"/>
  <c r="F10" i="4" s="1"/>
  <c r="AC272" i="3"/>
  <c r="AC282" i="3"/>
  <c r="AC25" i="3"/>
  <c r="E273" i="3"/>
  <c r="AC288" i="3"/>
  <c r="N32" i="7" l="1"/>
  <c r="H52" i="7"/>
  <c r="H44" i="4" s="1"/>
  <c r="I44" i="4" s="1"/>
  <c r="K44" i="4" s="1"/>
  <c r="H64" i="7"/>
  <c r="H56" i="4" s="1"/>
  <c r="I56" i="4" s="1"/>
  <c r="K56" i="4" s="1"/>
  <c r="H41" i="7"/>
  <c r="H33" i="4" s="1"/>
  <c r="I33" i="4" s="1"/>
  <c r="K33" i="4" s="1"/>
  <c r="N50" i="7"/>
  <c r="D41" i="7"/>
  <c r="N51" i="7"/>
  <c r="N56" i="7"/>
  <c r="N48" i="7"/>
  <c r="N44" i="7"/>
  <c r="D61" i="7"/>
  <c r="I67" i="7"/>
  <c r="N43" i="7"/>
  <c r="F61" i="7"/>
  <c r="N65" i="7"/>
  <c r="N57" i="7"/>
  <c r="N66" i="7"/>
  <c r="E41" i="7"/>
  <c r="N34" i="7"/>
  <c r="H61" i="7"/>
  <c r="H53" i="4" s="1"/>
  <c r="I53" i="4" s="1"/>
  <c r="K53" i="4" s="1"/>
  <c r="N54" i="7"/>
  <c r="F63" i="7"/>
  <c r="E55" i="7"/>
  <c r="G52" i="7"/>
  <c r="E63" i="7"/>
  <c r="H37" i="7"/>
  <c r="H29" i="4" s="1"/>
  <c r="I29" i="4" s="1"/>
  <c r="K29" i="4" s="1"/>
  <c r="F47" i="7"/>
  <c r="D67" i="7"/>
  <c r="H35" i="7"/>
  <c r="H27" i="4" s="1"/>
  <c r="I27" i="4" s="1"/>
  <c r="K27" i="4" s="1"/>
  <c r="E35" i="7"/>
  <c r="H67" i="7"/>
  <c r="H59" i="4" s="1"/>
  <c r="I59" i="4" s="1"/>
  <c r="K59" i="4" s="1"/>
  <c r="D37" i="7"/>
  <c r="D47" i="7"/>
  <c r="E37" i="7"/>
  <c r="I35" i="7"/>
  <c r="F41" i="7"/>
  <c r="F67" i="7"/>
  <c r="D64" i="7"/>
  <c r="F37" i="7"/>
  <c r="H18" i="44"/>
  <c r="B20" i="44"/>
  <c r="H68" i="7"/>
  <c r="H60" i="4" s="1"/>
  <c r="I60" i="4" s="1"/>
  <c r="K60" i="4" s="1"/>
  <c r="E67" i="7"/>
  <c r="I47" i="7"/>
  <c r="B10" i="7"/>
  <c r="D10" i="7" s="1"/>
  <c r="I10" i="4"/>
  <c r="K10" i="4" s="1"/>
  <c r="B9" i="7"/>
  <c r="D9" i="7" s="1"/>
  <c r="N9" i="7" s="1"/>
  <c r="I9" i="4"/>
  <c r="K9" i="4" s="1"/>
  <c r="F58" i="7"/>
  <c r="D68" i="7"/>
  <c r="D58" i="7"/>
  <c r="F68" i="7"/>
  <c r="E47" i="7"/>
  <c r="F55" i="7"/>
  <c r="E58" i="7"/>
  <c r="E52" i="7"/>
  <c r="E61" i="7"/>
  <c r="E68" i="7"/>
  <c r="H63" i="7"/>
  <c r="H55" i="4" s="1"/>
  <c r="I55" i="4" s="1"/>
  <c r="K55" i="4" s="1"/>
  <c r="H47" i="7"/>
  <c r="H39" i="4" s="1"/>
  <c r="I39" i="4" s="1"/>
  <c r="K39" i="4" s="1"/>
  <c r="H55" i="7"/>
  <c r="H47" i="4" s="1"/>
  <c r="I47" i="4" s="1"/>
  <c r="K47" i="4" s="1"/>
  <c r="B31" i="7"/>
  <c r="H31" i="7" s="1"/>
  <c r="H23" i="4" s="1"/>
  <c r="B13" i="7"/>
  <c r="G13" i="7" s="1"/>
  <c r="G21" i="7" s="1"/>
  <c r="I13" i="4"/>
  <c r="K13" i="4" s="1"/>
  <c r="B8" i="7"/>
  <c r="D8" i="7" s="1"/>
  <c r="I8" i="4"/>
  <c r="K8" i="4" s="1"/>
  <c r="D52" i="7"/>
  <c r="H58" i="7"/>
  <c r="H50" i="4" s="1"/>
  <c r="I50" i="4" s="1"/>
  <c r="K50" i="4" s="1"/>
  <c r="I68" i="7"/>
  <c r="N64" i="7"/>
  <c r="D12" i="4"/>
  <c r="F12" i="4" s="1"/>
  <c r="D11" i="4"/>
  <c r="F11" i="4" s="1"/>
  <c r="D14" i="4"/>
  <c r="F14" i="4" s="1"/>
  <c r="D15" i="4"/>
  <c r="F15" i="4" s="1"/>
  <c r="D17" i="4"/>
  <c r="F17" i="4" s="1"/>
  <c r="D16" i="4"/>
  <c r="F16" i="4" s="1"/>
  <c r="D18" i="4"/>
  <c r="F18" i="4" s="1"/>
  <c r="C75" i="4"/>
  <c r="C62" i="4"/>
  <c r="C72" i="4" s="1"/>
  <c r="D52" i="4"/>
  <c r="F52" i="4" s="1"/>
  <c r="D61" i="5"/>
  <c r="D62" i="5" s="1"/>
  <c r="C21" i="5"/>
  <c r="C62" i="5" s="1"/>
  <c r="AC273" i="3"/>
  <c r="E289" i="3"/>
  <c r="AC289" i="3" s="1"/>
  <c r="N52" i="7" l="1"/>
  <c r="N37" i="7"/>
  <c r="N55" i="7"/>
  <c r="N41" i="7"/>
  <c r="N35" i="7"/>
  <c r="N61" i="7"/>
  <c r="D31" i="7"/>
  <c r="N67" i="7"/>
  <c r="F31" i="7"/>
  <c r="N58" i="7"/>
  <c r="N68" i="7"/>
  <c r="N63" i="7"/>
  <c r="N47" i="7"/>
  <c r="I23" i="4"/>
  <c r="K23" i="4" s="1"/>
  <c r="B18" i="7"/>
  <c r="F18" i="7" s="1"/>
  <c r="I18" i="4"/>
  <c r="K18" i="4" s="1"/>
  <c r="I31" i="7"/>
  <c r="N10" i="7"/>
  <c r="B12" i="7"/>
  <c r="H12" i="7" s="1"/>
  <c r="H12" i="4"/>
  <c r="B17" i="7"/>
  <c r="I17" i="7" s="1"/>
  <c r="N17" i="7" s="1"/>
  <c r="H17" i="4"/>
  <c r="B15" i="7"/>
  <c r="H15" i="4"/>
  <c r="G31" i="7"/>
  <c r="B14" i="7"/>
  <c r="E14" i="7" s="1"/>
  <c r="E21" i="7" s="1"/>
  <c r="C5" i="29" s="1"/>
  <c r="I7" i="29" s="1"/>
  <c r="I14" i="4"/>
  <c r="K14" i="4" s="1"/>
  <c r="E31" i="7"/>
  <c r="N8" i="7"/>
  <c r="L7" i="5"/>
  <c r="H20" i="44"/>
  <c r="B21" i="44"/>
  <c r="B16" i="7"/>
  <c r="H16" i="7" s="1"/>
  <c r="N16" i="7" s="1"/>
  <c r="H16" i="4"/>
  <c r="B60" i="7"/>
  <c r="N60" i="7" s="1"/>
  <c r="I52" i="4"/>
  <c r="K52" i="4" s="1"/>
  <c r="B11" i="7"/>
  <c r="F11" i="7" s="1"/>
  <c r="N11" i="7" s="1"/>
  <c r="I11" i="4"/>
  <c r="K11" i="4" s="1"/>
  <c r="N13" i="7"/>
  <c r="I15" i="7"/>
  <c r="N15" i="7" s="1"/>
  <c r="G97" i="2"/>
  <c r="H97" i="2" s="1"/>
  <c r="G89" i="2"/>
  <c r="H98" i="2"/>
  <c r="I90" i="2" s="1"/>
  <c r="I27" i="28" s="1"/>
  <c r="G77" i="2"/>
  <c r="G85" i="2" s="1"/>
  <c r="G86" i="2" s="1"/>
  <c r="G90" i="2" s="1"/>
  <c r="G98" i="2" s="1"/>
  <c r="G71" i="2"/>
  <c r="G72" i="2" s="1"/>
  <c r="G65" i="2"/>
  <c r="G58" i="2"/>
  <c r="G51" i="2"/>
  <c r="G42" i="2"/>
  <c r="G31" i="2"/>
  <c r="G32" i="2" s="1"/>
  <c r="G15" i="2"/>
  <c r="G11" i="2"/>
  <c r="G12" i="2" s="1"/>
  <c r="N31" i="7" l="1"/>
  <c r="H21" i="4"/>
  <c r="N12" i="7"/>
  <c r="L21" i="5"/>
  <c r="N7" i="5"/>
  <c r="N14" i="7"/>
  <c r="AA33" i="28"/>
  <c r="AA38" i="28"/>
  <c r="AA39" i="28"/>
  <c r="AA16" i="28"/>
  <c r="AA34" i="28"/>
  <c r="AA23" i="28"/>
  <c r="AA17" i="28"/>
  <c r="AA32" i="28"/>
  <c r="AA12" i="28"/>
  <c r="AA31" i="28"/>
  <c r="AA24" i="28"/>
  <c r="AA26" i="28"/>
  <c r="AA14" i="28"/>
  <c r="AA19" i="28"/>
  <c r="AA8" i="28"/>
  <c r="AA6" i="28"/>
  <c r="AA29" i="28"/>
  <c r="AA11" i="28"/>
  <c r="AA9" i="28"/>
  <c r="AA21" i="28"/>
  <c r="L27" i="28"/>
  <c r="AA37" i="28"/>
  <c r="I26" i="28"/>
  <c r="AA13" i="28"/>
  <c r="AA28" i="28"/>
  <c r="AA36" i="28"/>
  <c r="AA27" i="28"/>
  <c r="AA18" i="28"/>
  <c r="AA7" i="28"/>
  <c r="AA22" i="28"/>
  <c r="J27" i="28"/>
  <c r="M27" i="28" s="1"/>
  <c r="K11" i="28" s="1"/>
  <c r="I27" i="27"/>
  <c r="I27" i="29"/>
  <c r="S7" i="29"/>
  <c r="T7" i="29" s="1"/>
  <c r="U7" i="29" s="1"/>
  <c r="W7" i="29" s="1"/>
  <c r="X7" i="29" s="1"/>
  <c r="S8" i="29"/>
  <c r="T8" i="29" s="1"/>
  <c r="U8" i="29" s="1"/>
  <c r="W8" i="29" s="1"/>
  <c r="X8" i="29" s="1"/>
  <c r="S9" i="29"/>
  <c r="T9" i="29" s="1"/>
  <c r="U9" i="29" s="1"/>
  <c r="W9" i="29" s="1"/>
  <c r="X9" i="29" s="1"/>
  <c r="S6" i="29"/>
  <c r="T6" i="29" s="1"/>
  <c r="U6" i="29" s="1"/>
  <c r="W6" i="29" s="1"/>
  <c r="X6" i="29" s="1"/>
  <c r="J19" i="29"/>
  <c r="F21" i="7"/>
  <c r="C5" i="27" s="1"/>
  <c r="I7" i="27" s="1"/>
  <c r="N18" i="7"/>
  <c r="I21" i="7"/>
  <c r="H21" i="7"/>
  <c r="G54" i="2"/>
  <c r="I97" i="2"/>
  <c r="G33" i="2"/>
  <c r="G59" i="2" s="1"/>
  <c r="N21" i="5" l="1"/>
  <c r="D7" i="4"/>
  <c r="I28" i="28"/>
  <c r="J26" i="28"/>
  <c r="M11" i="28"/>
  <c r="I11" i="28"/>
  <c r="AA11" i="29"/>
  <c r="AA7" i="29"/>
  <c r="AA39" i="29"/>
  <c r="J27" i="29"/>
  <c r="M27" i="29" s="1"/>
  <c r="K11" i="29" s="1"/>
  <c r="AA17" i="29"/>
  <c r="AA24" i="29"/>
  <c r="AA16" i="29"/>
  <c r="I26" i="29"/>
  <c r="Y8" i="29" s="1"/>
  <c r="Z8" i="29" s="1"/>
  <c r="AA23" i="29"/>
  <c r="AA9" i="29"/>
  <c r="AA32" i="29"/>
  <c r="AA38" i="29"/>
  <c r="AA37" i="29"/>
  <c r="AA28" i="29"/>
  <c r="AA34" i="29"/>
  <c r="AA31" i="29"/>
  <c r="AA12" i="29"/>
  <c r="L27" i="29"/>
  <c r="AA14" i="29"/>
  <c r="AA29" i="29"/>
  <c r="AA26" i="29"/>
  <c r="AA33" i="29"/>
  <c r="AA36" i="29"/>
  <c r="AA19" i="29"/>
  <c r="AA22" i="29"/>
  <c r="AA18" i="29"/>
  <c r="AA13" i="29"/>
  <c r="AA6" i="29"/>
  <c r="AA21" i="29"/>
  <c r="AA8" i="29"/>
  <c r="AA27" i="29"/>
  <c r="AA17" i="27"/>
  <c r="AA26" i="27"/>
  <c r="AA7" i="27"/>
  <c r="AA34" i="27"/>
  <c r="J27" i="27"/>
  <c r="M27" i="27" s="1"/>
  <c r="K11" i="27" s="1"/>
  <c r="AA33" i="27"/>
  <c r="AA12" i="27"/>
  <c r="AA13" i="27"/>
  <c r="AA39" i="27"/>
  <c r="AA9" i="27"/>
  <c r="AA28" i="27"/>
  <c r="AA29" i="27"/>
  <c r="AA11" i="27"/>
  <c r="AA31" i="27"/>
  <c r="AA23" i="27"/>
  <c r="AA32" i="27"/>
  <c r="AA22" i="27"/>
  <c r="AA19" i="27"/>
  <c r="AA38" i="27"/>
  <c r="AA36" i="27"/>
  <c r="AA21" i="27"/>
  <c r="AA27" i="27"/>
  <c r="AA14" i="27"/>
  <c r="L27" i="27"/>
  <c r="AA6" i="27"/>
  <c r="AA24" i="27"/>
  <c r="I26" i="27"/>
  <c r="AA18" i="27"/>
  <c r="AA8" i="27"/>
  <c r="AA37" i="27"/>
  <c r="AA16" i="27"/>
  <c r="S7" i="27"/>
  <c r="T7" i="27" s="1"/>
  <c r="U7" i="27" s="1"/>
  <c r="W7" i="27" s="1"/>
  <c r="X7" i="27" s="1"/>
  <c r="S8" i="27"/>
  <c r="T8" i="27" s="1"/>
  <c r="U8" i="27" s="1"/>
  <c r="W8" i="27" s="1"/>
  <c r="X8" i="27" s="1"/>
  <c r="S6" i="27"/>
  <c r="T6" i="27" s="1"/>
  <c r="U6" i="27" s="1"/>
  <c r="W6" i="27" s="1"/>
  <c r="X6" i="27" s="1"/>
  <c r="Y6" i="27" s="1"/>
  <c r="Z6" i="27" s="1"/>
  <c r="AB6" i="27" s="1"/>
  <c r="AC6" i="27" s="1"/>
  <c r="AD6" i="27" s="1"/>
  <c r="S9" i="27"/>
  <c r="T9" i="27" s="1"/>
  <c r="U9" i="27" s="1"/>
  <c r="W9" i="27" s="1"/>
  <c r="X9" i="27" s="1"/>
  <c r="Y9" i="27" s="1"/>
  <c r="Z9" i="27" s="1"/>
  <c r="AB9" i="27" s="1"/>
  <c r="AC9" i="27" s="1"/>
  <c r="AD9" i="27" s="1"/>
  <c r="J19" i="27"/>
  <c r="E204" i="9"/>
  <c r="K206" i="9"/>
  <c r="K211" i="9" s="1"/>
  <c r="F7" i="4" l="1"/>
  <c r="D21" i="4"/>
  <c r="K214" i="9"/>
  <c r="E28" i="5" s="1"/>
  <c r="AB8" i="29"/>
  <c r="AC8" i="29" s="1"/>
  <c r="AD8" i="29" s="1"/>
  <c r="Y6" i="29"/>
  <c r="Z6" i="29" s="1"/>
  <c r="AB6" i="29" s="1"/>
  <c r="AC6" i="29" s="1"/>
  <c r="AD6" i="29" s="1"/>
  <c r="M11" i="27"/>
  <c r="I11" i="27"/>
  <c r="I11" i="29"/>
  <c r="M11" i="29"/>
  <c r="I28" i="27"/>
  <c r="J26" i="27"/>
  <c r="Y8" i="27"/>
  <c r="Z8" i="27" s="1"/>
  <c r="AB8" i="27" s="1"/>
  <c r="AC8" i="27" s="1"/>
  <c r="AD8" i="27" s="1"/>
  <c r="Y7" i="29"/>
  <c r="Z7" i="29" s="1"/>
  <c r="AB7" i="29" s="1"/>
  <c r="AC7" i="29" s="1"/>
  <c r="AD7" i="29" s="1"/>
  <c r="Y7" i="27"/>
  <c r="Z7" i="27" s="1"/>
  <c r="AB7" i="27" s="1"/>
  <c r="AC7" i="27" s="1"/>
  <c r="AD7" i="27" s="1"/>
  <c r="I28" i="29"/>
  <c r="J26" i="29"/>
  <c r="Y9" i="29"/>
  <c r="Z9" i="29" s="1"/>
  <c r="AB9" i="29" s="1"/>
  <c r="AC9" i="29" s="1"/>
  <c r="AD9" i="29" s="1"/>
  <c r="B7" i="7" l="1"/>
  <c r="I7" i="4"/>
  <c r="F21" i="4"/>
  <c r="N28" i="5"/>
  <c r="N61" i="5" s="1"/>
  <c r="N62" i="5" s="1"/>
  <c r="E61" i="5"/>
  <c r="E62" i="5" s="1"/>
  <c r="I21" i="4" l="1"/>
  <c r="K7" i="4"/>
  <c r="K21" i="4" s="1"/>
  <c r="D7" i="7"/>
  <c r="B21" i="7"/>
  <c r="D28" i="4"/>
  <c r="F28" i="4" s="1"/>
  <c r="D21" i="7" l="1"/>
  <c r="N21" i="7" s="1"/>
  <c r="N7" i="7"/>
  <c r="I23" i="7"/>
  <c r="E23" i="7"/>
  <c r="E62" i="7" s="1"/>
  <c r="F23" i="7"/>
  <c r="F62" i="7" s="1"/>
  <c r="G23" i="7"/>
  <c r="G62" i="7" s="1"/>
  <c r="H23" i="7"/>
  <c r="H62" i="7" s="1"/>
  <c r="H54" i="4" s="1"/>
  <c r="I54" i="4" s="1"/>
  <c r="K54" i="4" s="1"/>
  <c r="D61" i="4"/>
  <c r="D62" i="4" s="1"/>
  <c r="D72" i="4" s="1"/>
  <c r="F61" i="4"/>
  <c r="B36" i="7"/>
  <c r="F62" i="4" l="1"/>
  <c r="F72" i="4" s="1"/>
  <c r="F75" i="4"/>
  <c r="C5" i="28"/>
  <c r="I7" i="28" s="1"/>
  <c r="C5" i="26"/>
  <c r="I7" i="26" s="1"/>
  <c r="D23" i="7"/>
  <c r="G36" i="7"/>
  <c r="G69" i="7" s="1"/>
  <c r="G70" i="7" s="1"/>
  <c r="H36" i="7"/>
  <c r="F36" i="7"/>
  <c r="F69" i="7" s="1"/>
  <c r="E36" i="7"/>
  <c r="E69" i="7" s="1"/>
  <c r="I36" i="7"/>
  <c r="I69" i="7" s="1"/>
  <c r="I70" i="7" s="1"/>
  <c r="D36" i="7"/>
  <c r="B69" i="7"/>
  <c r="B70" i="7" s="1"/>
  <c r="D62" i="7" l="1"/>
  <c r="N62" i="7" s="1"/>
  <c r="N23" i="7"/>
  <c r="S8" i="26"/>
  <c r="T8" i="26" s="1"/>
  <c r="U8" i="26" s="1"/>
  <c r="W8" i="26" s="1"/>
  <c r="X8" i="26" s="1"/>
  <c r="Y8" i="26" s="1"/>
  <c r="Z8" i="26" s="1"/>
  <c r="AB8" i="26" s="1"/>
  <c r="AC8" i="26" s="1"/>
  <c r="AD8" i="26" s="1"/>
  <c r="S9" i="26"/>
  <c r="T9" i="26" s="1"/>
  <c r="U9" i="26" s="1"/>
  <c r="W9" i="26" s="1"/>
  <c r="X9" i="26" s="1"/>
  <c r="Y9" i="26" s="1"/>
  <c r="Z9" i="26" s="1"/>
  <c r="AB9" i="26" s="1"/>
  <c r="AC9" i="26" s="1"/>
  <c r="AD9" i="26" s="1"/>
  <c r="S7" i="26"/>
  <c r="T7" i="26" s="1"/>
  <c r="U7" i="26" s="1"/>
  <c r="W7" i="26" s="1"/>
  <c r="X7" i="26" s="1"/>
  <c r="Y7" i="26" s="1"/>
  <c r="Z7" i="26" s="1"/>
  <c r="AB7" i="26" s="1"/>
  <c r="AC7" i="26" s="1"/>
  <c r="AD7" i="26" s="1"/>
  <c r="S6" i="26"/>
  <c r="T6" i="26" s="1"/>
  <c r="U6" i="26" s="1"/>
  <c r="W6" i="26" s="1"/>
  <c r="X6" i="26" s="1"/>
  <c r="Y6" i="26" s="1"/>
  <c r="Z6" i="26" s="1"/>
  <c r="AB6" i="26" s="1"/>
  <c r="AC6" i="26" s="1"/>
  <c r="AD6" i="26" s="1"/>
  <c r="J19" i="26"/>
  <c r="H69" i="7"/>
  <c r="H70" i="7" s="1"/>
  <c r="H28" i="4"/>
  <c r="J19" i="28"/>
  <c r="S6" i="28"/>
  <c r="T6" i="28" s="1"/>
  <c r="U6" i="28" s="1"/>
  <c r="W6" i="28" s="1"/>
  <c r="X6" i="28" s="1"/>
  <c r="Y6" i="28" s="1"/>
  <c r="Z6" i="28" s="1"/>
  <c r="AB6" i="28" s="1"/>
  <c r="AC6" i="28" s="1"/>
  <c r="AD6" i="28" s="1"/>
  <c r="S8" i="28"/>
  <c r="T8" i="28" s="1"/>
  <c r="U8" i="28" s="1"/>
  <c r="W8" i="28" s="1"/>
  <c r="X8" i="28" s="1"/>
  <c r="Y8" i="28" s="1"/>
  <c r="Z8" i="28" s="1"/>
  <c r="AB8" i="28" s="1"/>
  <c r="AC8" i="28" s="1"/>
  <c r="AD8" i="28" s="1"/>
  <c r="S7" i="28"/>
  <c r="T7" i="28" s="1"/>
  <c r="U7" i="28" s="1"/>
  <c r="W7" i="28" s="1"/>
  <c r="X7" i="28" s="1"/>
  <c r="Y7" i="28" s="1"/>
  <c r="Z7" i="28" s="1"/>
  <c r="AB7" i="28" s="1"/>
  <c r="AC7" i="28" s="1"/>
  <c r="AD7" i="28" s="1"/>
  <c r="S9" i="28"/>
  <c r="T9" i="28" s="1"/>
  <c r="U9" i="28" s="1"/>
  <c r="W9" i="28" s="1"/>
  <c r="X9" i="28" s="1"/>
  <c r="Y9" i="28" s="1"/>
  <c r="Z9" i="28" s="1"/>
  <c r="AB9" i="28" s="1"/>
  <c r="AC9" i="28" s="1"/>
  <c r="AD9" i="28" s="1"/>
  <c r="N36" i="7"/>
  <c r="E70" i="7"/>
  <c r="C6" i="29"/>
  <c r="I8" i="29" s="1"/>
  <c r="F70" i="7"/>
  <c r="C6" i="27"/>
  <c r="I8" i="27" s="1"/>
  <c r="D69" i="7" l="1"/>
  <c r="H61" i="4"/>
  <c r="I28" i="4"/>
  <c r="I9" i="27"/>
  <c r="K8" i="27"/>
  <c r="AE8" i="27"/>
  <c r="AF8" i="27" s="1"/>
  <c r="AE7" i="27"/>
  <c r="AF7" i="27" s="1"/>
  <c r="I16" i="27"/>
  <c r="AE6" i="27"/>
  <c r="AF6" i="27" s="1"/>
  <c r="AE9" i="27"/>
  <c r="AF9" i="27" s="1"/>
  <c r="K8" i="29"/>
  <c r="AE7" i="29"/>
  <c r="AF7" i="29" s="1"/>
  <c r="AE9" i="29"/>
  <c r="AF9" i="29" s="1"/>
  <c r="I9" i="29"/>
  <c r="AE6" i="29"/>
  <c r="AF6" i="29" s="1"/>
  <c r="I16" i="29"/>
  <c r="AE8" i="29"/>
  <c r="AF8" i="29" s="1"/>
  <c r="C6" i="26" l="1"/>
  <c r="I8" i="26" s="1"/>
  <c r="D70" i="7"/>
  <c r="N70" i="7" s="1"/>
  <c r="N69" i="7"/>
  <c r="C6" i="28"/>
  <c r="I8" i="28" s="1"/>
  <c r="I61" i="4"/>
  <c r="K28" i="4"/>
  <c r="K61" i="4" s="1"/>
  <c r="H62" i="4"/>
  <c r="H72" i="4" s="1"/>
  <c r="H75" i="4"/>
  <c r="AE9" i="28" l="1"/>
  <c r="AF9" i="28" s="1"/>
  <c r="AE8" i="28"/>
  <c r="AF8" i="28" s="1"/>
  <c r="AE6" i="28"/>
  <c r="AF6" i="28" s="1"/>
  <c r="AE7" i="28"/>
  <c r="AF7" i="28" s="1"/>
  <c r="I16" i="28"/>
  <c r="K8" i="28"/>
  <c r="I9" i="28"/>
  <c r="K8" i="26"/>
  <c r="I9" i="26"/>
  <c r="AE8" i="26"/>
  <c r="AF8" i="26" s="1"/>
  <c r="I16" i="26"/>
  <c r="AE6" i="26"/>
  <c r="AF6" i="26" s="1"/>
  <c r="AE7" i="26"/>
  <c r="AF7" i="26" s="1"/>
  <c r="AE9" i="26"/>
  <c r="AF9" i="26" s="1"/>
  <c r="K75" i="4"/>
  <c r="K62" i="4"/>
  <c r="K72" i="4" s="1"/>
  <c r="I62" i="4"/>
  <c r="I72" i="4" s="1"/>
  <c r="I75" i="4"/>
  <c r="AG6" i="27"/>
  <c r="AH6" i="27"/>
  <c r="AI6" i="27"/>
  <c r="J7" i="27"/>
  <c r="K7" i="27"/>
  <c r="L7" i="27"/>
  <c r="M7" i="27"/>
  <c r="AG7" i="27"/>
  <c r="AH7" i="27"/>
  <c r="AI7" i="27"/>
  <c r="L8" i="27"/>
  <c r="M8" i="27"/>
  <c r="AG8" i="27"/>
  <c r="AH8" i="27"/>
  <c r="AI8" i="27"/>
  <c r="K9" i="27"/>
  <c r="M9" i="27"/>
  <c r="AG9" i="27"/>
  <c r="AH9" i="27"/>
  <c r="AI9" i="27"/>
  <c r="S11" i="27"/>
  <c r="T11" i="27"/>
  <c r="U11" i="27"/>
  <c r="W11" i="27"/>
  <c r="X11" i="27"/>
  <c r="Y11" i="27"/>
  <c r="Z11" i="27"/>
  <c r="AB11" i="27"/>
  <c r="AC11" i="27"/>
  <c r="AD11" i="27"/>
  <c r="AE11" i="27"/>
  <c r="AF11" i="27"/>
  <c r="AG11" i="27"/>
  <c r="AH11" i="27"/>
  <c r="AI11" i="27"/>
  <c r="I12" i="27"/>
  <c r="J12" i="27"/>
  <c r="K12" i="27"/>
  <c r="M12" i="27"/>
  <c r="S12" i="27"/>
  <c r="T12" i="27"/>
  <c r="U12" i="27"/>
  <c r="W12" i="27"/>
  <c r="X12" i="27"/>
  <c r="Y12" i="27"/>
  <c r="Z12" i="27"/>
  <c r="AB12" i="27"/>
  <c r="AC12" i="27"/>
  <c r="AD12" i="27"/>
  <c r="AE12" i="27"/>
  <c r="AF12" i="27"/>
  <c r="AG12" i="27"/>
  <c r="AH12" i="27"/>
  <c r="AI12" i="27"/>
  <c r="S13" i="27"/>
  <c r="T13" i="27"/>
  <c r="U13" i="27"/>
  <c r="W13" i="27"/>
  <c r="X13" i="27"/>
  <c r="Y13" i="27"/>
  <c r="Z13" i="27"/>
  <c r="AB13" i="27"/>
  <c r="AC13" i="27"/>
  <c r="AD13" i="27"/>
  <c r="AE13" i="27"/>
  <c r="AF13" i="27"/>
  <c r="AG13" i="27"/>
  <c r="AH13" i="27"/>
  <c r="AI13" i="27"/>
  <c r="I14" i="27"/>
  <c r="K14" i="27"/>
  <c r="M14" i="27"/>
  <c r="S14" i="27"/>
  <c r="T14" i="27"/>
  <c r="U14" i="27"/>
  <c r="W14" i="27"/>
  <c r="X14" i="27"/>
  <c r="Y14" i="27"/>
  <c r="Z14" i="27"/>
  <c r="AB14" i="27"/>
  <c r="AC14" i="27"/>
  <c r="AD14" i="27"/>
  <c r="AE14" i="27"/>
  <c r="AF14" i="27"/>
  <c r="AG14" i="27"/>
  <c r="AH14" i="27"/>
  <c r="AI14" i="27"/>
  <c r="K16" i="27"/>
  <c r="M16" i="27"/>
  <c r="S16" i="27"/>
  <c r="T16" i="27"/>
  <c r="U16" i="27"/>
  <c r="W16" i="27"/>
  <c r="X16" i="27"/>
  <c r="Y16" i="27"/>
  <c r="Z16" i="27"/>
  <c r="AB16" i="27"/>
  <c r="AC16" i="27"/>
  <c r="AD16" i="27"/>
  <c r="AE16" i="27"/>
  <c r="AF16" i="27"/>
  <c r="AG16" i="27"/>
  <c r="AH16" i="27"/>
  <c r="AI16" i="27"/>
  <c r="S17" i="27"/>
  <c r="T17" i="27"/>
  <c r="U17" i="27"/>
  <c r="W17" i="27"/>
  <c r="X17" i="27"/>
  <c r="Y17" i="27"/>
  <c r="Z17" i="27"/>
  <c r="AB17" i="27"/>
  <c r="AC17" i="27"/>
  <c r="AD17" i="27"/>
  <c r="AE17" i="27"/>
  <c r="AF17" i="27"/>
  <c r="AG17" i="27"/>
  <c r="AH17" i="27"/>
  <c r="AI17" i="27"/>
  <c r="S18" i="27"/>
  <c r="T18" i="27"/>
  <c r="U18" i="27"/>
  <c r="W18" i="27"/>
  <c r="X18" i="27"/>
  <c r="Y18" i="27"/>
  <c r="Z18" i="27"/>
  <c r="AB18" i="27"/>
  <c r="AC18" i="27"/>
  <c r="AD18" i="27"/>
  <c r="AE18" i="27"/>
  <c r="AF18" i="27"/>
  <c r="AG18" i="27"/>
  <c r="AH18" i="27"/>
  <c r="AI18" i="27"/>
  <c r="M19" i="27"/>
  <c r="S19" i="27"/>
  <c r="T19" i="27"/>
  <c r="U19" i="27"/>
  <c r="W19" i="27"/>
  <c r="X19" i="27"/>
  <c r="Y19" i="27"/>
  <c r="Z19" i="27"/>
  <c r="AB19" i="27"/>
  <c r="AC19" i="27"/>
  <c r="AD19" i="27"/>
  <c r="AE19" i="27"/>
  <c r="AF19" i="27"/>
  <c r="AG19" i="27"/>
  <c r="AH19" i="27"/>
  <c r="AI19" i="27"/>
  <c r="J20" i="27"/>
  <c r="M20" i="27"/>
  <c r="J21" i="27"/>
  <c r="M21" i="27"/>
  <c r="S21" i="27"/>
  <c r="T21" i="27"/>
  <c r="U21" i="27"/>
  <c r="W21" i="27"/>
  <c r="X21" i="27"/>
  <c r="Y21" i="27"/>
  <c r="Z21" i="27"/>
  <c r="AB21" i="27"/>
  <c r="AC21" i="27"/>
  <c r="AD21" i="27"/>
  <c r="AE21" i="27"/>
  <c r="AF21" i="27"/>
  <c r="AG21" i="27"/>
  <c r="AH21" i="27"/>
  <c r="AI21" i="27"/>
  <c r="S22" i="27"/>
  <c r="T22" i="27"/>
  <c r="U22" i="27"/>
  <c r="W22" i="27"/>
  <c r="X22" i="27"/>
  <c r="Y22" i="27"/>
  <c r="Z22" i="27"/>
  <c r="AB22" i="27"/>
  <c r="AC22" i="27"/>
  <c r="AD22" i="27"/>
  <c r="AE22" i="27"/>
  <c r="AF22" i="27"/>
  <c r="AG22" i="27"/>
  <c r="AH22" i="27"/>
  <c r="AI22" i="27"/>
  <c r="S23" i="27"/>
  <c r="T23" i="27"/>
  <c r="U23" i="27"/>
  <c r="W23" i="27"/>
  <c r="X23" i="27"/>
  <c r="Y23" i="27"/>
  <c r="Z23" i="27"/>
  <c r="AB23" i="27"/>
  <c r="AC23" i="27"/>
  <c r="AD23" i="27"/>
  <c r="AE23" i="27"/>
  <c r="AF23" i="27"/>
  <c r="AG23" i="27"/>
  <c r="AH23" i="27"/>
  <c r="AI23" i="27"/>
  <c r="S24" i="27"/>
  <c r="T24" i="27"/>
  <c r="U24" i="27"/>
  <c r="W24" i="27"/>
  <c r="X24" i="27"/>
  <c r="Y24" i="27"/>
  <c r="Z24" i="27"/>
  <c r="AB24" i="27"/>
  <c r="AC24" i="27"/>
  <c r="AD24" i="27"/>
  <c r="AE24" i="27"/>
  <c r="AF24" i="27"/>
  <c r="AG24" i="27"/>
  <c r="AH24" i="27"/>
  <c r="AI24" i="27"/>
  <c r="K26" i="27"/>
  <c r="L26" i="27"/>
  <c r="M26" i="27"/>
  <c r="S26" i="27"/>
  <c r="T26" i="27"/>
  <c r="U26" i="27"/>
  <c r="W26" i="27"/>
  <c r="X26" i="27"/>
  <c r="Y26" i="27"/>
  <c r="Z26" i="27"/>
  <c r="AB26" i="27"/>
  <c r="AC26" i="27"/>
  <c r="AD26" i="27"/>
  <c r="AE26" i="27"/>
  <c r="AF26" i="27"/>
  <c r="AG26" i="27"/>
  <c r="AH26" i="27"/>
  <c r="AI26" i="27"/>
  <c r="S27" i="27"/>
  <c r="T27" i="27"/>
  <c r="U27" i="27"/>
  <c r="W27" i="27"/>
  <c r="X27" i="27"/>
  <c r="Y27" i="27"/>
  <c r="Z27" i="27"/>
  <c r="AB27" i="27"/>
  <c r="AC27" i="27"/>
  <c r="AD27" i="27"/>
  <c r="AE27" i="27"/>
  <c r="AF27" i="27"/>
  <c r="AG27" i="27"/>
  <c r="AH27" i="27"/>
  <c r="AI27" i="27"/>
  <c r="L28" i="27"/>
  <c r="M28" i="27"/>
  <c r="S28" i="27"/>
  <c r="T28" i="27"/>
  <c r="U28" i="27"/>
  <c r="W28" i="27"/>
  <c r="X28" i="27"/>
  <c r="Y28" i="27"/>
  <c r="Z28" i="27"/>
  <c r="AB28" i="27"/>
  <c r="AC28" i="27"/>
  <c r="AD28" i="27"/>
  <c r="AE28" i="27"/>
  <c r="AF28" i="27"/>
  <c r="AG28" i="27"/>
  <c r="AH28" i="27"/>
  <c r="AI28" i="27"/>
  <c r="S29" i="27"/>
  <c r="T29" i="27"/>
  <c r="U29" i="27"/>
  <c r="W29" i="27"/>
  <c r="X29" i="27"/>
  <c r="Y29" i="27"/>
  <c r="Z29" i="27"/>
  <c r="AB29" i="27"/>
  <c r="AC29" i="27"/>
  <c r="AD29" i="27"/>
  <c r="AE29" i="27"/>
  <c r="AF29" i="27"/>
  <c r="AG29" i="27"/>
  <c r="AH29" i="27"/>
  <c r="AI29" i="27"/>
  <c r="S31" i="27"/>
  <c r="T31" i="27"/>
  <c r="U31" i="27"/>
  <c r="W31" i="27"/>
  <c r="X31" i="27"/>
  <c r="Y31" i="27"/>
  <c r="Z31" i="27"/>
  <c r="AB31" i="27"/>
  <c r="AC31" i="27"/>
  <c r="AD31" i="27"/>
  <c r="AE31" i="27"/>
  <c r="AF31" i="27"/>
  <c r="AG31" i="27"/>
  <c r="AH31" i="27"/>
  <c r="AI31" i="27"/>
  <c r="S32" i="27"/>
  <c r="T32" i="27"/>
  <c r="U32" i="27"/>
  <c r="W32" i="27"/>
  <c r="X32" i="27"/>
  <c r="Y32" i="27"/>
  <c r="Z32" i="27"/>
  <c r="AB32" i="27"/>
  <c r="AC32" i="27"/>
  <c r="AD32" i="27"/>
  <c r="AE32" i="27"/>
  <c r="AF32" i="27"/>
  <c r="AG32" i="27"/>
  <c r="AH32" i="27"/>
  <c r="AI32" i="27"/>
  <c r="J33" i="27"/>
  <c r="K33" i="27"/>
  <c r="S33" i="27"/>
  <c r="T33" i="27"/>
  <c r="U33" i="27"/>
  <c r="W33" i="27"/>
  <c r="X33" i="27"/>
  <c r="Y33" i="27"/>
  <c r="Z33" i="27"/>
  <c r="AB33" i="27"/>
  <c r="AC33" i="27"/>
  <c r="AD33" i="27"/>
  <c r="AE33" i="27"/>
  <c r="AF33" i="27"/>
  <c r="AG33" i="27"/>
  <c r="AH33" i="27"/>
  <c r="AI33" i="27"/>
  <c r="J34" i="27"/>
  <c r="K34" i="27"/>
  <c r="S34" i="27"/>
  <c r="T34" i="27"/>
  <c r="U34" i="27"/>
  <c r="W34" i="27"/>
  <c r="X34" i="27"/>
  <c r="Y34" i="27"/>
  <c r="Z34" i="27"/>
  <c r="AB34" i="27"/>
  <c r="AC34" i="27"/>
  <c r="AD34" i="27"/>
  <c r="AE34" i="27"/>
  <c r="AF34" i="27"/>
  <c r="AG34" i="27"/>
  <c r="AH34" i="27"/>
  <c r="AI34" i="27"/>
  <c r="J35" i="27"/>
  <c r="K35" i="27"/>
  <c r="J36" i="27"/>
  <c r="K36" i="27"/>
  <c r="S36" i="27"/>
  <c r="T36" i="27"/>
  <c r="U36" i="27"/>
  <c r="W36" i="27"/>
  <c r="X36" i="27"/>
  <c r="Y36" i="27"/>
  <c r="Z36" i="27"/>
  <c r="AB36" i="27"/>
  <c r="AC36" i="27"/>
  <c r="AD36" i="27"/>
  <c r="AE36" i="27"/>
  <c r="AF36" i="27"/>
  <c r="AG36" i="27"/>
  <c r="AH36" i="27"/>
  <c r="AI36" i="27"/>
  <c r="J37" i="27"/>
  <c r="K37" i="27"/>
  <c r="S37" i="27"/>
  <c r="T37" i="27"/>
  <c r="U37" i="27"/>
  <c r="W37" i="27"/>
  <c r="X37" i="27"/>
  <c r="Y37" i="27"/>
  <c r="Z37" i="27"/>
  <c r="AB37" i="27"/>
  <c r="AC37" i="27"/>
  <c r="AD37" i="27"/>
  <c r="AE37" i="27"/>
  <c r="AF37" i="27"/>
  <c r="AG37" i="27"/>
  <c r="AH37" i="27"/>
  <c r="AI37" i="27"/>
  <c r="S38" i="27"/>
  <c r="T38" i="27"/>
  <c r="U38" i="27"/>
  <c r="W38" i="27"/>
  <c r="X38" i="27"/>
  <c r="Y38" i="27"/>
  <c r="Z38" i="27"/>
  <c r="AB38" i="27"/>
  <c r="AC38" i="27"/>
  <c r="AD38" i="27"/>
  <c r="AE38" i="27"/>
  <c r="AF38" i="27"/>
  <c r="AG38" i="27"/>
  <c r="AH38" i="27"/>
  <c r="AI38" i="27"/>
  <c r="S39" i="27"/>
  <c r="T39" i="27"/>
  <c r="U39" i="27"/>
  <c r="W39" i="27"/>
  <c r="X39" i="27"/>
  <c r="Y39" i="27"/>
  <c r="Z39" i="27"/>
  <c r="AB39" i="27"/>
  <c r="AC39" i="27"/>
  <c r="AD39" i="27"/>
  <c r="AE39" i="27"/>
  <c r="AF39" i="27"/>
  <c r="AG39" i="27"/>
  <c r="AH39" i="27"/>
  <c r="AI39" i="27"/>
  <c r="K43" i="27"/>
  <c r="V43" i="27"/>
  <c r="K44" i="27"/>
  <c r="V44" i="27"/>
  <c r="K45" i="27"/>
  <c r="V45" i="27"/>
  <c r="K46" i="27"/>
  <c r="K47" i="27"/>
  <c r="R48" i="27"/>
  <c r="J49" i="27"/>
  <c r="R49" i="27"/>
  <c r="R51" i="27"/>
  <c r="Y63" i="27"/>
  <c r="Z63" i="27"/>
  <c r="Y64" i="27"/>
  <c r="Z64" i="27"/>
  <c r="Y65" i="27"/>
  <c r="Z65" i="27"/>
  <c r="Y66" i="27"/>
  <c r="Z66" i="27"/>
  <c r="Y67" i="27"/>
  <c r="Z67" i="27"/>
  <c r="AG6" i="26"/>
  <c r="AH6" i="26"/>
  <c r="AI6" i="26"/>
  <c r="J7" i="26"/>
  <c r="K7" i="26"/>
  <c r="L7" i="26"/>
  <c r="M7" i="26"/>
  <c r="AG7" i="26"/>
  <c r="AH7" i="26"/>
  <c r="AI7" i="26"/>
  <c r="L8" i="26"/>
  <c r="M8" i="26"/>
  <c r="AG8" i="26"/>
  <c r="AH8" i="26"/>
  <c r="AI8" i="26"/>
  <c r="K9" i="26"/>
  <c r="M9" i="26"/>
  <c r="AG9" i="26"/>
  <c r="AH9" i="26"/>
  <c r="AI9" i="26"/>
  <c r="S11" i="26"/>
  <c r="T11" i="26"/>
  <c r="U11" i="26"/>
  <c r="W11" i="26"/>
  <c r="X11" i="26"/>
  <c r="Y11" i="26"/>
  <c r="Z11" i="26"/>
  <c r="AB11" i="26"/>
  <c r="AC11" i="26"/>
  <c r="AD11" i="26"/>
  <c r="AE11" i="26"/>
  <c r="AF11" i="26"/>
  <c r="AG11" i="26"/>
  <c r="AH11" i="26"/>
  <c r="AI11" i="26"/>
  <c r="I12" i="26"/>
  <c r="J12" i="26"/>
  <c r="K12" i="26"/>
  <c r="M12" i="26"/>
  <c r="S12" i="26"/>
  <c r="T12" i="26"/>
  <c r="U12" i="26"/>
  <c r="W12" i="26"/>
  <c r="X12" i="26"/>
  <c r="Y12" i="26"/>
  <c r="Z12" i="26"/>
  <c r="AB12" i="26"/>
  <c r="AC12" i="26"/>
  <c r="AD12" i="26"/>
  <c r="AE12" i="26"/>
  <c r="AF12" i="26"/>
  <c r="AG12" i="26"/>
  <c r="AH12" i="26"/>
  <c r="AI12" i="26"/>
  <c r="S13" i="26"/>
  <c r="T13" i="26"/>
  <c r="U13" i="26"/>
  <c r="W13" i="26"/>
  <c r="X13" i="26"/>
  <c r="Y13" i="26"/>
  <c r="Z13" i="26"/>
  <c r="AB13" i="26"/>
  <c r="AC13" i="26"/>
  <c r="AD13" i="26"/>
  <c r="AE13" i="26"/>
  <c r="AF13" i="26"/>
  <c r="AG13" i="26"/>
  <c r="AH13" i="26"/>
  <c r="AI13" i="26"/>
  <c r="I14" i="26"/>
  <c r="K14" i="26"/>
  <c r="M14" i="26"/>
  <c r="S14" i="26"/>
  <c r="T14" i="26"/>
  <c r="U14" i="26"/>
  <c r="W14" i="26"/>
  <c r="X14" i="26"/>
  <c r="Y14" i="26"/>
  <c r="Z14" i="26"/>
  <c r="AB14" i="26"/>
  <c r="AC14" i="26"/>
  <c r="AD14" i="26"/>
  <c r="AE14" i="26"/>
  <c r="AF14" i="26"/>
  <c r="AG14" i="26"/>
  <c r="AH14" i="26"/>
  <c r="AI14" i="26"/>
  <c r="K16" i="26"/>
  <c r="M16" i="26"/>
  <c r="S16" i="26"/>
  <c r="T16" i="26"/>
  <c r="U16" i="26"/>
  <c r="W16" i="26"/>
  <c r="X16" i="26"/>
  <c r="Y16" i="26"/>
  <c r="Z16" i="26"/>
  <c r="AB16" i="26"/>
  <c r="AC16" i="26"/>
  <c r="AD16" i="26"/>
  <c r="AE16" i="26"/>
  <c r="AF16" i="26"/>
  <c r="AG16" i="26"/>
  <c r="AH16" i="26"/>
  <c r="AI16" i="26"/>
  <c r="S17" i="26"/>
  <c r="T17" i="26"/>
  <c r="U17" i="26"/>
  <c r="W17" i="26"/>
  <c r="X17" i="26"/>
  <c r="Y17" i="26"/>
  <c r="Z17" i="26"/>
  <c r="AB17" i="26"/>
  <c r="AC17" i="26"/>
  <c r="AD17" i="26"/>
  <c r="AE17" i="26"/>
  <c r="AF17" i="26"/>
  <c r="AG17" i="26"/>
  <c r="AH17" i="26"/>
  <c r="AI17" i="26"/>
  <c r="S18" i="26"/>
  <c r="T18" i="26"/>
  <c r="U18" i="26"/>
  <c r="W18" i="26"/>
  <c r="X18" i="26"/>
  <c r="Y18" i="26"/>
  <c r="Z18" i="26"/>
  <c r="AB18" i="26"/>
  <c r="AC18" i="26"/>
  <c r="AD18" i="26"/>
  <c r="AE18" i="26"/>
  <c r="AF18" i="26"/>
  <c r="AG18" i="26"/>
  <c r="AH18" i="26"/>
  <c r="AI18" i="26"/>
  <c r="M19" i="26"/>
  <c r="S19" i="26"/>
  <c r="T19" i="26"/>
  <c r="U19" i="26"/>
  <c r="W19" i="26"/>
  <c r="X19" i="26"/>
  <c r="Y19" i="26"/>
  <c r="Z19" i="26"/>
  <c r="AB19" i="26"/>
  <c r="AC19" i="26"/>
  <c r="AD19" i="26"/>
  <c r="AE19" i="26"/>
  <c r="AF19" i="26"/>
  <c r="AG19" i="26"/>
  <c r="AH19" i="26"/>
  <c r="AI19" i="26"/>
  <c r="J20" i="26"/>
  <c r="M20" i="26"/>
  <c r="J21" i="26"/>
  <c r="M21" i="26"/>
  <c r="S21" i="26"/>
  <c r="T21" i="26"/>
  <c r="U21" i="26"/>
  <c r="W21" i="26"/>
  <c r="X21" i="26"/>
  <c r="Y21" i="26"/>
  <c r="Z21" i="26"/>
  <c r="AB21" i="26"/>
  <c r="AC21" i="26"/>
  <c r="AD21" i="26"/>
  <c r="AE21" i="26"/>
  <c r="AF21" i="26"/>
  <c r="AG21" i="26"/>
  <c r="AH21" i="26"/>
  <c r="AI21" i="26"/>
  <c r="S22" i="26"/>
  <c r="T22" i="26"/>
  <c r="U22" i="26"/>
  <c r="W22" i="26"/>
  <c r="X22" i="26"/>
  <c r="Y22" i="26"/>
  <c r="Z22" i="26"/>
  <c r="AB22" i="26"/>
  <c r="AC22" i="26"/>
  <c r="AD22" i="26"/>
  <c r="AE22" i="26"/>
  <c r="AF22" i="26"/>
  <c r="AG22" i="26"/>
  <c r="AH22" i="26"/>
  <c r="AI22" i="26"/>
  <c r="S23" i="26"/>
  <c r="T23" i="26"/>
  <c r="U23" i="26"/>
  <c r="W23" i="26"/>
  <c r="X23" i="26"/>
  <c r="Y23" i="26"/>
  <c r="Z23" i="26"/>
  <c r="AB23" i="26"/>
  <c r="AC23" i="26"/>
  <c r="AD23" i="26"/>
  <c r="AE23" i="26"/>
  <c r="AF23" i="26"/>
  <c r="AG23" i="26"/>
  <c r="AH23" i="26"/>
  <c r="AI23" i="26"/>
  <c r="S24" i="26"/>
  <c r="T24" i="26"/>
  <c r="U24" i="26"/>
  <c r="W24" i="26"/>
  <c r="X24" i="26"/>
  <c r="Y24" i="26"/>
  <c r="Z24" i="26"/>
  <c r="AB24" i="26"/>
  <c r="AC24" i="26"/>
  <c r="AD24" i="26"/>
  <c r="AE24" i="26"/>
  <c r="AF24" i="26"/>
  <c r="AG24" i="26"/>
  <c r="AH24" i="26"/>
  <c r="AI24" i="26"/>
  <c r="K26" i="26"/>
  <c r="L26" i="26"/>
  <c r="M26" i="26"/>
  <c r="S26" i="26"/>
  <c r="T26" i="26"/>
  <c r="U26" i="26"/>
  <c r="W26" i="26"/>
  <c r="X26" i="26"/>
  <c r="Y26" i="26"/>
  <c r="Z26" i="26"/>
  <c r="AB26" i="26"/>
  <c r="AC26" i="26"/>
  <c r="AD26" i="26"/>
  <c r="AE26" i="26"/>
  <c r="AF26" i="26"/>
  <c r="AG26" i="26"/>
  <c r="AH26" i="26"/>
  <c r="AI26" i="26"/>
  <c r="S27" i="26"/>
  <c r="T27" i="26"/>
  <c r="U27" i="26"/>
  <c r="W27" i="26"/>
  <c r="X27" i="26"/>
  <c r="Y27" i="26"/>
  <c r="Z27" i="26"/>
  <c r="AB27" i="26"/>
  <c r="AC27" i="26"/>
  <c r="AD27" i="26"/>
  <c r="AE27" i="26"/>
  <c r="AF27" i="26"/>
  <c r="AG27" i="26"/>
  <c r="AH27" i="26"/>
  <c r="AI27" i="26"/>
  <c r="L28" i="26"/>
  <c r="M28" i="26"/>
  <c r="S28" i="26"/>
  <c r="T28" i="26"/>
  <c r="U28" i="26"/>
  <c r="W28" i="26"/>
  <c r="X28" i="26"/>
  <c r="Y28" i="26"/>
  <c r="Z28" i="26"/>
  <c r="AB28" i="26"/>
  <c r="AC28" i="26"/>
  <c r="AD28" i="26"/>
  <c r="AE28" i="26"/>
  <c r="AF28" i="26"/>
  <c r="AG28" i="26"/>
  <c r="AH28" i="26"/>
  <c r="AI28" i="26"/>
  <c r="S29" i="26"/>
  <c r="T29" i="26"/>
  <c r="U29" i="26"/>
  <c r="W29" i="26"/>
  <c r="X29" i="26"/>
  <c r="Y29" i="26"/>
  <c r="Z29" i="26"/>
  <c r="AB29" i="26"/>
  <c r="AC29" i="26"/>
  <c r="AD29" i="26"/>
  <c r="AE29" i="26"/>
  <c r="AF29" i="26"/>
  <c r="AG29" i="26"/>
  <c r="AH29" i="26"/>
  <c r="AI29" i="26"/>
  <c r="S31" i="26"/>
  <c r="T31" i="26"/>
  <c r="U31" i="26"/>
  <c r="W31" i="26"/>
  <c r="X31" i="26"/>
  <c r="Y31" i="26"/>
  <c r="Z31" i="26"/>
  <c r="AB31" i="26"/>
  <c r="AC31" i="26"/>
  <c r="AD31" i="26"/>
  <c r="AE31" i="26"/>
  <c r="AF31" i="26"/>
  <c r="AG31" i="26"/>
  <c r="AH31" i="26"/>
  <c r="AI31" i="26"/>
  <c r="S32" i="26"/>
  <c r="T32" i="26"/>
  <c r="U32" i="26"/>
  <c r="W32" i="26"/>
  <c r="X32" i="26"/>
  <c r="Y32" i="26"/>
  <c r="Z32" i="26"/>
  <c r="AB32" i="26"/>
  <c r="AC32" i="26"/>
  <c r="AD32" i="26"/>
  <c r="AE32" i="26"/>
  <c r="AF32" i="26"/>
  <c r="AG32" i="26"/>
  <c r="AH32" i="26"/>
  <c r="AI32" i="26"/>
  <c r="J33" i="26"/>
  <c r="K33" i="26"/>
  <c r="S33" i="26"/>
  <c r="T33" i="26"/>
  <c r="U33" i="26"/>
  <c r="W33" i="26"/>
  <c r="X33" i="26"/>
  <c r="Y33" i="26"/>
  <c r="Z33" i="26"/>
  <c r="AB33" i="26"/>
  <c r="AC33" i="26"/>
  <c r="AD33" i="26"/>
  <c r="AE33" i="26"/>
  <c r="AF33" i="26"/>
  <c r="AG33" i="26"/>
  <c r="AH33" i="26"/>
  <c r="AI33" i="26"/>
  <c r="J34" i="26"/>
  <c r="K34" i="26"/>
  <c r="S34" i="26"/>
  <c r="T34" i="26"/>
  <c r="U34" i="26"/>
  <c r="W34" i="26"/>
  <c r="X34" i="26"/>
  <c r="Y34" i="26"/>
  <c r="Z34" i="26"/>
  <c r="AB34" i="26"/>
  <c r="AC34" i="26"/>
  <c r="AD34" i="26"/>
  <c r="AE34" i="26"/>
  <c r="AF34" i="26"/>
  <c r="AG34" i="26"/>
  <c r="AH34" i="26"/>
  <c r="AI34" i="26"/>
  <c r="J35" i="26"/>
  <c r="K35" i="26"/>
  <c r="J36" i="26"/>
  <c r="K36" i="26"/>
  <c r="S36" i="26"/>
  <c r="T36" i="26"/>
  <c r="U36" i="26"/>
  <c r="W36" i="26"/>
  <c r="X36" i="26"/>
  <c r="Y36" i="26"/>
  <c r="Z36" i="26"/>
  <c r="AB36" i="26"/>
  <c r="AC36" i="26"/>
  <c r="AD36" i="26"/>
  <c r="AE36" i="26"/>
  <c r="AF36" i="26"/>
  <c r="AG36" i="26"/>
  <c r="AH36" i="26"/>
  <c r="AI36" i="26"/>
  <c r="J37" i="26"/>
  <c r="K37" i="26"/>
  <c r="S37" i="26"/>
  <c r="T37" i="26"/>
  <c r="U37" i="26"/>
  <c r="W37" i="26"/>
  <c r="X37" i="26"/>
  <c r="Y37" i="26"/>
  <c r="Z37" i="26"/>
  <c r="AB37" i="26"/>
  <c r="AC37" i="26"/>
  <c r="AD37" i="26"/>
  <c r="AE37" i="26"/>
  <c r="AF37" i="26"/>
  <c r="AG37" i="26"/>
  <c r="AH37" i="26"/>
  <c r="AI37" i="26"/>
  <c r="S38" i="26"/>
  <c r="T38" i="26"/>
  <c r="U38" i="26"/>
  <c r="W38" i="26"/>
  <c r="X38" i="26"/>
  <c r="Y38" i="26"/>
  <c r="Z38" i="26"/>
  <c r="AB38" i="26"/>
  <c r="AC38" i="26"/>
  <c r="AD38" i="26"/>
  <c r="AE38" i="26"/>
  <c r="AF38" i="26"/>
  <c r="AG38" i="26"/>
  <c r="AH38" i="26"/>
  <c r="AI38" i="26"/>
  <c r="S39" i="26"/>
  <c r="T39" i="26"/>
  <c r="U39" i="26"/>
  <c r="W39" i="26"/>
  <c r="X39" i="26"/>
  <c r="Y39" i="26"/>
  <c r="Z39" i="26"/>
  <c r="AB39" i="26"/>
  <c r="AC39" i="26"/>
  <c r="AD39" i="26"/>
  <c r="AE39" i="26"/>
  <c r="AF39" i="26"/>
  <c r="AG39" i="26"/>
  <c r="AH39" i="26"/>
  <c r="AI39" i="26"/>
  <c r="K43" i="26"/>
  <c r="V43" i="26"/>
  <c r="K44" i="26"/>
  <c r="V44" i="26"/>
  <c r="K45" i="26"/>
  <c r="V45" i="26"/>
  <c r="K46" i="26"/>
  <c r="K47" i="26"/>
  <c r="R48" i="26"/>
  <c r="J49" i="26"/>
  <c r="R49" i="26"/>
  <c r="R51" i="26"/>
  <c r="Y63" i="26"/>
  <c r="Z63" i="26"/>
  <c r="Y64" i="26"/>
  <c r="Z64" i="26"/>
  <c r="Y65" i="26"/>
  <c r="Z65" i="26"/>
  <c r="Y66" i="26"/>
  <c r="Z66" i="26"/>
  <c r="Y67" i="26"/>
  <c r="Z67" i="26"/>
  <c r="AG6" i="29"/>
  <c r="AH6" i="29"/>
  <c r="AI6" i="29"/>
  <c r="J7" i="29"/>
  <c r="K7" i="29"/>
  <c r="L7" i="29"/>
  <c r="M7" i="29"/>
  <c r="AG7" i="29"/>
  <c r="AH7" i="29"/>
  <c r="AI7" i="29"/>
  <c r="L8" i="29"/>
  <c r="M8" i="29"/>
  <c r="AG8" i="29"/>
  <c r="AH8" i="29"/>
  <c r="AI8" i="29"/>
  <c r="K9" i="29"/>
  <c r="M9" i="29"/>
  <c r="AG9" i="29"/>
  <c r="AH9" i="29"/>
  <c r="AI9" i="29"/>
  <c r="S11" i="29"/>
  <c r="T11" i="29"/>
  <c r="U11" i="29"/>
  <c r="W11" i="29"/>
  <c r="X11" i="29"/>
  <c r="Y11" i="29"/>
  <c r="Z11" i="29"/>
  <c r="AB11" i="29"/>
  <c r="AC11" i="29"/>
  <c r="AD11" i="29"/>
  <c r="AE11" i="29"/>
  <c r="AF11" i="29"/>
  <c r="AG11" i="29"/>
  <c r="AH11" i="29"/>
  <c r="AI11" i="29"/>
  <c r="I12" i="29"/>
  <c r="J12" i="29"/>
  <c r="K12" i="29"/>
  <c r="M12" i="29"/>
  <c r="S12" i="29"/>
  <c r="T12" i="29"/>
  <c r="U12" i="29"/>
  <c r="W12" i="29"/>
  <c r="X12" i="29"/>
  <c r="Y12" i="29"/>
  <c r="Z12" i="29"/>
  <c r="AB12" i="29"/>
  <c r="AC12" i="29"/>
  <c r="AD12" i="29"/>
  <c r="AE12" i="29"/>
  <c r="AF12" i="29"/>
  <c r="AG12" i="29"/>
  <c r="AH12" i="29"/>
  <c r="AI12" i="29"/>
  <c r="S13" i="29"/>
  <c r="T13" i="29"/>
  <c r="U13" i="29"/>
  <c r="W13" i="29"/>
  <c r="X13" i="29"/>
  <c r="Y13" i="29"/>
  <c r="Z13" i="29"/>
  <c r="AB13" i="29"/>
  <c r="AC13" i="29"/>
  <c r="AD13" i="29"/>
  <c r="AE13" i="29"/>
  <c r="AF13" i="29"/>
  <c r="AG13" i="29"/>
  <c r="AH13" i="29"/>
  <c r="AI13" i="29"/>
  <c r="I14" i="29"/>
  <c r="K14" i="29"/>
  <c r="M14" i="29"/>
  <c r="S14" i="29"/>
  <c r="T14" i="29"/>
  <c r="U14" i="29"/>
  <c r="W14" i="29"/>
  <c r="X14" i="29"/>
  <c r="Y14" i="29"/>
  <c r="Z14" i="29"/>
  <c r="AB14" i="29"/>
  <c r="AC14" i="29"/>
  <c r="AD14" i="29"/>
  <c r="AE14" i="29"/>
  <c r="AF14" i="29"/>
  <c r="AG14" i="29"/>
  <c r="AH14" i="29"/>
  <c r="AI14" i="29"/>
  <c r="K16" i="29"/>
  <c r="M16" i="29"/>
  <c r="S16" i="29"/>
  <c r="T16" i="29"/>
  <c r="U16" i="29"/>
  <c r="W16" i="29"/>
  <c r="X16" i="29"/>
  <c r="Y16" i="29"/>
  <c r="Z16" i="29"/>
  <c r="AB16" i="29"/>
  <c r="AC16" i="29"/>
  <c r="AD16" i="29"/>
  <c r="AE16" i="29"/>
  <c r="AF16" i="29"/>
  <c r="AG16" i="29"/>
  <c r="AH16" i="29"/>
  <c r="AI16" i="29"/>
  <c r="S17" i="29"/>
  <c r="T17" i="29"/>
  <c r="U17" i="29"/>
  <c r="W17" i="29"/>
  <c r="X17" i="29"/>
  <c r="Y17" i="29"/>
  <c r="Z17" i="29"/>
  <c r="AB17" i="29"/>
  <c r="AC17" i="29"/>
  <c r="AD17" i="29"/>
  <c r="AE17" i="29"/>
  <c r="AF17" i="29"/>
  <c r="AG17" i="29"/>
  <c r="AH17" i="29"/>
  <c r="AI17" i="29"/>
  <c r="S18" i="29"/>
  <c r="T18" i="29"/>
  <c r="U18" i="29"/>
  <c r="W18" i="29"/>
  <c r="X18" i="29"/>
  <c r="Y18" i="29"/>
  <c r="Z18" i="29"/>
  <c r="AB18" i="29"/>
  <c r="AC18" i="29"/>
  <c r="AD18" i="29"/>
  <c r="AE18" i="29"/>
  <c r="AF18" i="29"/>
  <c r="AG18" i="29"/>
  <c r="AH18" i="29"/>
  <c r="AI18" i="29"/>
  <c r="M19" i="29"/>
  <c r="S19" i="29"/>
  <c r="T19" i="29"/>
  <c r="U19" i="29"/>
  <c r="W19" i="29"/>
  <c r="X19" i="29"/>
  <c r="Y19" i="29"/>
  <c r="Z19" i="29"/>
  <c r="AB19" i="29"/>
  <c r="AC19" i="29"/>
  <c r="AD19" i="29"/>
  <c r="AE19" i="29"/>
  <c r="AF19" i="29"/>
  <c r="AG19" i="29"/>
  <c r="AH19" i="29"/>
  <c r="AI19" i="29"/>
  <c r="J20" i="29"/>
  <c r="M20" i="29"/>
  <c r="J21" i="29"/>
  <c r="M21" i="29"/>
  <c r="S21" i="29"/>
  <c r="T21" i="29"/>
  <c r="U21" i="29"/>
  <c r="W21" i="29"/>
  <c r="X21" i="29"/>
  <c r="Y21" i="29"/>
  <c r="Z21" i="29"/>
  <c r="AB21" i="29"/>
  <c r="AC21" i="29"/>
  <c r="AD21" i="29"/>
  <c r="AE21" i="29"/>
  <c r="AF21" i="29"/>
  <c r="AG21" i="29"/>
  <c r="AH21" i="29"/>
  <c r="AI21" i="29"/>
  <c r="S22" i="29"/>
  <c r="T22" i="29"/>
  <c r="U22" i="29"/>
  <c r="W22" i="29"/>
  <c r="X22" i="29"/>
  <c r="Y22" i="29"/>
  <c r="Z22" i="29"/>
  <c r="AB22" i="29"/>
  <c r="AC22" i="29"/>
  <c r="AD22" i="29"/>
  <c r="AE22" i="29"/>
  <c r="AF22" i="29"/>
  <c r="AG22" i="29"/>
  <c r="AH22" i="29"/>
  <c r="AI22" i="29"/>
  <c r="S23" i="29"/>
  <c r="T23" i="29"/>
  <c r="U23" i="29"/>
  <c r="W23" i="29"/>
  <c r="X23" i="29"/>
  <c r="Y23" i="29"/>
  <c r="Z23" i="29"/>
  <c r="AB23" i="29"/>
  <c r="AC23" i="29"/>
  <c r="AD23" i="29"/>
  <c r="AE23" i="29"/>
  <c r="AF23" i="29"/>
  <c r="AG23" i="29"/>
  <c r="AH23" i="29"/>
  <c r="AI23" i="29"/>
  <c r="S24" i="29"/>
  <c r="T24" i="29"/>
  <c r="U24" i="29"/>
  <c r="W24" i="29"/>
  <c r="X24" i="29"/>
  <c r="Y24" i="29"/>
  <c r="Z24" i="29"/>
  <c r="AB24" i="29"/>
  <c r="AC24" i="29"/>
  <c r="AD24" i="29"/>
  <c r="AE24" i="29"/>
  <c r="AF24" i="29"/>
  <c r="AG24" i="29"/>
  <c r="AH24" i="29"/>
  <c r="AI24" i="29"/>
  <c r="K26" i="29"/>
  <c r="L26" i="29"/>
  <c r="M26" i="29"/>
  <c r="S26" i="29"/>
  <c r="T26" i="29"/>
  <c r="U26" i="29"/>
  <c r="W26" i="29"/>
  <c r="X26" i="29"/>
  <c r="Y26" i="29"/>
  <c r="Z26" i="29"/>
  <c r="AB26" i="29"/>
  <c r="AC26" i="29"/>
  <c r="AD26" i="29"/>
  <c r="AE26" i="29"/>
  <c r="AF26" i="29"/>
  <c r="AG26" i="29"/>
  <c r="AH26" i="29"/>
  <c r="AI26" i="29"/>
  <c r="S27" i="29"/>
  <c r="T27" i="29"/>
  <c r="U27" i="29"/>
  <c r="W27" i="29"/>
  <c r="X27" i="29"/>
  <c r="Y27" i="29"/>
  <c r="Z27" i="29"/>
  <c r="AB27" i="29"/>
  <c r="AC27" i="29"/>
  <c r="AD27" i="29"/>
  <c r="AE27" i="29"/>
  <c r="AF27" i="29"/>
  <c r="AG27" i="29"/>
  <c r="AH27" i="29"/>
  <c r="AI27" i="29"/>
  <c r="L28" i="29"/>
  <c r="M28" i="29"/>
  <c r="S28" i="29"/>
  <c r="T28" i="29"/>
  <c r="U28" i="29"/>
  <c r="W28" i="29"/>
  <c r="X28" i="29"/>
  <c r="Y28" i="29"/>
  <c r="Z28" i="29"/>
  <c r="AB28" i="29"/>
  <c r="AC28" i="29"/>
  <c r="AD28" i="29"/>
  <c r="AE28" i="29"/>
  <c r="AF28" i="29"/>
  <c r="AG28" i="29"/>
  <c r="AH28" i="29"/>
  <c r="AI28" i="29"/>
  <c r="S29" i="29"/>
  <c r="T29" i="29"/>
  <c r="U29" i="29"/>
  <c r="W29" i="29"/>
  <c r="X29" i="29"/>
  <c r="Y29" i="29"/>
  <c r="Z29" i="29"/>
  <c r="AB29" i="29"/>
  <c r="AC29" i="29"/>
  <c r="AD29" i="29"/>
  <c r="AE29" i="29"/>
  <c r="AF29" i="29"/>
  <c r="AG29" i="29"/>
  <c r="AH29" i="29"/>
  <c r="AI29" i="29"/>
  <c r="S31" i="29"/>
  <c r="T31" i="29"/>
  <c r="U31" i="29"/>
  <c r="W31" i="29"/>
  <c r="X31" i="29"/>
  <c r="Y31" i="29"/>
  <c r="Z31" i="29"/>
  <c r="AB31" i="29"/>
  <c r="AC31" i="29"/>
  <c r="AD31" i="29"/>
  <c r="AE31" i="29"/>
  <c r="AF31" i="29"/>
  <c r="AG31" i="29"/>
  <c r="AH31" i="29"/>
  <c r="AI31" i="29"/>
  <c r="S32" i="29"/>
  <c r="T32" i="29"/>
  <c r="U32" i="29"/>
  <c r="W32" i="29"/>
  <c r="X32" i="29"/>
  <c r="Y32" i="29"/>
  <c r="Z32" i="29"/>
  <c r="AB32" i="29"/>
  <c r="AC32" i="29"/>
  <c r="AD32" i="29"/>
  <c r="AE32" i="29"/>
  <c r="AF32" i="29"/>
  <c r="AG32" i="29"/>
  <c r="AH32" i="29"/>
  <c r="AI32" i="29"/>
  <c r="J33" i="29"/>
  <c r="K33" i="29"/>
  <c r="S33" i="29"/>
  <c r="T33" i="29"/>
  <c r="U33" i="29"/>
  <c r="W33" i="29"/>
  <c r="X33" i="29"/>
  <c r="Y33" i="29"/>
  <c r="Z33" i="29"/>
  <c r="AB33" i="29"/>
  <c r="AC33" i="29"/>
  <c r="AD33" i="29"/>
  <c r="AE33" i="29"/>
  <c r="AF33" i="29"/>
  <c r="AG33" i="29"/>
  <c r="AH33" i="29"/>
  <c r="AI33" i="29"/>
  <c r="J34" i="29"/>
  <c r="K34" i="29"/>
  <c r="S34" i="29"/>
  <c r="T34" i="29"/>
  <c r="U34" i="29"/>
  <c r="W34" i="29"/>
  <c r="X34" i="29"/>
  <c r="Y34" i="29"/>
  <c r="Z34" i="29"/>
  <c r="AB34" i="29"/>
  <c r="AC34" i="29"/>
  <c r="AD34" i="29"/>
  <c r="AE34" i="29"/>
  <c r="AF34" i="29"/>
  <c r="AG34" i="29"/>
  <c r="AH34" i="29"/>
  <c r="AI34" i="29"/>
  <c r="J35" i="29"/>
  <c r="K35" i="29"/>
  <c r="J36" i="29"/>
  <c r="K36" i="29"/>
  <c r="S36" i="29"/>
  <c r="T36" i="29"/>
  <c r="U36" i="29"/>
  <c r="W36" i="29"/>
  <c r="X36" i="29"/>
  <c r="Y36" i="29"/>
  <c r="Z36" i="29"/>
  <c r="AB36" i="29"/>
  <c r="AC36" i="29"/>
  <c r="AD36" i="29"/>
  <c r="AE36" i="29"/>
  <c r="AF36" i="29"/>
  <c r="AG36" i="29"/>
  <c r="AH36" i="29"/>
  <c r="AI36" i="29"/>
  <c r="J37" i="29"/>
  <c r="K37" i="29"/>
  <c r="S37" i="29"/>
  <c r="T37" i="29"/>
  <c r="U37" i="29"/>
  <c r="W37" i="29"/>
  <c r="X37" i="29"/>
  <c r="Y37" i="29"/>
  <c r="Z37" i="29"/>
  <c r="AB37" i="29"/>
  <c r="AC37" i="29"/>
  <c r="AD37" i="29"/>
  <c r="AE37" i="29"/>
  <c r="AF37" i="29"/>
  <c r="AG37" i="29"/>
  <c r="AH37" i="29"/>
  <c r="AI37" i="29"/>
  <c r="S38" i="29"/>
  <c r="T38" i="29"/>
  <c r="U38" i="29"/>
  <c r="W38" i="29"/>
  <c r="X38" i="29"/>
  <c r="Y38" i="29"/>
  <c r="Z38" i="29"/>
  <c r="AB38" i="29"/>
  <c r="AC38" i="29"/>
  <c r="AD38" i="29"/>
  <c r="AE38" i="29"/>
  <c r="AF38" i="29"/>
  <c r="AG38" i="29"/>
  <c r="AH38" i="29"/>
  <c r="AI38" i="29"/>
  <c r="S39" i="29"/>
  <c r="T39" i="29"/>
  <c r="U39" i="29"/>
  <c r="W39" i="29"/>
  <c r="X39" i="29"/>
  <c r="Y39" i="29"/>
  <c r="Z39" i="29"/>
  <c r="AB39" i="29"/>
  <c r="AC39" i="29"/>
  <c r="AD39" i="29"/>
  <c r="AE39" i="29"/>
  <c r="AF39" i="29"/>
  <c r="AG39" i="29"/>
  <c r="AH39" i="29"/>
  <c r="AI39" i="29"/>
  <c r="K43" i="29"/>
  <c r="V43" i="29"/>
  <c r="K44" i="29"/>
  <c r="V44" i="29"/>
  <c r="K45" i="29"/>
  <c r="V45" i="29"/>
  <c r="K46" i="29"/>
  <c r="K47" i="29"/>
  <c r="R48" i="29"/>
  <c r="J49" i="29"/>
  <c r="R49" i="29"/>
  <c r="R51" i="29"/>
  <c r="Y63" i="29"/>
  <c r="Z63" i="29"/>
  <c r="Y64" i="29"/>
  <c r="Z64" i="29"/>
  <c r="Y65" i="29"/>
  <c r="Z65" i="29"/>
  <c r="Y66" i="29"/>
  <c r="Z66" i="29"/>
  <c r="Y67" i="29"/>
  <c r="Z67" i="29"/>
  <c r="AG6" i="28"/>
  <c r="AH6" i="28"/>
  <c r="AI6" i="28"/>
  <c r="J7" i="28"/>
  <c r="K7" i="28"/>
  <c r="L7" i="28"/>
  <c r="M7" i="28"/>
  <c r="AG7" i="28"/>
  <c r="AH7" i="28"/>
  <c r="AI7" i="28"/>
  <c r="L8" i="28"/>
  <c r="M8" i="28"/>
  <c r="AG8" i="28"/>
  <c r="AH8" i="28"/>
  <c r="AI8" i="28"/>
  <c r="K9" i="28"/>
  <c r="M9" i="28"/>
  <c r="AG9" i="28"/>
  <c r="AH9" i="28"/>
  <c r="AI9" i="28"/>
  <c r="S11" i="28"/>
  <c r="T11" i="28"/>
  <c r="U11" i="28"/>
  <c r="W11" i="28"/>
  <c r="X11" i="28"/>
  <c r="Y11" i="28"/>
  <c r="Z11" i="28"/>
  <c r="AB11" i="28"/>
  <c r="AC11" i="28"/>
  <c r="AD11" i="28"/>
  <c r="AE11" i="28"/>
  <c r="AF11" i="28"/>
  <c r="AG11" i="28"/>
  <c r="AH11" i="28"/>
  <c r="AI11" i="28"/>
  <c r="I12" i="28"/>
  <c r="J12" i="28"/>
  <c r="K12" i="28"/>
  <c r="M12" i="28"/>
  <c r="S12" i="28"/>
  <c r="T12" i="28"/>
  <c r="U12" i="28"/>
  <c r="W12" i="28"/>
  <c r="X12" i="28"/>
  <c r="Y12" i="28"/>
  <c r="Z12" i="28"/>
  <c r="AB12" i="28"/>
  <c r="AC12" i="28"/>
  <c r="AD12" i="28"/>
  <c r="AE12" i="28"/>
  <c r="AF12" i="28"/>
  <c r="AG12" i="28"/>
  <c r="AH12" i="28"/>
  <c r="AI12" i="28"/>
  <c r="S13" i="28"/>
  <c r="T13" i="28"/>
  <c r="U13" i="28"/>
  <c r="W13" i="28"/>
  <c r="X13" i="28"/>
  <c r="Y13" i="28"/>
  <c r="Z13" i="28"/>
  <c r="AB13" i="28"/>
  <c r="AC13" i="28"/>
  <c r="AD13" i="28"/>
  <c r="AE13" i="28"/>
  <c r="AF13" i="28"/>
  <c r="AG13" i="28"/>
  <c r="AH13" i="28"/>
  <c r="AI13" i="28"/>
  <c r="I14" i="28"/>
  <c r="K14" i="28"/>
  <c r="M14" i="28"/>
  <c r="S14" i="28"/>
  <c r="T14" i="28"/>
  <c r="U14" i="28"/>
  <c r="W14" i="28"/>
  <c r="X14" i="28"/>
  <c r="Y14" i="28"/>
  <c r="Z14" i="28"/>
  <c r="AB14" i="28"/>
  <c r="AC14" i="28"/>
  <c r="AD14" i="28"/>
  <c r="AE14" i="28"/>
  <c r="AF14" i="28"/>
  <c r="AG14" i="28"/>
  <c r="AH14" i="28"/>
  <c r="AI14" i="28"/>
  <c r="K16" i="28"/>
  <c r="M16" i="28"/>
  <c r="S16" i="28"/>
  <c r="T16" i="28"/>
  <c r="U16" i="28"/>
  <c r="W16" i="28"/>
  <c r="X16" i="28"/>
  <c r="Y16" i="28"/>
  <c r="Z16" i="28"/>
  <c r="AB16" i="28"/>
  <c r="AC16" i="28"/>
  <c r="AD16" i="28"/>
  <c r="AE16" i="28"/>
  <c r="AF16" i="28"/>
  <c r="AG16" i="28"/>
  <c r="AH16" i="28"/>
  <c r="AI16" i="28"/>
  <c r="S17" i="28"/>
  <c r="T17" i="28"/>
  <c r="U17" i="28"/>
  <c r="W17" i="28"/>
  <c r="X17" i="28"/>
  <c r="Y17" i="28"/>
  <c r="Z17" i="28"/>
  <c r="AB17" i="28"/>
  <c r="AC17" i="28"/>
  <c r="AD17" i="28"/>
  <c r="AE17" i="28"/>
  <c r="AF17" i="28"/>
  <c r="AG17" i="28"/>
  <c r="AH17" i="28"/>
  <c r="AI17" i="28"/>
  <c r="S18" i="28"/>
  <c r="T18" i="28"/>
  <c r="U18" i="28"/>
  <c r="W18" i="28"/>
  <c r="X18" i="28"/>
  <c r="Y18" i="28"/>
  <c r="Z18" i="28"/>
  <c r="AB18" i="28"/>
  <c r="AC18" i="28"/>
  <c r="AD18" i="28"/>
  <c r="AE18" i="28"/>
  <c r="AF18" i="28"/>
  <c r="AG18" i="28"/>
  <c r="AH18" i="28"/>
  <c r="AI18" i="28"/>
  <c r="M19" i="28"/>
  <c r="S19" i="28"/>
  <c r="T19" i="28"/>
  <c r="U19" i="28"/>
  <c r="W19" i="28"/>
  <c r="X19" i="28"/>
  <c r="Y19" i="28"/>
  <c r="Z19" i="28"/>
  <c r="AB19" i="28"/>
  <c r="AC19" i="28"/>
  <c r="AD19" i="28"/>
  <c r="AE19" i="28"/>
  <c r="AF19" i="28"/>
  <c r="AG19" i="28"/>
  <c r="AH19" i="28"/>
  <c r="AI19" i="28"/>
  <c r="J20" i="28"/>
  <c r="M20" i="28"/>
  <c r="J21" i="28"/>
  <c r="M21" i="28"/>
  <c r="S21" i="28"/>
  <c r="T21" i="28"/>
  <c r="U21" i="28"/>
  <c r="W21" i="28"/>
  <c r="X21" i="28"/>
  <c r="Y21" i="28"/>
  <c r="Z21" i="28"/>
  <c r="AB21" i="28"/>
  <c r="AC21" i="28"/>
  <c r="AD21" i="28"/>
  <c r="AE21" i="28"/>
  <c r="AF21" i="28"/>
  <c r="AG21" i="28"/>
  <c r="AH21" i="28"/>
  <c r="AI21" i="28"/>
  <c r="S22" i="28"/>
  <c r="T22" i="28"/>
  <c r="U22" i="28"/>
  <c r="W22" i="28"/>
  <c r="X22" i="28"/>
  <c r="Y22" i="28"/>
  <c r="Z22" i="28"/>
  <c r="AB22" i="28"/>
  <c r="AC22" i="28"/>
  <c r="AD22" i="28"/>
  <c r="AE22" i="28"/>
  <c r="AF22" i="28"/>
  <c r="AG22" i="28"/>
  <c r="AH22" i="28"/>
  <c r="AI22" i="28"/>
  <c r="S23" i="28"/>
  <c r="T23" i="28"/>
  <c r="U23" i="28"/>
  <c r="W23" i="28"/>
  <c r="X23" i="28"/>
  <c r="Y23" i="28"/>
  <c r="Z23" i="28"/>
  <c r="AB23" i="28"/>
  <c r="AC23" i="28"/>
  <c r="AD23" i="28"/>
  <c r="AE23" i="28"/>
  <c r="AF23" i="28"/>
  <c r="AG23" i="28"/>
  <c r="AH23" i="28"/>
  <c r="AI23" i="28"/>
  <c r="S24" i="28"/>
  <c r="T24" i="28"/>
  <c r="U24" i="28"/>
  <c r="W24" i="28"/>
  <c r="X24" i="28"/>
  <c r="Y24" i="28"/>
  <c r="Z24" i="28"/>
  <c r="AB24" i="28"/>
  <c r="AC24" i="28"/>
  <c r="AD24" i="28"/>
  <c r="AE24" i="28"/>
  <c r="AF24" i="28"/>
  <c r="AG24" i="28"/>
  <c r="AH24" i="28"/>
  <c r="AI24" i="28"/>
  <c r="K26" i="28"/>
  <c r="L26" i="28"/>
  <c r="M26" i="28"/>
  <c r="S26" i="28"/>
  <c r="T26" i="28"/>
  <c r="U26" i="28"/>
  <c r="W26" i="28"/>
  <c r="X26" i="28"/>
  <c r="Y26" i="28"/>
  <c r="Z26" i="28"/>
  <c r="AB26" i="28"/>
  <c r="AC26" i="28"/>
  <c r="AD26" i="28"/>
  <c r="AE26" i="28"/>
  <c r="AF26" i="28"/>
  <c r="AG26" i="28"/>
  <c r="AH26" i="28"/>
  <c r="AI26" i="28"/>
  <c r="S27" i="28"/>
  <c r="T27" i="28"/>
  <c r="U27" i="28"/>
  <c r="W27" i="28"/>
  <c r="X27" i="28"/>
  <c r="Y27" i="28"/>
  <c r="Z27" i="28"/>
  <c r="AB27" i="28"/>
  <c r="AC27" i="28"/>
  <c r="AD27" i="28"/>
  <c r="AE27" i="28"/>
  <c r="AF27" i="28"/>
  <c r="AG27" i="28"/>
  <c r="AH27" i="28"/>
  <c r="AI27" i="28"/>
  <c r="L28" i="28"/>
  <c r="M28" i="28"/>
  <c r="S28" i="28"/>
  <c r="T28" i="28"/>
  <c r="U28" i="28"/>
  <c r="W28" i="28"/>
  <c r="X28" i="28"/>
  <c r="Y28" i="28"/>
  <c r="Z28" i="28"/>
  <c r="AB28" i="28"/>
  <c r="AC28" i="28"/>
  <c r="AD28" i="28"/>
  <c r="AE28" i="28"/>
  <c r="AF28" i="28"/>
  <c r="AG28" i="28"/>
  <c r="AH28" i="28"/>
  <c r="AI28" i="28"/>
  <c r="S29" i="28"/>
  <c r="T29" i="28"/>
  <c r="U29" i="28"/>
  <c r="W29" i="28"/>
  <c r="X29" i="28"/>
  <c r="Y29" i="28"/>
  <c r="Z29" i="28"/>
  <c r="AB29" i="28"/>
  <c r="AC29" i="28"/>
  <c r="AD29" i="28"/>
  <c r="AE29" i="28"/>
  <c r="AF29" i="28"/>
  <c r="AG29" i="28"/>
  <c r="AH29" i="28"/>
  <c r="AI29" i="28"/>
  <c r="S31" i="28"/>
  <c r="T31" i="28"/>
  <c r="U31" i="28"/>
  <c r="W31" i="28"/>
  <c r="X31" i="28"/>
  <c r="Y31" i="28"/>
  <c r="Z31" i="28"/>
  <c r="AB31" i="28"/>
  <c r="AC31" i="28"/>
  <c r="AD31" i="28"/>
  <c r="AE31" i="28"/>
  <c r="AF31" i="28"/>
  <c r="AG31" i="28"/>
  <c r="AH31" i="28"/>
  <c r="AI31" i="28"/>
  <c r="S32" i="28"/>
  <c r="T32" i="28"/>
  <c r="U32" i="28"/>
  <c r="W32" i="28"/>
  <c r="X32" i="28"/>
  <c r="Y32" i="28"/>
  <c r="Z32" i="28"/>
  <c r="AB32" i="28"/>
  <c r="AC32" i="28"/>
  <c r="AD32" i="28"/>
  <c r="AE32" i="28"/>
  <c r="AF32" i="28"/>
  <c r="AG32" i="28"/>
  <c r="AH32" i="28"/>
  <c r="AI32" i="28"/>
  <c r="J33" i="28"/>
  <c r="K33" i="28"/>
  <c r="S33" i="28"/>
  <c r="T33" i="28"/>
  <c r="U33" i="28"/>
  <c r="W33" i="28"/>
  <c r="X33" i="28"/>
  <c r="Y33" i="28"/>
  <c r="Z33" i="28"/>
  <c r="AB33" i="28"/>
  <c r="AC33" i="28"/>
  <c r="AD33" i="28"/>
  <c r="AE33" i="28"/>
  <c r="AF33" i="28"/>
  <c r="AG33" i="28"/>
  <c r="AH33" i="28"/>
  <c r="AI33" i="28"/>
  <c r="J34" i="28"/>
  <c r="K34" i="28"/>
  <c r="S34" i="28"/>
  <c r="T34" i="28"/>
  <c r="U34" i="28"/>
  <c r="W34" i="28"/>
  <c r="X34" i="28"/>
  <c r="Y34" i="28"/>
  <c r="Z34" i="28"/>
  <c r="AB34" i="28"/>
  <c r="AC34" i="28"/>
  <c r="AD34" i="28"/>
  <c r="AE34" i="28"/>
  <c r="AF34" i="28"/>
  <c r="AG34" i="28"/>
  <c r="AH34" i="28"/>
  <c r="AI34" i="28"/>
  <c r="J35" i="28"/>
  <c r="K35" i="28"/>
  <c r="J36" i="28"/>
  <c r="K36" i="28"/>
  <c r="S36" i="28"/>
  <c r="T36" i="28"/>
  <c r="U36" i="28"/>
  <c r="W36" i="28"/>
  <c r="X36" i="28"/>
  <c r="Y36" i="28"/>
  <c r="Z36" i="28"/>
  <c r="AB36" i="28"/>
  <c r="AC36" i="28"/>
  <c r="AD36" i="28"/>
  <c r="AE36" i="28"/>
  <c r="AF36" i="28"/>
  <c r="AG36" i="28"/>
  <c r="AH36" i="28"/>
  <c r="AI36" i="28"/>
  <c r="J37" i="28"/>
  <c r="K37" i="28"/>
  <c r="S37" i="28"/>
  <c r="T37" i="28"/>
  <c r="U37" i="28"/>
  <c r="W37" i="28"/>
  <c r="X37" i="28"/>
  <c r="Y37" i="28"/>
  <c r="Z37" i="28"/>
  <c r="AB37" i="28"/>
  <c r="AC37" i="28"/>
  <c r="AD37" i="28"/>
  <c r="AE37" i="28"/>
  <c r="AF37" i="28"/>
  <c r="AG37" i="28"/>
  <c r="AH37" i="28"/>
  <c r="AI37" i="28"/>
  <c r="S38" i="28"/>
  <c r="T38" i="28"/>
  <c r="U38" i="28"/>
  <c r="W38" i="28"/>
  <c r="X38" i="28"/>
  <c r="Y38" i="28"/>
  <c r="Z38" i="28"/>
  <c r="AB38" i="28"/>
  <c r="AC38" i="28"/>
  <c r="AD38" i="28"/>
  <c r="AE38" i="28"/>
  <c r="AF38" i="28"/>
  <c r="AG38" i="28"/>
  <c r="AH38" i="28"/>
  <c r="AI38" i="28"/>
  <c r="S39" i="28"/>
  <c r="T39" i="28"/>
  <c r="U39" i="28"/>
  <c r="W39" i="28"/>
  <c r="X39" i="28"/>
  <c r="Y39" i="28"/>
  <c r="Z39" i="28"/>
  <c r="AB39" i="28"/>
  <c r="AC39" i="28"/>
  <c r="AD39" i="28"/>
  <c r="AE39" i="28"/>
  <c r="AF39" i="28"/>
  <c r="AG39" i="28"/>
  <c r="AH39" i="28"/>
  <c r="AI39" i="28"/>
  <c r="K43" i="28"/>
  <c r="V43" i="28"/>
  <c r="K44" i="28"/>
  <c r="V44" i="28"/>
  <c r="K45" i="28"/>
  <c r="V45" i="28"/>
  <c r="K46" i="28"/>
  <c r="K47" i="28"/>
  <c r="R48" i="28"/>
  <c r="J49" i="28"/>
  <c r="R49" i="28"/>
  <c r="R51" i="28"/>
  <c r="Y63" i="28"/>
  <c r="Z63" i="28"/>
  <c r="Y64" i="28"/>
  <c r="Z64" i="28"/>
  <c r="Y65" i="28"/>
  <c r="Z65" i="28"/>
  <c r="Y66" i="28"/>
  <c r="Z66" i="28"/>
  <c r="Y67" i="28"/>
  <c r="Z6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Weldon</author>
    <author>Ann LaRue</author>
  </authors>
  <commentList>
    <comment ref="P15" authorId="0" shapeId="0" xr:uid="{C4D14394-5806-47A6-B6B0-1DD67E2527C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6" authorId="0" shapeId="0" xr:uid="{B22FF253-E400-4E20-911D-A6F9624DF96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7" authorId="0" shapeId="0" xr:uid="{53F5220F-2CDC-4B8B-8264-88B3BE626115}">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8" authorId="0" shapeId="0" xr:uid="{D1AF7ED1-422D-45B5-823B-6FF681B8F75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9" authorId="0" shapeId="0" xr:uid="{E4FB3426-8C73-4B89-B020-62FD8798EEF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20" authorId="0" shapeId="0" xr:uid="{A1961BF7-05D6-4EC5-9519-7A7EC16731D5}">
      <text>
        <r>
          <rPr>
            <b/>
            <sz val="9"/>
            <color indexed="81"/>
            <rFont val="Tahoma"/>
            <family val="2"/>
          </rPr>
          <t>Weldon:</t>
        </r>
        <r>
          <rPr>
            <sz val="9"/>
            <color indexed="81"/>
            <rFont val="Tahoma"/>
            <family val="2"/>
          </rPr>
          <t xml:space="preserve">
12 Months Prospective Depreciation Expense
</t>
        </r>
      </text>
    </comment>
    <comment ref="P20" authorId="0" shapeId="0" xr:uid="{D8FB1570-1055-4579-BAE7-57950B06BA6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21" authorId="0" shapeId="0" xr:uid="{CC179902-4D97-4655-B0A3-51D400F33879}">
      <text>
        <r>
          <rPr>
            <b/>
            <sz val="9"/>
            <color indexed="81"/>
            <rFont val="Tahoma"/>
            <family val="2"/>
          </rPr>
          <t>Weldon:</t>
        </r>
        <r>
          <rPr>
            <sz val="9"/>
            <color indexed="81"/>
            <rFont val="Tahoma"/>
            <family val="2"/>
          </rPr>
          <t xml:space="preserve">
12 Months Prospective Depreciation Expense
</t>
        </r>
      </text>
    </comment>
    <comment ref="P21" authorId="0" shapeId="0" xr:uid="{C1DF2E4E-2753-4B61-B4D1-141BB700E77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22" authorId="0" shapeId="0" xr:uid="{7BD4251F-F7A4-4CC3-A8EC-AE0416AF1E4F}">
      <text>
        <r>
          <rPr>
            <b/>
            <sz val="9"/>
            <color indexed="81"/>
            <rFont val="Tahoma"/>
            <family val="2"/>
          </rPr>
          <t>Weldon:</t>
        </r>
        <r>
          <rPr>
            <sz val="9"/>
            <color indexed="81"/>
            <rFont val="Tahoma"/>
            <family val="2"/>
          </rPr>
          <t xml:space="preserve">
12 Months Prospective Depreciation Expense
</t>
        </r>
      </text>
    </comment>
    <comment ref="P22" authorId="0" shapeId="0" xr:uid="{A0684CBB-AAB6-49AC-B977-088E0C5F5DE5}">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D23" authorId="0" shapeId="0" xr:uid="{2388E574-3DFC-4412-ACAF-73308F2DD557}">
      <text>
        <r>
          <rPr>
            <b/>
            <sz val="9"/>
            <color indexed="81"/>
            <rFont val="Tahoma"/>
            <family val="2"/>
          </rPr>
          <t>Weldon: Containers delivered and placed into service 2/19. Prospective Depr &amp; Avg Inv</t>
        </r>
        <r>
          <rPr>
            <sz val="9"/>
            <color indexed="81"/>
            <rFont val="Tahoma"/>
            <family val="2"/>
          </rPr>
          <t xml:space="preserve">
</t>
        </r>
      </text>
    </comment>
    <comment ref="M23" authorId="0" shapeId="0" xr:uid="{FF36F487-CFC1-48A3-8883-5D4D0766D0BB}">
      <text>
        <r>
          <rPr>
            <b/>
            <sz val="9"/>
            <color indexed="81"/>
            <rFont val="Tahoma"/>
            <family val="2"/>
          </rPr>
          <t>Weldon:</t>
        </r>
        <r>
          <rPr>
            <sz val="9"/>
            <color indexed="81"/>
            <rFont val="Tahoma"/>
            <family val="2"/>
          </rPr>
          <t xml:space="preserve">
12 Months Prospective Depreciation Expense
</t>
        </r>
      </text>
    </comment>
    <comment ref="P23" authorId="0" shapeId="0" xr:uid="{D8FE32A5-102D-429C-989D-B612B9D5A705}">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24" authorId="0" shapeId="0" xr:uid="{8A74830B-5E96-4047-B757-0FF6733C93A9}">
      <text>
        <r>
          <rPr>
            <b/>
            <sz val="9"/>
            <color indexed="81"/>
            <rFont val="Tahoma"/>
            <family val="2"/>
          </rPr>
          <t>Weldon:</t>
        </r>
        <r>
          <rPr>
            <sz val="9"/>
            <color indexed="81"/>
            <rFont val="Tahoma"/>
            <family val="2"/>
          </rPr>
          <t xml:space="preserve">
12 Months Prospective Depreciation Expense
</t>
        </r>
      </text>
    </comment>
    <comment ref="P24" authorId="0" shapeId="0" xr:uid="{E6EEF51A-D553-410C-9984-7F478A719854}">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25" authorId="0" shapeId="0" xr:uid="{AF8C0D40-F0B7-42C3-89D5-14BC7C11A536}">
      <text>
        <r>
          <rPr>
            <b/>
            <sz val="9"/>
            <color indexed="81"/>
            <rFont val="Tahoma"/>
            <family val="2"/>
          </rPr>
          <t>Weldon:</t>
        </r>
        <r>
          <rPr>
            <sz val="9"/>
            <color indexed="81"/>
            <rFont val="Tahoma"/>
            <family val="2"/>
          </rPr>
          <t xml:space="preserve">
12 Months Prospective Depreciation Expense
</t>
        </r>
      </text>
    </comment>
    <comment ref="P25" authorId="0" shapeId="0" xr:uid="{3572EC72-505E-4C06-B7E2-78B4F1608FEA}">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29" authorId="0" shapeId="0" xr:uid="{907FA7FC-6997-438B-A021-0430EB6CCBE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43" authorId="0" shapeId="0" xr:uid="{6349A31F-A1FC-4135-891B-17B07D78678F}">
      <text>
        <r>
          <rPr>
            <b/>
            <sz val="9"/>
            <color indexed="81"/>
            <rFont val="Tahoma"/>
            <family val="2"/>
          </rPr>
          <t>Weldon:</t>
        </r>
        <r>
          <rPr>
            <sz val="9"/>
            <color indexed="81"/>
            <rFont val="Tahoma"/>
            <family val="2"/>
          </rPr>
          <t xml:space="preserve">
Average Investment Calculated Cost minus Calculated Prospective Accumulated Depreciation
</t>
        </r>
      </text>
    </comment>
    <comment ref="P44" authorId="0" shapeId="0" xr:uid="{73678FE2-E6D0-4BE4-AFAD-F07E08C27215}">
      <text>
        <r>
          <rPr>
            <b/>
            <sz val="9"/>
            <color indexed="81"/>
            <rFont val="Tahoma"/>
            <family val="2"/>
          </rPr>
          <t>Weldon:</t>
        </r>
        <r>
          <rPr>
            <sz val="9"/>
            <color indexed="81"/>
            <rFont val="Tahoma"/>
            <family val="2"/>
          </rPr>
          <t xml:space="preserve">
Average Investment Calculated Cost minus Calculated Prospective Accumulated Depreciation
</t>
        </r>
      </text>
    </comment>
    <comment ref="P45" authorId="0" shapeId="0" xr:uid="{5C50B1A0-68CA-4410-8FE8-C5C7E8A8A252}">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46" authorId="0" shapeId="0" xr:uid="{24ABA930-0920-4C30-B16C-063A22E895A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47" authorId="0" shapeId="0" xr:uid="{3FB2A7F8-83A0-4C7F-805F-A5BBECD7BF2F}">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48" authorId="0" shapeId="0" xr:uid="{AC9755F4-B182-45C4-8F67-EF8ED11E7E7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53" authorId="0" shapeId="0" xr:uid="{24FCCF03-4EDE-482B-89F5-4772E6110BEF}">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54" authorId="0" shapeId="0" xr:uid="{C69AA1A2-05B8-449C-B9BA-2AC856B8CD23}">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D55" authorId="0" shapeId="0" xr:uid="{6C9CA805-E9BB-40EF-93C2-8AEF4B5D2637}">
      <text>
        <r>
          <rPr>
            <b/>
            <sz val="9"/>
            <color indexed="81"/>
            <rFont val="Tahoma"/>
            <family val="2"/>
          </rPr>
          <t>Weldon: Containers delivered and placed into service 2/19. Prospective Depr &amp; Avg Inv</t>
        </r>
        <r>
          <rPr>
            <sz val="9"/>
            <color indexed="81"/>
            <rFont val="Tahoma"/>
            <family val="2"/>
          </rPr>
          <t xml:space="preserve">
</t>
        </r>
      </text>
    </comment>
    <comment ref="M55" authorId="0" shapeId="0" xr:uid="{79FA25F2-E28E-470C-9380-69A92032CE0C}">
      <text>
        <r>
          <rPr>
            <b/>
            <sz val="9"/>
            <color indexed="81"/>
            <rFont val="Tahoma"/>
            <family val="2"/>
          </rPr>
          <t>Weldon:</t>
        </r>
        <r>
          <rPr>
            <sz val="9"/>
            <color indexed="81"/>
            <rFont val="Tahoma"/>
            <family val="2"/>
          </rPr>
          <t xml:space="preserve">
12 Months Prospective Depreciation Expense
</t>
        </r>
      </text>
    </comment>
    <comment ref="P55" authorId="0" shapeId="0" xr:uid="{4D2BC39E-7406-4672-8255-693832C17FA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56" authorId="0" shapeId="0" xr:uid="{99A60D7F-99B5-44D4-B108-62457E6FCDA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63" authorId="0" shapeId="0" xr:uid="{C97217BA-FEAD-467E-B3D7-FB726EE7855A}">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71" authorId="0" shapeId="0" xr:uid="{CD7F0601-F4F5-468E-BFFC-ECB9C6B33AF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V71" authorId="1" shapeId="0" xr:uid="{44A421FE-08D9-4774-956C-011D7E7670E7}">
      <text>
        <r>
          <rPr>
            <b/>
            <sz val="9"/>
            <color indexed="81"/>
            <rFont val="Tahoma"/>
            <family val="2"/>
          </rPr>
          <t>Ann LaRue:</t>
        </r>
        <r>
          <rPr>
            <sz val="9"/>
            <color indexed="81"/>
            <rFont val="Tahoma"/>
            <family val="2"/>
          </rPr>
          <t xml:space="preserve">
Company had a calculation error here.</t>
        </r>
      </text>
    </comment>
    <comment ref="D72" authorId="0" shapeId="0" xr:uid="{03A9B091-7A88-4AB8-B941-BBCB397BA36C}">
      <text>
        <r>
          <rPr>
            <b/>
            <sz val="9"/>
            <color indexed="81"/>
            <rFont val="Tahoma"/>
            <family val="2"/>
          </rPr>
          <t>Weldon: Containers delivered and placed into service 2/19. Prospective Depr &amp; Avg Inv</t>
        </r>
        <r>
          <rPr>
            <sz val="9"/>
            <color indexed="81"/>
            <rFont val="Tahoma"/>
            <family val="2"/>
          </rPr>
          <t xml:space="preserve">
</t>
        </r>
      </text>
    </comment>
    <comment ref="M72" authorId="0" shapeId="0" xr:uid="{58608B3D-5D51-4269-992D-01D01AF10B8E}">
      <text>
        <r>
          <rPr>
            <b/>
            <sz val="9"/>
            <color indexed="81"/>
            <rFont val="Tahoma"/>
            <family val="2"/>
          </rPr>
          <t>Weldon:</t>
        </r>
        <r>
          <rPr>
            <sz val="9"/>
            <color indexed="81"/>
            <rFont val="Tahoma"/>
            <family val="2"/>
          </rPr>
          <t xml:space="preserve">
12 Months Prospective Depreciation Expense
</t>
        </r>
      </text>
    </comment>
    <comment ref="P72" authorId="0" shapeId="0" xr:uid="{8B9232CC-F7DA-42BC-8BEC-2CB960164D03}">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73" authorId="0" shapeId="0" xr:uid="{2ABCFA58-17C4-4284-B477-03E06AB1FAE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V73" authorId="1" shapeId="0" xr:uid="{729D7DED-DEF4-479B-B8D4-0C87A1339327}">
      <text>
        <r>
          <rPr>
            <b/>
            <sz val="9"/>
            <color indexed="81"/>
            <rFont val="Tahoma"/>
            <family val="2"/>
          </rPr>
          <t>Ann LaRue:</t>
        </r>
        <r>
          <rPr>
            <sz val="9"/>
            <color indexed="81"/>
            <rFont val="Tahoma"/>
            <family val="2"/>
          </rPr>
          <t xml:space="preserve">
Company had a calculation error here.</t>
        </r>
      </text>
    </comment>
    <comment ref="P82" authorId="0" shapeId="0" xr:uid="{96D5E85A-758F-4B90-8269-81E34B54A122}">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83" authorId="0" shapeId="0" xr:uid="{D78C609A-C95D-4672-8340-530190A3F1F2}">
      <text>
        <r>
          <rPr>
            <b/>
            <sz val="9"/>
            <color indexed="81"/>
            <rFont val="Tahoma"/>
            <family val="2"/>
          </rPr>
          <t>Weldon:</t>
        </r>
        <r>
          <rPr>
            <sz val="9"/>
            <color indexed="81"/>
            <rFont val="Tahoma"/>
            <family val="2"/>
          </rPr>
          <t xml:space="preserve">
12 Months Prospective Depreciation Expense
</t>
        </r>
      </text>
    </comment>
    <comment ref="P83" authorId="0" shapeId="0" xr:uid="{4D826516-01C8-4E86-A3D5-830739FBE34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84" authorId="0" shapeId="0" xr:uid="{2E6448B3-61F8-48CE-9F8A-93C0E9BAA145}">
      <text>
        <r>
          <rPr>
            <b/>
            <sz val="9"/>
            <color indexed="81"/>
            <rFont val="Tahoma"/>
            <family val="2"/>
          </rPr>
          <t>Weldon:</t>
        </r>
        <r>
          <rPr>
            <sz val="9"/>
            <color indexed="81"/>
            <rFont val="Tahoma"/>
            <family val="2"/>
          </rPr>
          <t xml:space="preserve">
12 Months Prospective Depreciation Expense
</t>
        </r>
      </text>
    </comment>
    <comment ref="P84" authorId="0" shapeId="0" xr:uid="{AA3B4463-8E80-4198-B8FD-F2776F12FCE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3" authorId="0" shapeId="0" xr:uid="{B0A80E1E-AF48-4160-A101-4CBD74961E7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4" authorId="0" shapeId="0" xr:uid="{7B6B48C7-6107-4340-A91A-DBFEFC46E6D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5" authorId="0" shapeId="0" xr:uid="{0932F84C-037C-43F9-A936-2E7B2C08D5E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6" authorId="0" shapeId="0" xr:uid="{2A700C94-CFB6-44DE-871A-AF1E32D3FAC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7" authorId="0" shapeId="0" xr:uid="{DBA44B16-7261-4621-ABF6-AA5D7854D59B}">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8" authorId="0" shapeId="0" xr:uid="{A6BEE9DB-72F7-4141-A785-8DB6DE22453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99" authorId="0" shapeId="0" xr:uid="{26BC3DFD-535D-4AF3-91CB-0D85E8BB079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00" authorId="0" shapeId="0" xr:uid="{742FA512-1E00-4551-961D-E67926498D14}">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1" authorId="0" shapeId="0" xr:uid="{288D3005-7CBA-4910-BFFD-F6DFE33B3449}">
      <text>
        <r>
          <rPr>
            <b/>
            <sz val="9"/>
            <color indexed="81"/>
            <rFont val="Tahoma"/>
            <family val="2"/>
          </rPr>
          <t>Weldon:</t>
        </r>
        <r>
          <rPr>
            <sz val="9"/>
            <color indexed="81"/>
            <rFont val="Tahoma"/>
            <family val="2"/>
          </rPr>
          <t xml:space="preserve">
12 Months Prospective Depreciation Expense
</t>
        </r>
      </text>
    </comment>
    <comment ref="P101" authorId="0" shapeId="0" xr:uid="{A4990840-855E-4245-8800-1B383D34AA4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2" authorId="0" shapeId="0" xr:uid="{255D0DB3-B37F-4D56-A1EC-23558287D965}">
      <text>
        <r>
          <rPr>
            <b/>
            <sz val="9"/>
            <color indexed="81"/>
            <rFont val="Tahoma"/>
            <family val="2"/>
          </rPr>
          <t>Weldon:</t>
        </r>
        <r>
          <rPr>
            <sz val="9"/>
            <color indexed="81"/>
            <rFont val="Tahoma"/>
            <family val="2"/>
          </rPr>
          <t xml:space="preserve">
12 Months Prospective Depreciation Expense
</t>
        </r>
      </text>
    </comment>
    <comment ref="P102" authorId="0" shapeId="0" xr:uid="{0916B5ED-0176-4BC6-84EF-6D60D242EBB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3" authorId="0" shapeId="0" xr:uid="{2572F479-4005-4183-9EA0-D762CBD6C67F}">
      <text>
        <r>
          <rPr>
            <b/>
            <sz val="9"/>
            <color indexed="81"/>
            <rFont val="Tahoma"/>
            <family val="2"/>
          </rPr>
          <t>Weldon:</t>
        </r>
        <r>
          <rPr>
            <sz val="9"/>
            <color indexed="81"/>
            <rFont val="Tahoma"/>
            <family val="2"/>
          </rPr>
          <t xml:space="preserve">
12 Months Prospective Depreciation Expense
</t>
        </r>
      </text>
    </comment>
    <comment ref="P103" authorId="0" shapeId="0" xr:uid="{B5FAA466-521B-480A-B255-62FE8792B47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4" authorId="0" shapeId="0" xr:uid="{E5E59754-AAFE-47A3-811F-B34ABE213E71}">
      <text>
        <r>
          <rPr>
            <b/>
            <sz val="9"/>
            <color indexed="81"/>
            <rFont val="Tahoma"/>
            <family val="2"/>
          </rPr>
          <t>Weldon:</t>
        </r>
        <r>
          <rPr>
            <sz val="9"/>
            <color indexed="81"/>
            <rFont val="Tahoma"/>
            <family val="2"/>
          </rPr>
          <t xml:space="preserve">
12 Months Prospective Depreciation Expense
</t>
        </r>
      </text>
    </comment>
    <comment ref="P104" authorId="0" shapeId="0" xr:uid="{82A54A16-20A6-414B-93ED-38A9698A6144}">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5" authorId="0" shapeId="0" xr:uid="{A8FBB87D-5901-4942-BEA7-EC5BAF5BC64E}">
      <text>
        <r>
          <rPr>
            <b/>
            <sz val="9"/>
            <color indexed="81"/>
            <rFont val="Tahoma"/>
            <family val="2"/>
          </rPr>
          <t>Weldon:</t>
        </r>
        <r>
          <rPr>
            <sz val="9"/>
            <color indexed="81"/>
            <rFont val="Tahoma"/>
            <family val="2"/>
          </rPr>
          <t xml:space="preserve">
12 Months Prospective Depreciation Expense
</t>
        </r>
      </text>
    </comment>
    <comment ref="P105" authorId="0" shapeId="0" xr:uid="{BE9682F0-A14A-4C92-A585-D8B0CB57605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D106" authorId="0" shapeId="0" xr:uid="{A00477BB-1857-4A5A-8934-4C4AD4E8B6BF}">
      <text>
        <r>
          <rPr>
            <b/>
            <sz val="9"/>
            <color indexed="81"/>
            <rFont val="Tahoma"/>
            <family val="2"/>
          </rPr>
          <t>Weldon: Containers delivered and placed into service 1/19. Prospective Depr &amp; Avg Inv</t>
        </r>
        <r>
          <rPr>
            <sz val="9"/>
            <color indexed="81"/>
            <rFont val="Tahoma"/>
            <family val="2"/>
          </rPr>
          <t xml:space="preserve">
</t>
        </r>
      </text>
    </comment>
    <comment ref="M106" authorId="0" shapeId="0" xr:uid="{5D27D867-D5D8-400C-A410-99CA32EFEE29}">
      <text>
        <r>
          <rPr>
            <b/>
            <sz val="9"/>
            <color indexed="81"/>
            <rFont val="Tahoma"/>
            <family val="2"/>
          </rPr>
          <t>Weldon:</t>
        </r>
        <r>
          <rPr>
            <sz val="9"/>
            <color indexed="81"/>
            <rFont val="Tahoma"/>
            <family val="2"/>
          </rPr>
          <t xml:space="preserve">
12 Months Prospective Depreciation Expense
</t>
        </r>
      </text>
    </comment>
    <comment ref="P106" authorId="0" shapeId="0" xr:uid="{486F3426-7576-4D0D-B67F-47DD79E4056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D107" authorId="0" shapeId="0" xr:uid="{A55D3028-64BF-4ECE-B169-636FF37A3D60}">
      <text>
        <r>
          <rPr>
            <b/>
            <sz val="9"/>
            <color indexed="81"/>
            <rFont val="Tahoma"/>
            <family val="2"/>
          </rPr>
          <t>Weldon: Containers delivered and placed into service 1/19. Prospective Depr &amp; Avg Inv</t>
        </r>
        <r>
          <rPr>
            <sz val="9"/>
            <color indexed="81"/>
            <rFont val="Tahoma"/>
            <family val="2"/>
          </rPr>
          <t xml:space="preserve">
</t>
        </r>
      </text>
    </comment>
    <comment ref="M107" authorId="0" shapeId="0" xr:uid="{26EFED96-A1F6-4686-A34D-ED9D70F7B738}">
      <text>
        <r>
          <rPr>
            <b/>
            <sz val="9"/>
            <color indexed="81"/>
            <rFont val="Tahoma"/>
            <family val="2"/>
          </rPr>
          <t>Weldon:</t>
        </r>
        <r>
          <rPr>
            <sz val="9"/>
            <color indexed="81"/>
            <rFont val="Tahoma"/>
            <family val="2"/>
          </rPr>
          <t xml:space="preserve">
12 Months Prospective Depreciation Expense
</t>
        </r>
      </text>
    </comment>
    <comment ref="P107" authorId="0" shapeId="0" xr:uid="{3592942A-2E4F-446E-AAA3-7DE913DC982F}">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D108" authorId="0" shapeId="0" xr:uid="{A2DA9796-13D0-42FD-B2A9-BDE6952B2FBC}">
      <text>
        <r>
          <rPr>
            <b/>
            <sz val="9"/>
            <color indexed="81"/>
            <rFont val="Tahoma"/>
            <family val="2"/>
          </rPr>
          <t>Weldon: Containers delivered and placed into service 1/19. Prospective Depr &amp; Avg Inv</t>
        </r>
        <r>
          <rPr>
            <sz val="9"/>
            <color indexed="81"/>
            <rFont val="Tahoma"/>
            <family val="2"/>
          </rPr>
          <t xml:space="preserve">
</t>
        </r>
      </text>
    </comment>
    <comment ref="M108" authorId="0" shapeId="0" xr:uid="{BEFC0D00-DC02-42D2-ACF9-694E937B84E8}">
      <text>
        <r>
          <rPr>
            <b/>
            <sz val="9"/>
            <color indexed="81"/>
            <rFont val="Tahoma"/>
            <family val="2"/>
          </rPr>
          <t>Weldon:</t>
        </r>
        <r>
          <rPr>
            <sz val="9"/>
            <color indexed="81"/>
            <rFont val="Tahoma"/>
            <family val="2"/>
          </rPr>
          <t xml:space="preserve">
12 Months Prospective Depreciation Expense
</t>
        </r>
      </text>
    </comment>
    <comment ref="P108" authorId="0" shapeId="0" xr:uid="{A5210EB4-2388-4396-9084-A61520F7AB1D}">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09" authorId="0" shapeId="0" xr:uid="{51CE527B-F04A-416C-818E-CE00BA173A64}">
      <text>
        <r>
          <rPr>
            <b/>
            <sz val="9"/>
            <color indexed="81"/>
            <rFont val="Tahoma"/>
            <family val="2"/>
          </rPr>
          <t>Weldon:</t>
        </r>
        <r>
          <rPr>
            <sz val="9"/>
            <color indexed="81"/>
            <rFont val="Tahoma"/>
            <family val="2"/>
          </rPr>
          <t xml:space="preserve">
12 Months Prospective Depreciation Expense
</t>
        </r>
      </text>
    </comment>
    <comment ref="P109" authorId="0" shapeId="0" xr:uid="{B808C251-273E-4CA8-BA28-C51E0191F688}">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10" authorId="0" shapeId="0" xr:uid="{B5114344-45CA-4D8E-BA8B-38905231425D}">
      <text>
        <r>
          <rPr>
            <b/>
            <sz val="9"/>
            <color indexed="81"/>
            <rFont val="Tahoma"/>
            <family val="2"/>
          </rPr>
          <t>Weldon:</t>
        </r>
        <r>
          <rPr>
            <sz val="9"/>
            <color indexed="81"/>
            <rFont val="Tahoma"/>
            <family val="2"/>
          </rPr>
          <t xml:space="preserve">
12 Months Prospective Depreciation Expense
</t>
        </r>
      </text>
    </comment>
    <comment ref="P110" authorId="0" shapeId="0" xr:uid="{7E246C03-B2B6-4AF6-8300-49374ACC6F2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AA111" authorId="1" shapeId="0" xr:uid="{923A05D2-F862-4D30-B7A6-A351F805B2C0}">
      <text>
        <r>
          <rPr>
            <b/>
            <sz val="9"/>
            <color indexed="81"/>
            <rFont val="Tahoma"/>
            <family val="2"/>
          </rPr>
          <t>Ann LaRue:</t>
        </r>
        <r>
          <rPr>
            <sz val="9"/>
            <color indexed="81"/>
            <rFont val="Tahoma"/>
            <family val="2"/>
          </rPr>
          <t xml:space="preserve">
Company had a calculation error here.</t>
        </r>
      </text>
    </comment>
    <comment ref="P117" authorId="0" shapeId="0" xr:uid="{57A4DE8D-8493-4BFA-BBEE-516C5C154B2F}">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2" authorId="0" shapeId="0" xr:uid="{1DACF4E0-F377-48E2-8364-58F0FE25859B}">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3" authorId="0" shapeId="0" xr:uid="{52B39B65-E4BB-4A51-9276-C7449694C1C6}">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4" authorId="0" shapeId="0" xr:uid="{EEDB3E56-84F4-4F26-AB67-F4EE0471E6E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25" authorId="0" shapeId="0" xr:uid="{715F23EA-9302-42BA-912E-C180AE62BE12}">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0" authorId="0" shapeId="0" xr:uid="{29067E7E-7D8B-4603-BF4D-0A5DB818B9B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1" authorId="0" shapeId="0" xr:uid="{940C6D66-FFCA-4752-B2D8-29DD06B9560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2" authorId="0" shapeId="0" xr:uid="{EC2DC795-1332-468B-9F2B-CF4B7377CEC2}">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3" authorId="0" shapeId="0" xr:uid="{DE13A498-1CE2-406B-9BF5-A46BF3003A5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4" authorId="0" shapeId="0" xr:uid="{DAA8687D-500F-49EA-A0DB-BF941615983A}">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35" authorId="0" shapeId="0" xr:uid="{8D4600CD-7680-4DFC-B016-B05569D58B60}">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AA139" authorId="1" shapeId="0" xr:uid="{343D0FC9-E5C9-4E85-AAAD-58BF3BC0D65C}">
      <text>
        <r>
          <rPr>
            <b/>
            <sz val="9"/>
            <color indexed="81"/>
            <rFont val="Tahoma"/>
            <family val="2"/>
          </rPr>
          <t>Ann LaRue:</t>
        </r>
        <r>
          <rPr>
            <sz val="9"/>
            <color indexed="81"/>
            <rFont val="Tahoma"/>
            <family val="2"/>
          </rPr>
          <t xml:space="preserve">
Not sure these should be allocated 100% to regulated</t>
        </r>
      </text>
    </comment>
    <comment ref="P140" authorId="0" shapeId="0" xr:uid="{240755A1-FC78-453D-B0C7-C6770A3C581A}">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51" authorId="0" shapeId="0" xr:uid="{2B78C026-735D-45B1-ABBA-FD86512718AB}">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52" authorId="0" shapeId="0" xr:uid="{6B91AD91-4D65-43A8-A31B-3BD32B1635F7}">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M153" authorId="0" shapeId="0" xr:uid="{9C34BA41-BF48-4451-B48D-A5BC6365EFB9}">
      <text>
        <r>
          <rPr>
            <b/>
            <sz val="9"/>
            <color indexed="81"/>
            <rFont val="Tahoma"/>
            <family val="2"/>
          </rPr>
          <t>Weldon:</t>
        </r>
        <r>
          <rPr>
            <sz val="9"/>
            <color indexed="81"/>
            <rFont val="Tahoma"/>
            <family val="2"/>
          </rPr>
          <t xml:space="preserve">
12 Months Prospective Depreciation Expense
</t>
        </r>
      </text>
    </comment>
    <comment ref="P153" authorId="0" shapeId="0" xr:uid="{FD9EF004-4A6D-4E58-879C-A1F132761979}">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63" authorId="0" shapeId="0" xr:uid="{CC84B54C-00FB-4136-970F-04C20982110C}">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64" authorId="0" shapeId="0" xr:uid="{FCD7087D-D2EF-4D80-A538-3D12E2F8FC4E}">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 ref="P165" authorId="0" shapeId="0" xr:uid="{D56DE0DB-08E1-418E-A627-B0F9D8DDED31}">
      <text>
        <r>
          <rPr>
            <b/>
            <sz val="9"/>
            <color indexed="81"/>
            <rFont val="Tahoma"/>
            <family val="2"/>
          </rPr>
          <t>Weldon:</t>
        </r>
        <r>
          <rPr>
            <sz val="9"/>
            <color indexed="81"/>
            <rFont val="Tahoma"/>
            <family val="2"/>
          </rPr>
          <t xml:space="preserve">
Average Investment Calculated by Acquisition Cost minus beginning accumulated depreciation and Acquisition cost minus ending accumulated depreciation divided by two for average.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M106" authorId="0" shapeId="0" xr:uid="{D2ED50C5-7626-44E0-8179-31FC794FB310}">
      <text>
        <r>
          <rPr>
            <b/>
            <sz val="9"/>
            <color indexed="81"/>
            <rFont val="Tahoma"/>
            <family val="2"/>
          </rPr>
          <t>Cassie Rewis:</t>
        </r>
        <r>
          <rPr>
            <sz val="9"/>
            <color indexed="81"/>
            <rFont val="Tahoma"/>
            <family val="2"/>
          </rPr>
          <t xml:space="preserve">
Amount from P &amp; 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N1" authorId="0" shapeId="0" xr:uid="{14474728-761E-4708-B12F-773B21E86923}">
      <text>
        <r>
          <rPr>
            <b/>
            <sz val="9"/>
            <color indexed="81"/>
            <rFont val="Tahoma"/>
            <family val="2"/>
          </rPr>
          <t>Cassie Rewis:</t>
        </r>
        <r>
          <rPr>
            <sz val="9"/>
            <color indexed="81"/>
            <rFont val="Tahoma"/>
            <family val="2"/>
          </rPr>
          <t xml:space="preserve">
2080 hours used if total for 2018  less than 2080 </t>
        </r>
      </text>
    </comment>
    <comment ref="I4" authorId="0" shapeId="0" xr:uid="{64D74A35-5FB5-4F83-AA99-B69DBC328600}">
      <text>
        <r>
          <rPr>
            <b/>
            <sz val="9"/>
            <color indexed="81"/>
            <rFont val="Tahoma"/>
            <family val="2"/>
          </rPr>
          <t>Cassie Rewis:</t>
        </r>
        <r>
          <rPr>
            <sz val="9"/>
            <color indexed="81"/>
            <rFont val="Tahoma"/>
            <family val="2"/>
          </rPr>
          <t xml:space="preserve">
effective 8/1/17
</t>
        </r>
      </text>
    </comment>
    <comment ref="J4" authorId="0" shapeId="0" xr:uid="{B7DAF60A-E366-408B-A186-257993F06958}">
      <text>
        <r>
          <rPr>
            <b/>
            <sz val="9"/>
            <color indexed="81"/>
            <rFont val="Tahoma"/>
            <family val="2"/>
          </rPr>
          <t>Cassie Rewis:</t>
        </r>
        <r>
          <rPr>
            <sz val="9"/>
            <color indexed="81"/>
            <rFont val="Tahoma"/>
            <family val="2"/>
          </rPr>
          <t xml:space="preserve">
as of 8/1/17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L1" authorId="0" shapeId="0" xr:uid="{72ABC27E-005A-4211-AC05-72D5A2C301D5}">
      <text>
        <r>
          <rPr>
            <b/>
            <sz val="9"/>
            <color indexed="81"/>
            <rFont val="Tahoma"/>
            <family val="2"/>
          </rPr>
          <t>Cassie Rewis:</t>
        </r>
        <r>
          <rPr>
            <sz val="9"/>
            <color indexed="81"/>
            <rFont val="Tahoma"/>
            <family val="2"/>
          </rPr>
          <t xml:space="preserve">
2080 hours used if total for 2018  less than 2080</t>
        </r>
      </text>
    </comment>
    <comment ref="J8" authorId="0" shapeId="0" xr:uid="{98A77332-3607-44AA-8AA2-32D45CB83193}">
      <text>
        <r>
          <rPr>
            <b/>
            <sz val="9"/>
            <color indexed="81"/>
            <rFont val="Tahoma"/>
            <family val="2"/>
          </rPr>
          <t>Cassie Rewis:</t>
        </r>
        <r>
          <rPr>
            <sz val="9"/>
            <color indexed="81"/>
            <rFont val="Tahoma"/>
            <family val="2"/>
          </rPr>
          <t xml:space="preserve">
Tyler was bumped up to 25.03 on 6/18/2018
</t>
        </r>
      </text>
    </comment>
    <comment ref="J26" authorId="0" shapeId="0" xr:uid="{88B958FC-3BC6-464E-A0C7-EA7E15B0736C}">
      <text>
        <r>
          <rPr>
            <b/>
            <sz val="9"/>
            <color indexed="81"/>
            <rFont val="Tahoma"/>
            <family val="2"/>
          </rPr>
          <t>Cassie Rewis:</t>
        </r>
        <r>
          <rPr>
            <sz val="9"/>
            <color indexed="81"/>
            <rFont val="Tahoma"/>
            <family val="2"/>
          </rPr>
          <t xml:space="preserve">
won't make $23.20 until 1/24/19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D19" authorId="0" shapeId="0" xr:uid="{0B1D02FC-ACB9-4CAA-B959-B600F7F2188D}">
      <text>
        <r>
          <rPr>
            <b/>
            <sz val="9"/>
            <color indexed="81"/>
            <rFont val="Tahoma"/>
            <family val="2"/>
          </rPr>
          <t>Cassie Rewis:</t>
        </r>
        <r>
          <rPr>
            <sz val="9"/>
            <color indexed="81"/>
            <rFont val="Tahoma"/>
            <family val="2"/>
          </rPr>
          <t xml:space="preserve">
difference between P &amp; L &amp; this report
</t>
        </r>
      </text>
    </comment>
    <comment ref="M40" authorId="0" shapeId="0" xr:uid="{7BF127B0-B122-436A-8349-50BF70AD8117}">
      <text>
        <r>
          <rPr>
            <b/>
            <sz val="9"/>
            <color indexed="81"/>
            <rFont val="Tahoma"/>
            <family val="2"/>
          </rPr>
          <t>Cassie Rewis:</t>
        </r>
        <r>
          <rPr>
            <sz val="9"/>
            <color indexed="81"/>
            <rFont val="Tahoma"/>
            <family val="2"/>
          </rPr>
          <t xml:space="preserve">
2080 hours used if total for 2018  less than 2080 Plus OT HOUrs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Cassie Rewis</author>
  </authors>
  <commentList>
    <comment ref="C6" authorId="0" shapeId="0" xr:uid="{D4F29084-745F-442E-9151-1BCD0655D3F9}">
      <text>
        <r>
          <rPr>
            <b/>
            <sz val="9"/>
            <color indexed="81"/>
            <rFont val="Tahoma"/>
            <family val="2"/>
          </rPr>
          <t>Cassie Rewis:</t>
        </r>
        <r>
          <rPr>
            <sz val="9"/>
            <color indexed="81"/>
            <rFont val="Tahoma"/>
            <family val="2"/>
          </rPr>
          <t xml:space="preserve">
as of 11/29/2018
</t>
        </r>
      </text>
    </comment>
    <comment ref="A10" authorId="0" shapeId="0" xr:uid="{FE8E50BA-5E32-454E-A493-A1E3F7054F5D}">
      <text>
        <r>
          <rPr>
            <b/>
            <sz val="9"/>
            <color indexed="81"/>
            <rFont val="Tahoma"/>
            <family val="2"/>
          </rPr>
          <t>Cassie Rewis:</t>
        </r>
        <r>
          <rPr>
            <sz val="9"/>
            <color indexed="81"/>
            <rFont val="Tahoma"/>
            <family val="2"/>
          </rPr>
          <t xml:space="preserve">
Hire date 12-6-16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Weldon Burton</author>
  </authors>
  <commentList>
    <comment ref="F11" authorId="0" shapeId="0" xr:uid="{112A0AB7-C0CF-484C-968A-C405CB3307A2}">
      <text>
        <r>
          <rPr>
            <b/>
            <sz val="9"/>
            <color indexed="81"/>
            <rFont val="Tahoma"/>
            <family val="2"/>
          </rPr>
          <t>Weldon Burton:</t>
        </r>
        <r>
          <rPr>
            <sz val="9"/>
            <color indexed="81"/>
            <rFont val="Tahoma"/>
            <family val="2"/>
          </rPr>
          <t xml:space="preserve">
Regulated Customer 2018 Annual Report
</t>
        </r>
      </text>
    </comment>
  </commentList>
</comments>
</file>

<file path=xl/sharedStrings.xml><?xml version="1.0" encoding="utf-8"?>
<sst xmlns="http://schemas.openxmlformats.org/spreadsheetml/2006/main" count="4510" uniqueCount="1618">
  <si>
    <t>Revenue Requirement</t>
  </si>
  <si>
    <t>Revenue</t>
  </si>
  <si>
    <t>Expenses</t>
  </si>
  <si>
    <t>Tax Rate</t>
  </si>
  <si>
    <t xml:space="preserve"> B &amp; O Tax</t>
  </si>
  <si>
    <t xml:space="preserve"> WUTC Fee</t>
  </si>
  <si>
    <t xml:space="preserve"> City Tax</t>
  </si>
  <si>
    <t xml:space="preserve"> Bad Debts</t>
  </si>
  <si>
    <t>Revenue Sensitive</t>
  </si>
  <si>
    <t>Conversion Factor</t>
  </si>
  <si>
    <t>@EXP(5.72260-(.68367*@LN(T)))</t>
  </si>
  <si>
    <t>@EXP(5.70827-(.68367*@LN(T)))</t>
  </si>
  <si>
    <t>@EXP(5.69850-(.68367*@LN(T)))</t>
  </si>
  <si>
    <t>@EXP(5.69220-(.68367*@LN(T)))</t>
  </si>
  <si>
    <t>ROE</t>
  </si>
  <si>
    <t>Revenues</t>
  </si>
  <si>
    <t>Rubatino Refuse Removal, Inc.</t>
  </si>
  <si>
    <t>Dec 31, 18</t>
  </si>
  <si>
    <t>ASSETS</t>
  </si>
  <si>
    <t>Current Assets</t>
  </si>
  <si>
    <t>Checking/Savings</t>
  </si>
  <si>
    <t>1000000-Bank Accounts</t>
  </si>
  <si>
    <t>1015000 · 1015-000-Checking</t>
  </si>
  <si>
    <t>1025000 · 1025-000- Refunds</t>
  </si>
  <si>
    <t>1035000 · 1035-000- Electronic Savings</t>
  </si>
  <si>
    <t>1065000 · 1065-000- Payroll</t>
  </si>
  <si>
    <t>1095000 · 1095-000- XL Savings</t>
  </si>
  <si>
    <t>Total 1000000-Bank Accounts</t>
  </si>
  <si>
    <t>Total Checking/Savings</t>
  </si>
  <si>
    <t>Accounts Receivable</t>
  </si>
  <si>
    <t>111000 · Account Receivable for MC</t>
  </si>
  <si>
    <t>Total Accounts Receivable</t>
  </si>
  <si>
    <t>Other Current Assets</t>
  </si>
  <si>
    <t>1100000 · Receivable  Assoc Companies RL</t>
  </si>
  <si>
    <t>1110000 · Receivable  Assoc Co. Truckcare</t>
  </si>
  <si>
    <t>1115000 · Notes RecAffiliates(Legal)-ETJ</t>
  </si>
  <si>
    <t>1120001 · Rec(Payable)Insurance Truckcare</t>
  </si>
  <si>
    <t>1120002 · Rec.(Payable) Insurance ETJ</t>
  </si>
  <si>
    <t>1120003 · Rec(Payable) Insur. Intermodal</t>
  </si>
  <si>
    <t>1120004 · Rec(Payable)Insur. Reclamation</t>
  </si>
  <si>
    <t>1120005 · Due from IMS for accounting</t>
  </si>
  <si>
    <t>1120006 · Due from Truckcare for Accounti</t>
  </si>
  <si>
    <t>1120007 · Due from ETJ for accounting</t>
  </si>
  <si>
    <t>1130000 · Employee advances</t>
  </si>
  <si>
    <t>1160001 · Prepaid Expenses</t>
  </si>
  <si>
    <t>1160000 · Prepaid insurance</t>
  </si>
  <si>
    <t>1170000 · Vehicle Licenses</t>
  </si>
  <si>
    <t>Total 1160001 · Prepaid Expenses</t>
  </si>
  <si>
    <t>Total Other Current Assets</t>
  </si>
  <si>
    <t>Total Current Assets</t>
  </si>
  <si>
    <t>Fixed Assets</t>
  </si>
  <si>
    <t>120001 · Fixed Assets</t>
  </si>
  <si>
    <t>1220000 · Collection equipment</t>
  </si>
  <si>
    <t>1230000 · Security storage boxes</t>
  </si>
  <si>
    <t>1240000 · Service cars</t>
  </si>
  <si>
    <t>1260000 · Office furniture and equipment</t>
  </si>
  <si>
    <t>1280000 · Leasehold improvements</t>
  </si>
  <si>
    <t>1290000 · Containers</t>
  </si>
  <si>
    <t>Total 120001 · Fixed Assets</t>
  </si>
  <si>
    <t>130001 · Accumulated Depreciation</t>
  </si>
  <si>
    <t>1320000 · Collection equipment</t>
  </si>
  <si>
    <t>1330000 · Security storage box</t>
  </si>
  <si>
    <t>1340000 · Service cars</t>
  </si>
  <si>
    <t>1360000 · Office furniture</t>
  </si>
  <si>
    <t>1380000 · Leasehold improveme</t>
  </si>
  <si>
    <t>1390000 · Containers</t>
  </si>
  <si>
    <t>130001 · Accumulated Depreciation - Other</t>
  </si>
  <si>
    <t>Total 130001 · Accumulated Depreciation</t>
  </si>
  <si>
    <t>1395000 · Accum AmortIntangibles</t>
  </si>
  <si>
    <t>1550000 · Loan FeesIntangibles</t>
  </si>
  <si>
    <t>Total Fixed Assets</t>
  </si>
  <si>
    <t>Other Assets</t>
  </si>
  <si>
    <t>1520000 · Franchises and permits</t>
  </si>
  <si>
    <t>1620000 · SH receivable-Ed for lexus purc</t>
  </si>
  <si>
    <t>Total Other Assets</t>
  </si>
  <si>
    <t>TOTAL ASSETS</t>
  </si>
  <si>
    <t>LIABILITIES &amp; EQUITY</t>
  </si>
  <si>
    <t>Liabilities</t>
  </si>
  <si>
    <t>Current Liabilities</t>
  </si>
  <si>
    <t>Accounts Payable</t>
  </si>
  <si>
    <t>200000 · Accounts Payable</t>
  </si>
  <si>
    <t>Total Accounts Payable</t>
  </si>
  <si>
    <t>Credit Cards</t>
  </si>
  <si>
    <t>1070000 · Credit Cards</t>
  </si>
  <si>
    <t>1070100 · Capital One # 1790</t>
  </si>
  <si>
    <t>1070200 · Citi Card #6801/6653</t>
  </si>
  <si>
    <t>1070400 · Citi/Costco#8877</t>
  </si>
  <si>
    <t>Total 1070000 · Credit Cards</t>
  </si>
  <si>
    <t>Total Credit Cards</t>
  </si>
  <si>
    <t>Other Current Liabilities</t>
  </si>
  <si>
    <t>2080000 · Payroll Liabilities</t>
  </si>
  <si>
    <t>2080040 · United</t>
  </si>
  <si>
    <t>2080045 · E-Drive</t>
  </si>
  <si>
    <t>Total 2080000 · Payroll Liabilities</t>
  </si>
  <si>
    <t>2120000 · Labor &amp; industry taxes payable</t>
  </si>
  <si>
    <t>2140000 · City business tax payable</t>
  </si>
  <si>
    <t>2150000 · Other taxes payable</t>
  </si>
  <si>
    <t>217000 · Payable ETJ for error on rental</t>
  </si>
  <si>
    <t>2180000 · Money Purchase Pension Payable</t>
  </si>
  <si>
    <t>25500 · Sales Tax Payable</t>
  </si>
  <si>
    <t>2600000 · Unclaimed Property</t>
  </si>
  <si>
    <t>Total Other Current Liabilities</t>
  </si>
  <si>
    <t>Total Current Liabilities</t>
  </si>
  <si>
    <t>Long Term Liabilities</t>
  </si>
  <si>
    <t>2500000 · Notes Payable Heritage Bank</t>
  </si>
  <si>
    <t>Total Long Term Liabilities</t>
  </si>
  <si>
    <t>Total Liabilities</t>
  </si>
  <si>
    <t>Equity</t>
  </si>
  <si>
    <t>2700000 · Common stock</t>
  </si>
  <si>
    <t>2750000 · Treasury Stock</t>
  </si>
  <si>
    <t>2950000 · Distributions</t>
  </si>
  <si>
    <t>32000 · *Retained Earnings</t>
  </si>
  <si>
    <t>Net Income</t>
  </si>
  <si>
    <t>Total Equity</t>
  </si>
  <si>
    <t>TOTAL LIABILITIES &amp; EQUITY</t>
  </si>
  <si>
    <t>Jan 18</t>
  </si>
  <si>
    <t>Feb 18</t>
  </si>
  <si>
    <t>Mar 18</t>
  </si>
  <si>
    <t>Apr 18</t>
  </si>
  <si>
    <t>May 18</t>
  </si>
  <si>
    <t>Jun 18</t>
  </si>
  <si>
    <t>Jul 18</t>
  </si>
  <si>
    <t>Aug 18</t>
  </si>
  <si>
    <t>Sep 18</t>
  </si>
  <si>
    <t>Oct 18</t>
  </si>
  <si>
    <t>Nov 18</t>
  </si>
  <si>
    <t>Dec 18</t>
  </si>
  <si>
    <t>TOTAL</t>
  </si>
  <si>
    <t>Ordinary Income/Expense</t>
  </si>
  <si>
    <t>Income</t>
  </si>
  <si>
    <t>3100000 · Revenues</t>
  </si>
  <si>
    <t>3100100 · Revenues-Garb. Residential</t>
  </si>
  <si>
    <t>3100110 · Revenues-Garb. Commercial</t>
  </si>
  <si>
    <t>3100120 · Revenues-Roll Off</t>
  </si>
  <si>
    <t>3100200 · Revenues-Recycle Residential</t>
  </si>
  <si>
    <t>3100210 · Revenues-Recycle Commercial</t>
  </si>
  <si>
    <t>3100220 · Revenues-Recycle Multi-Family</t>
  </si>
  <si>
    <t>3100300 · Revenues-Yard Waste</t>
  </si>
  <si>
    <t>3100400 · Revenues-Medical Waste</t>
  </si>
  <si>
    <t>3100500 · Revenues-Roll Off Recycle</t>
  </si>
  <si>
    <t>3100600 · Revenues-Storage Container</t>
  </si>
  <si>
    <t>Total 3100000 · Revenues</t>
  </si>
  <si>
    <t>320001 · Income from Sale of Recycle Mat</t>
  </si>
  <si>
    <t>3200200 · Recycle Residential Material</t>
  </si>
  <si>
    <t>3200210 · Recycle Commercial Material</t>
  </si>
  <si>
    <t>3200220 · Recycle Multi-Family Material</t>
  </si>
  <si>
    <t>Total 320001 · Income from Sale of Recycle Mat</t>
  </si>
  <si>
    <t>Total Income</t>
  </si>
  <si>
    <t>Cost of Goods Sold</t>
  </si>
  <si>
    <t>50000 · Cost of Goods Sold</t>
  </si>
  <si>
    <t>Total COGS</t>
  </si>
  <si>
    <t>Gross Profit</t>
  </si>
  <si>
    <t>Expense</t>
  </si>
  <si>
    <t>4110000 · Repairs  supervision</t>
  </si>
  <si>
    <t>4115000 · Repairs  mechanics</t>
  </si>
  <si>
    <t>4120000 · Repairs  shop equipment</t>
  </si>
  <si>
    <t>4130000 · Repairs collection equipment</t>
  </si>
  <si>
    <t>4130100 · Repairs-Garb. Residential</t>
  </si>
  <si>
    <t>4130110 · Repairs -Garb. Commercial</t>
  </si>
  <si>
    <t>4130120 · Repairs-Roll Off</t>
  </si>
  <si>
    <t>4130200 · Repairs-Recycle Residential</t>
  </si>
  <si>
    <t>4130210 · Repairs-Recycle Commercial</t>
  </si>
  <si>
    <t>4130220 · Repairs-Recycle Multi-Family</t>
  </si>
  <si>
    <t>4130300 · Repairs-Yard Waste</t>
  </si>
  <si>
    <t>4130500 · Repairs-Common Carrier</t>
  </si>
  <si>
    <t>4130600 · Repairs-Storage Containers</t>
  </si>
  <si>
    <t>4130000 · Repairs collection equipment - Other</t>
  </si>
  <si>
    <t>Total 4130000 · Repairs collection equipment</t>
  </si>
  <si>
    <t>4160000 · Tires and tubes</t>
  </si>
  <si>
    <t>4160100 · Garbage-Residential</t>
  </si>
  <si>
    <t>4160110 · Garbage-Commercial</t>
  </si>
  <si>
    <t>4160120 · Roll Off</t>
  </si>
  <si>
    <t>4160200 · Recycle-Residential</t>
  </si>
  <si>
    <t>4160210 · Recycle-Commercial</t>
  </si>
  <si>
    <t>4160220 · Recycle-Multi-Family</t>
  </si>
  <si>
    <t>4160300 · Yard Waste</t>
  </si>
  <si>
    <t>4160500 · Common Carrier</t>
  </si>
  <si>
    <t>Total 4160000 · Tires and tubes</t>
  </si>
  <si>
    <t>4200001 · Payroll Expense</t>
  </si>
  <si>
    <t>4213000 · Drivers Wages</t>
  </si>
  <si>
    <t>4213100 · Garbage-Residential</t>
  </si>
  <si>
    <t>4213110 · Garbage-Commercial</t>
  </si>
  <si>
    <t>4213120 · Roll Off</t>
  </si>
  <si>
    <t>4213200 · Recycle-Residential</t>
  </si>
  <si>
    <t>4213210 · Recycle-Commercial</t>
  </si>
  <si>
    <t>4213220 · Recycle Multi-Family</t>
  </si>
  <si>
    <t>4213300 · Yard Waste</t>
  </si>
  <si>
    <t>4213500 · Common Carrier</t>
  </si>
  <si>
    <t>Total 4213000 · Drivers Wages</t>
  </si>
  <si>
    <t>4540000 · L &amp; I (Workman's Compensation)</t>
  </si>
  <si>
    <t>4540100 · Garbage-Residential</t>
  </si>
  <si>
    <t>4540110 · Garbage-Commercial</t>
  </si>
  <si>
    <t>4540120 · Roll Off</t>
  </si>
  <si>
    <t>4540200 · Recycle-Residential</t>
  </si>
  <si>
    <t>4540210 · Recycle-Commercial</t>
  </si>
  <si>
    <t>4540220 · Recycle-Multi-Family</t>
  </si>
  <si>
    <t>4540300 · Yard Waste</t>
  </si>
  <si>
    <t>4540500 · Common Carrier</t>
  </si>
  <si>
    <t>4540000 · L &amp; I (Workman's Compensation) - Other</t>
  </si>
  <si>
    <t>Total 4540000 · L &amp; I (Workman's Compensation)</t>
  </si>
  <si>
    <t>4611000 · Salaries officers</t>
  </si>
  <si>
    <t>4650000 · Employee Healthcare</t>
  </si>
  <si>
    <t>4650100 · Garbage Residential</t>
  </si>
  <si>
    <t>4650110 · Garbage-Commercial</t>
  </si>
  <si>
    <t>4650120 · Roll Off</t>
  </si>
  <si>
    <t>4650200 · Recycle-Residential</t>
  </si>
  <si>
    <t>4650210 · Recycle-Commercial</t>
  </si>
  <si>
    <t>4650220 · Recycle-Multi-Family</t>
  </si>
  <si>
    <t>4650300 · Yard Waste</t>
  </si>
  <si>
    <t>4650500 · Common Carrier</t>
  </si>
  <si>
    <t>Total 4650000 · Employee Healthcare</t>
  </si>
  <si>
    <t>5240000 · FICA-employer portion</t>
  </si>
  <si>
    <t>5240100 · Garbage-Residential</t>
  </si>
  <si>
    <t>5240110 · Garbage-Commercial</t>
  </si>
  <si>
    <t>5240120 · Roll Off</t>
  </si>
  <si>
    <t>5240200 · Recycle-Residential</t>
  </si>
  <si>
    <t>5240210 · Recycle-Commercial</t>
  </si>
  <si>
    <t>5240220 · Recycle-Multi-Family</t>
  </si>
  <si>
    <t>5240300 · Yard Waste</t>
  </si>
  <si>
    <t>5240500 · Common Carrier</t>
  </si>
  <si>
    <t>Total 5240000 · FICA-employer portion</t>
  </si>
  <si>
    <t>5241000 · FUTA</t>
  </si>
  <si>
    <t>5241100 · Garbage-Residential</t>
  </si>
  <si>
    <t>5241110 · Garbage-Commercial</t>
  </si>
  <si>
    <t>5241120 · Roll Off</t>
  </si>
  <si>
    <t>5241200 · Recycle-Residential</t>
  </si>
  <si>
    <t>5241210 · Recycle-Commercial</t>
  </si>
  <si>
    <t>5241220 · Recycle-Multi-Family</t>
  </si>
  <si>
    <t>5241300 · Yard Waste</t>
  </si>
  <si>
    <t>5241500 · Common Carrier</t>
  </si>
  <si>
    <t>Total 5241000 · FUTA</t>
  </si>
  <si>
    <t>5242000 · SUTA</t>
  </si>
  <si>
    <t>5242100 · Garbage-Residential</t>
  </si>
  <si>
    <t>5242110 · Garbage-Commercial</t>
  </si>
  <si>
    <t>5242120 · Roll Off</t>
  </si>
  <si>
    <t>5242200 · Recycle-Residential</t>
  </si>
  <si>
    <t>5242210 · Recycle-Commercial</t>
  </si>
  <si>
    <t>5242220 · Recycle-Multi-Family</t>
  </si>
  <si>
    <t>5242300 · Yard Waste</t>
  </si>
  <si>
    <t>5242500 · Common Carrier</t>
  </si>
  <si>
    <t>Total 5242000 · SUTA</t>
  </si>
  <si>
    <t>Total 4200001 · Payroll Expense</t>
  </si>
  <si>
    <t>4210000 · Supervision collection expense</t>
  </si>
  <si>
    <t>4240000 · Fuel and oil</t>
  </si>
  <si>
    <t>4240100 · Garbage-Residential</t>
  </si>
  <si>
    <t>4240110 · Garbage-Commercial</t>
  </si>
  <si>
    <t>4240120 · Roll Off</t>
  </si>
  <si>
    <t>4240200 · Recycle-Residential</t>
  </si>
  <si>
    <t>4240210 · Recycle-Commercial</t>
  </si>
  <si>
    <t>4240220 · Recycle-Multi-Family</t>
  </si>
  <si>
    <t>4240300 · Yard Waste</t>
  </si>
  <si>
    <t>4240500 · Common Carrier</t>
  </si>
  <si>
    <t>4240000 · Fuel and oil - Other</t>
  </si>
  <si>
    <t>Total 4240000 · Fuel and oil</t>
  </si>
  <si>
    <t>4280000 · Other collection expense</t>
  </si>
  <si>
    <t>4280100 · Garbage-Residential</t>
  </si>
  <si>
    <t>4280110 · Garbage-Commercial</t>
  </si>
  <si>
    <t>4280300 · Yard Waste</t>
  </si>
  <si>
    <t>4280000 · Other collection expense - Other</t>
  </si>
  <si>
    <t>Total 4280000 · Other collection expense</t>
  </si>
  <si>
    <t>4360000 · Dump fees</t>
  </si>
  <si>
    <t>4360100 · Garbage-Residential</t>
  </si>
  <si>
    <t>4360110 · Garbage-Commercial</t>
  </si>
  <si>
    <t>4360120 · Roll off</t>
  </si>
  <si>
    <t>4360200 · Recycle-Residential</t>
  </si>
  <si>
    <t>4360210 · Recycle-Commercial</t>
  </si>
  <si>
    <t>4360300 · Yard Waste</t>
  </si>
  <si>
    <t>4360400 · Medical Waste</t>
  </si>
  <si>
    <t>4360500 · Common Carrier</t>
  </si>
  <si>
    <t>Total 4360000 · Dump fees</t>
  </si>
  <si>
    <t>4370000 · Processing Fees for Recycle</t>
  </si>
  <si>
    <t>4370200 · Recycle Residential</t>
  </si>
  <si>
    <t>4370210 · Recycle-Commercial</t>
  </si>
  <si>
    <t>4370220 · Recycle-Multi-Family</t>
  </si>
  <si>
    <t>Total 4370000 · Processing Fees for Recycle</t>
  </si>
  <si>
    <t>440000 · Admin/Office</t>
  </si>
  <si>
    <t>440100 · Admin Payroll Expense</t>
  </si>
  <si>
    <t>440005 · Pension cont Non Union</t>
  </si>
  <si>
    <t>440010 · Management/Admin Wages</t>
  </si>
  <si>
    <t>440015 · Fica-SS</t>
  </si>
  <si>
    <t>440020 · Fica-Med</t>
  </si>
  <si>
    <t>440025 · L&amp;I</t>
  </si>
  <si>
    <t>440030 · SUTA E-ER</t>
  </si>
  <si>
    <t>440035 · FUTA</t>
  </si>
  <si>
    <t>440040 · Admin Health Insurance</t>
  </si>
  <si>
    <t>Total 440100 · Admin Payroll Expense</t>
  </si>
  <si>
    <t>4430000 · Dues</t>
  </si>
  <si>
    <t>4440000 · Meals/Lodging/Travel</t>
  </si>
  <si>
    <t>4450000 · Advertising and promotion</t>
  </si>
  <si>
    <t>4480000 · Union dues</t>
  </si>
  <si>
    <t>Total 440000 · Admin/Office</t>
  </si>
  <si>
    <t>4530000 · Public liabilityprop damage</t>
  </si>
  <si>
    <t>4560000 · Fire, theft and collision</t>
  </si>
  <si>
    <t>4560100 · Garbage-Residential</t>
  </si>
  <si>
    <t>4560110 · Garbage-Commercial</t>
  </si>
  <si>
    <t>4560120 · Roll Off</t>
  </si>
  <si>
    <t>4560200 · Recycle-Residential</t>
  </si>
  <si>
    <t>4560210 · Recycle-Commercial</t>
  </si>
  <si>
    <t>4560220 · Recycle-Multi-Family</t>
  </si>
  <si>
    <t>4560300 · Yard Waste</t>
  </si>
  <si>
    <t>4560500 · Common Carrier</t>
  </si>
  <si>
    <t>Total 4560000 · Fire, theft and collision</t>
  </si>
  <si>
    <t>4600000 · Field Employees Expense</t>
  </si>
  <si>
    <t>4580000 · Med. &amp; Safety expense</t>
  </si>
  <si>
    <t>4653000 · Pension contTeamsters</t>
  </si>
  <si>
    <t>4653100 · Garbage-Residential</t>
  </si>
  <si>
    <t>4653110 · Garbage-Commercial</t>
  </si>
  <si>
    <t>4653120 · Roll Off</t>
  </si>
  <si>
    <t>4653130 · Boeing</t>
  </si>
  <si>
    <t>4653200 · Recycle-Residential</t>
  </si>
  <si>
    <t>4653210 · Recycle-Commercial</t>
  </si>
  <si>
    <t>4653220 · Recycle-Multi-Family</t>
  </si>
  <si>
    <t>4653300 · Yard Waste</t>
  </si>
  <si>
    <t>4653400 · Medical Waste</t>
  </si>
  <si>
    <t>4653500 · Common Carrier</t>
  </si>
  <si>
    <t>Total 4653000 · Pension contTeamsters</t>
  </si>
  <si>
    <t>Total 4600000 · Field Employees Expense</t>
  </si>
  <si>
    <t>4620000 · Office expense</t>
  </si>
  <si>
    <t>4620001 · Postage</t>
  </si>
  <si>
    <t>4620002 · Office Supplies</t>
  </si>
  <si>
    <t>4620003 · Billboard/Brochures</t>
  </si>
  <si>
    <t>4620005 · Internet/Web</t>
  </si>
  <si>
    <t>4620006 · Water</t>
  </si>
  <si>
    <t>4620009 · Small Office Furniture and Equ.</t>
  </si>
  <si>
    <t>4620010 · Security</t>
  </si>
  <si>
    <t>4620011 · Maintenance and repair</t>
  </si>
  <si>
    <t>462007 · Dues</t>
  </si>
  <si>
    <t>462008 · Bank/Merchant Fees</t>
  </si>
  <si>
    <t>4690000 · Other Administrative</t>
  </si>
  <si>
    <t>4710000 · Public relations</t>
  </si>
  <si>
    <t>5390000 · Rent Office Equipment</t>
  </si>
  <si>
    <t>7530000 · Charitable contributions</t>
  </si>
  <si>
    <t>4620000 · Office expense - Other</t>
  </si>
  <si>
    <t>Total 4620000 · Office expense</t>
  </si>
  <si>
    <t>4630000 · Professional services</t>
  </si>
  <si>
    <t>4630001 · Web/Internet</t>
  </si>
  <si>
    <t>4630002 · Accounting/Legal</t>
  </si>
  <si>
    <t>4630003 · DrugTest</t>
  </si>
  <si>
    <t>4630004 · Payment processing service</t>
  </si>
  <si>
    <t>4630000 · Professional services - Other</t>
  </si>
  <si>
    <t>Total 4630000 · Professional services</t>
  </si>
  <si>
    <t>4640000 · Communications and utilities</t>
  </si>
  <si>
    <t>4640001 · Water/Sewer</t>
  </si>
  <si>
    <t>4640002 · Phone/Wireless</t>
  </si>
  <si>
    <t>4640003 · Electric</t>
  </si>
  <si>
    <t>6460004 · Internet</t>
  </si>
  <si>
    <t>Total 4640000 · Communications and utilities</t>
  </si>
  <si>
    <t>4680000 · Regulatory expenses</t>
  </si>
  <si>
    <t>5000000 · Depreciation Expense</t>
  </si>
  <si>
    <t>5022000 · Collection Equipment</t>
  </si>
  <si>
    <t>5022100 · Garbage-Residential</t>
  </si>
  <si>
    <t>5022110 · Garbage-Commercial</t>
  </si>
  <si>
    <t>5022120 · Roll Off</t>
  </si>
  <si>
    <t>5022200 · Recycle-Residential</t>
  </si>
  <si>
    <t>5022210 · Recycle-Commercial</t>
  </si>
  <si>
    <t>5022220 · Recycle-Multi-Family</t>
  </si>
  <si>
    <t>5022300 · Yard Waste</t>
  </si>
  <si>
    <t>5022400 · Medical Waste</t>
  </si>
  <si>
    <t>Total 5022000 · Collection Equipment</t>
  </si>
  <si>
    <t>5024000 · Depreciation-Containers</t>
  </si>
  <si>
    <t>5024100 · Garbage-Residential</t>
  </si>
  <si>
    <t>5024110 · Garbage-Commercial</t>
  </si>
  <si>
    <t>5024120 · Roll Off</t>
  </si>
  <si>
    <t>5024200 · Recycle-Residential</t>
  </si>
  <si>
    <t>5024210 · Recycle-Commercial</t>
  </si>
  <si>
    <t>Total 5024000 · Depreciation-Containers</t>
  </si>
  <si>
    <t>5050000 · Office Equipment</t>
  </si>
  <si>
    <t>5070000 · Leashold Improvements</t>
  </si>
  <si>
    <t>Total 5000000 · Depreciation Expense</t>
  </si>
  <si>
    <t>5220000 · Vehicle Licenses</t>
  </si>
  <si>
    <t>5220100 · Garbage-Residential</t>
  </si>
  <si>
    <t>5220110 · Garbage-Commercial</t>
  </si>
  <si>
    <t>5220120 · Roll Off</t>
  </si>
  <si>
    <t>5220200 · Recycle-Residential</t>
  </si>
  <si>
    <t>5220210 · Recycle-Commercial</t>
  </si>
  <si>
    <t>5220220 · Recycle-Multi-Family</t>
  </si>
  <si>
    <t>5220300 · Yard Waste</t>
  </si>
  <si>
    <t>5220500 · Common Carrier</t>
  </si>
  <si>
    <t>5220000 · Vehicle Licenses - Other</t>
  </si>
  <si>
    <t>Total 5220000 · Vehicle Licenses</t>
  </si>
  <si>
    <t>5230000 · Property taxes</t>
  </si>
  <si>
    <t>5260000 · Excise/City and B&amp;O Tax</t>
  </si>
  <si>
    <t>5260100 · Garbage-Residential</t>
  </si>
  <si>
    <t>5260110 · Garbage-Commercial</t>
  </si>
  <si>
    <t>5260120 · Roll Off</t>
  </si>
  <si>
    <t>5260200 · Recycle-Residential</t>
  </si>
  <si>
    <t>5260210 · Recycle-Commercial</t>
  </si>
  <si>
    <t>5260220 · Recycle-Multi-Family</t>
  </si>
  <si>
    <t>5260300 · Yard Waste</t>
  </si>
  <si>
    <t>5260500 · Common Carrier</t>
  </si>
  <si>
    <t>5260600 · Storage Containers</t>
  </si>
  <si>
    <t>5260000 · Excise/City and B&amp;O Tax - Other</t>
  </si>
  <si>
    <t>Total 5260000 · Excise/City and B&amp;O Tax</t>
  </si>
  <si>
    <t>5290000 · Licences -Business</t>
  </si>
  <si>
    <t>5300000 · Rent Expense</t>
  </si>
  <si>
    <t>5320000 · Land and structures</t>
  </si>
  <si>
    <t>5340000 · Office equipment</t>
  </si>
  <si>
    <t>Total 5300000 · Rent Expense</t>
  </si>
  <si>
    <t>Total Expense</t>
  </si>
  <si>
    <t>Net Ordinary Income</t>
  </si>
  <si>
    <t>Other Income/Expense</t>
  </si>
  <si>
    <t>Other Income</t>
  </si>
  <si>
    <t>600000 · Other Income</t>
  </si>
  <si>
    <t>6320000 · Gain (loss) sale of equipment</t>
  </si>
  <si>
    <t>6510000 · Interest income</t>
  </si>
  <si>
    <t>6520001 · Gain from Insurance Claims</t>
  </si>
  <si>
    <t>6550000 · Miscellaneous income</t>
  </si>
  <si>
    <t>Total 600000 · Other Income</t>
  </si>
  <si>
    <t>Total Other Income</t>
  </si>
  <si>
    <t>Other Expense</t>
  </si>
  <si>
    <t>6500000 · Other Expense</t>
  </si>
  <si>
    <t>7100000 · Interest expense</t>
  </si>
  <si>
    <t>Total 6500000 · Other Expense</t>
  </si>
  <si>
    <t>Total Other Expense</t>
  </si>
  <si>
    <t>Net Other Income</t>
  </si>
  <si>
    <t>Results of Operations</t>
  </si>
  <si>
    <t>For the period January 1, 2018 through December 31, 2018</t>
  </si>
  <si>
    <t>Per Books</t>
  </si>
  <si>
    <t>Restating Adjustments</t>
  </si>
  <si>
    <t>Pro Forma Adjustments</t>
  </si>
  <si>
    <t xml:space="preserve">Regulated Residential </t>
  </si>
  <si>
    <t xml:space="preserve">Regulated Commercial </t>
  </si>
  <si>
    <t>Regulated Drop Box</t>
  </si>
  <si>
    <t>Regulated Drop Box Pass-Thru</t>
  </si>
  <si>
    <t>Regulated Residential Recycling</t>
  </si>
  <si>
    <t>Recycling-Commercial</t>
  </si>
  <si>
    <t>Recycling - Multi Family</t>
  </si>
  <si>
    <t>Regulated Residential Yard Waste</t>
  </si>
  <si>
    <t>Medical Waste</t>
  </si>
  <si>
    <t>Drop Box Recycle</t>
  </si>
  <si>
    <t>Storage Bins</t>
  </si>
  <si>
    <t xml:space="preserve">Sale-Recycle Material-Residential </t>
  </si>
  <si>
    <t>Sale-Recycle Material-Commerecial</t>
  </si>
  <si>
    <t>Sale-Recycle Material-Multi-Family</t>
  </si>
  <si>
    <t>Total Revenue</t>
  </si>
  <si>
    <t xml:space="preserve">Repair/Mainteance </t>
  </si>
  <si>
    <t>Tires/Tubes</t>
  </si>
  <si>
    <t>Vehicle Licenses</t>
  </si>
  <si>
    <t>Supervisor-collection</t>
  </si>
  <si>
    <t>Driver wages</t>
  </si>
  <si>
    <t>Fuel &amp; Oil</t>
  </si>
  <si>
    <t>Other Collection Expense</t>
  </si>
  <si>
    <t>Disposal Fees</t>
  </si>
  <si>
    <t>Disposal Fees Pass Thru</t>
  </si>
  <si>
    <t>Recycling Processing Fees</t>
  </si>
  <si>
    <t>Dues</t>
  </si>
  <si>
    <t>Advertising/Promotion</t>
  </si>
  <si>
    <t>Customer Damage</t>
  </si>
  <si>
    <t>Workers Compensation (L&amp;I)</t>
  </si>
  <si>
    <t>Insurance</t>
  </si>
  <si>
    <t>Field Employees Medical &amp; Safety Exp</t>
  </si>
  <si>
    <t>Teamsters Pension</t>
  </si>
  <si>
    <t>Salary-Officer</t>
  </si>
  <si>
    <t>Salary-Office</t>
  </si>
  <si>
    <t>Office Expense</t>
  </si>
  <si>
    <t>Charitable Contributions</t>
  </si>
  <si>
    <t>Professional Services</t>
  </si>
  <si>
    <t>Pension-Non Union</t>
  </si>
  <si>
    <t>Employee Healthcare</t>
  </si>
  <si>
    <t>Pension - Union</t>
  </si>
  <si>
    <t>Regulatory Expense - WUTC Fee</t>
  </si>
  <si>
    <t>Depreciation</t>
  </si>
  <si>
    <t>Operating Rents</t>
  </si>
  <si>
    <t>Taxes-B&amp;O</t>
  </si>
  <si>
    <t>Taxes-Employment Security</t>
  </si>
  <si>
    <t>Taxes-Licenses</t>
  </si>
  <si>
    <t>Taxes-Property</t>
  </si>
  <si>
    <t>Taxes-FICA</t>
  </si>
  <si>
    <t>Taxes-FUTA</t>
  </si>
  <si>
    <t>Total Operating Expense</t>
  </si>
  <si>
    <t>Operating Income</t>
  </si>
  <si>
    <t>Other Income (Expense)</t>
  </si>
  <si>
    <t>Gain (Loss) Sale of Equipment</t>
  </si>
  <si>
    <t>Interest Income</t>
  </si>
  <si>
    <t>Insurance Proceeds</t>
  </si>
  <si>
    <t>Miscellaneous Income</t>
  </si>
  <si>
    <t>Interest Expense</t>
  </si>
  <si>
    <t>Total Other Income (Expense)</t>
  </si>
  <si>
    <t>Operating Ratio</t>
  </si>
  <si>
    <t>Taxes-Labor &amp; Industries</t>
  </si>
  <si>
    <t>Meals/Travel/Lodging</t>
  </si>
  <si>
    <t>Communications &amp; Utilities</t>
  </si>
  <si>
    <t>Rubatino Refuse Removal</t>
  </si>
  <si>
    <t>Yd/foodwaste</t>
  </si>
  <si>
    <t>Res Recycle</t>
  </si>
  <si>
    <t>MF Recy</t>
  </si>
  <si>
    <t>Med Waste</t>
  </si>
  <si>
    <t>Com'l Rec</t>
  </si>
  <si>
    <t>CC/storage</t>
  </si>
  <si>
    <t>Non-reg/Oth</t>
  </si>
  <si>
    <t xml:space="preserve">Regulated </t>
  </si>
  <si>
    <t>Straight-Line Depreciation Schedule</t>
  </si>
  <si>
    <t>First Year</t>
  </si>
  <si>
    <t>Second Year</t>
  </si>
  <si>
    <t>Mo</t>
  </si>
  <si>
    <t>Yr</t>
  </si>
  <si>
    <t>Total Allocated Year Depreciation</t>
  </si>
  <si>
    <t>Total Allocated Average Investment</t>
  </si>
  <si>
    <t>Asset Description</t>
  </si>
  <si>
    <t>Date in Service</t>
  </si>
  <si>
    <t>Original Asset Cost</t>
  </si>
  <si>
    <t>Salvage Value</t>
  </si>
  <si>
    <t>Service Life</t>
  </si>
  <si>
    <t>Fully Depreciated</t>
  </si>
  <si>
    <t>Asset Disposal</t>
  </si>
  <si>
    <t>Depreciable Cost</t>
  </si>
  <si>
    <t>Test Year Depreciation</t>
  </si>
  <si>
    <t>Accumulated Depreciation</t>
  </si>
  <si>
    <t>Average Investment</t>
  </si>
  <si>
    <t>Disposal Year Depreciation</t>
  </si>
  <si>
    <t>Total Year Depreciation</t>
  </si>
  <si>
    <t>LOB Allocation</t>
  </si>
  <si>
    <t>Regulated</t>
  </si>
  <si>
    <t>YW</t>
  </si>
  <si>
    <t>Curb</t>
  </si>
  <si>
    <t>MFR</t>
  </si>
  <si>
    <t>MW</t>
  </si>
  <si>
    <t>Oth</t>
  </si>
  <si>
    <t>Branch Allocation</t>
  </si>
  <si>
    <t>Allocated Accumulated Depreciation</t>
  </si>
  <si>
    <t>Purchase Date</t>
  </si>
  <si>
    <t>End of Test Period</t>
  </si>
  <si>
    <t>Date Fully Depreciated</t>
  </si>
  <si>
    <t>Disposition Date</t>
  </si>
  <si>
    <t>List</t>
  </si>
  <si>
    <t>$</t>
  </si>
  <si>
    <t>%</t>
  </si>
  <si>
    <t xml:space="preserve"> Mo.</t>
  </si>
  <si>
    <t xml:space="preserve">  Yr.</t>
  </si>
  <si>
    <t>Monthly</t>
  </si>
  <si>
    <t>Yearly</t>
  </si>
  <si>
    <t>Beginning</t>
  </si>
  <si>
    <t>Ending</t>
  </si>
  <si>
    <t>A</t>
  </si>
  <si>
    <t>B</t>
  </si>
  <si>
    <t>C</t>
  </si>
  <si>
    <t>D</t>
  </si>
  <si>
    <t>E</t>
  </si>
  <si>
    <t>Residential Garbage</t>
  </si>
  <si>
    <t>Group 25000</t>
  </si>
  <si>
    <t>Truck 801 Mack</t>
  </si>
  <si>
    <t>Truck 21 2002 Mack</t>
  </si>
  <si>
    <t>2005 Isuzu 18' Box Truck #89</t>
  </si>
  <si>
    <t>Toter</t>
  </si>
  <si>
    <t>Crane Carrier Chassis - Leach Body</t>
  </si>
  <si>
    <t>Total Residential Garbage</t>
  </si>
  <si>
    <t>Security Storages</t>
  </si>
  <si>
    <t>Group 2000</t>
  </si>
  <si>
    <t>Total Security Storage</t>
  </si>
  <si>
    <t>Service Cars</t>
  </si>
  <si>
    <t>Group 2500</t>
  </si>
  <si>
    <t>Total Service Cars</t>
  </si>
  <si>
    <t>Office Equipment</t>
  </si>
  <si>
    <t>Group 3000</t>
  </si>
  <si>
    <t>iPad</t>
  </si>
  <si>
    <t>Printer</t>
  </si>
  <si>
    <t>Mitel Phone System</t>
  </si>
  <si>
    <t>Dell SAS Server</t>
  </si>
  <si>
    <t>(2) Dell Optiplex 7010 Desktop</t>
  </si>
  <si>
    <t>HP 601 Printer</t>
  </si>
  <si>
    <t>Server Upgrade to cloud technology</t>
  </si>
  <si>
    <t>APS - FP Postage Mail Machine</t>
  </si>
  <si>
    <t>Total Office Equipment</t>
  </si>
  <si>
    <t>Comm Recycle</t>
  </si>
  <si>
    <t>Group 23000</t>
  </si>
  <si>
    <t>2009 Autocar Front Loader - TRK #2</t>
  </si>
  <si>
    <t>2008 International 7300 #69</t>
  </si>
  <si>
    <t>Geo Heiser Body</t>
  </si>
  <si>
    <t>Total Comm Recycle</t>
  </si>
  <si>
    <t>Residential Recycle</t>
  </si>
  <si>
    <t>Group 26000</t>
  </si>
  <si>
    <t>Truck 165</t>
  </si>
  <si>
    <t>Truck 166</t>
  </si>
  <si>
    <t>New engine #</t>
  </si>
  <si>
    <t>Total Residential Recycle</t>
  </si>
  <si>
    <t>Yardwaste - 27000</t>
  </si>
  <si>
    <t>1999 Mack 75</t>
  </si>
  <si>
    <t>1999 Mack 76</t>
  </si>
  <si>
    <t>Mack Truck 77</t>
  </si>
  <si>
    <t>Mack Truck 78</t>
  </si>
  <si>
    <t>Truck 79</t>
  </si>
  <si>
    <t>Total Yardwaste</t>
  </si>
  <si>
    <t>Group 31000</t>
  </si>
  <si>
    <t>2005 Boxes</t>
  </si>
  <si>
    <t>2006 Boxes</t>
  </si>
  <si>
    <t>2007 Boxes</t>
  </si>
  <si>
    <t>2008 Boxes</t>
  </si>
  <si>
    <t>Waste Water Bins</t>
  </si>
  <si>
    <t>Containers (24)</t>
  </si>
  <si>
    <t>Containers (2)</t>
  </si>
  <si>
    <t>Commercial Containers 32000</t>
  </si>
  <si>
    <t>Group 32000</t>
  </si>
  <si>
    <t>2005 Containers</t>
  </si>
  <si>
    <t>2006 Containers</t>
  </si>
  <si>
    <t>2007 Containers</t>
  </si>
  <si>
    <t>2008 Containers</t>
  </si>
  <si>
    <t>2009 Containers</t>
  </si>
  <si>
    <t>2013 Containers</t>
  </si>
  <si>
    <t>2014 Containers</t>
  </si>
  <si>
    <t>2015 Containers</t>
  </si>
  <si>
    <t>2016 Containers</t>
  </si>
  <si>
    <t>2017 Containers</t>
  </si>
  <si>
    <t>2018 Containers</t>
  </si>
  <si>
    <t>Total Commercial Containers 32000</t>
  </si>
  <si>
    <t>Commercial Recycle 33000</t>
  </si>
  <si>
    <t>Group 33000</t>
  </si>
  <si>
    <t>2014 Boxes</t>
  </si>
  <si>
    <t>Total Commercial Recycle 33000</t>
  </si>
  <si>
    <t>Group 36000</t>
  </si>
  <si>
    <t>424 96 Gal Green</t>
  </si>
  <si>
    <t>624 96 Gal Green</t>
  </si>
  <si>
    <t>Containers (6000)</t>
  </si>
  <si>
    <t>Residential Refuse</t>
  </si>
  <si>
    <t>Group 36500</t>
  </si>
  <si>
    <t>2015 Brown Toter Containers</t>
  </si>
  <si>
    <t>2016 Brown Toters</t>
  </si>
  <si>
    <t>2016 Brown, Bray &amp; Tan Toters</t>
  </si>
  <si>
    <t>Containers</t>
  </si>
  <si>
    <t>Total Residential Refuse</t>
  </si>
  <si>
    <t>LHI</t>
  </si>
  <si>
    <t>Group 5000</t>
  </si>
  <si>
    <t>2013</t>
  </si>
  <si>
    <t>Total LHI</t>
  </si>
  <si>
    <t>Loan Fees</t>
  </si>
  <si>
    <t>Group 6000</t>
  </si>
  <si>
    <t>Total Loan Fees</t>
  </si>
  <si>
    <t>Commercial Garbage</t>
  </si>
  <si>
    <t>Group 22000</t>
  </si>
  <si>
    <t>Truck 59</t>
  </si>
  <si>
    <t>Truck 20</t>
  </si>
  <si>
    <t>Truck 22</t>
  </si>
  <si>
    <t>2007 Mack LE</t>
  </si>
  <si>
    <t>Rear Load Repairs</t>
  </si>
  <si>
    <t>Total Commercial Garbage</t>
  </si>
  <si>
    <t>Roll-Off #21000</t>
  </si>
  <si>
    <t>Group-21000</t>
  </si>
  <si>
    <t>D-1 1997 Mack</t>
  </si>
  <si>
    <t>D-4 1997 Mack</t>
  </si>
  <si>
    <t>D-5 1997 Mack</t>
  </si>
  <si>
    <t>2-83 Ford d12-13</t>
  </si>
  <si>
    <t>D-3a</t>
  </si>
  <si>
    <t>1996 Mack Roll-Off (D-6)</t>
  </si>
  <si>
    <t xml:space="preserve">D-7 Volvo Roll </t>
  </si>
  <si>
    <t>D-9 Roll-Off Peterbilt</t>
  </si>
  <si>
    <t>Total Roll-Off #21000</t>
  </si>
  <si>
    <t>Total Assets</t>
  </si>
  <si>
    <t>Fuel</t>
  </si>
  <si>
    <t>Invoice Date</t>
  </si>
  <si>
    <t>Total</t>
  </si>
  <si>
    <t>Type of Fuel</t>
  </si>
  <si>
    <t>Gallons</t>
  </si>
  <si>
    <t>Price Per Gallon</t>
  </si>
  <si>
    <t>Sale Amount</t>
  </si>
  <si>
    <t>Federal Tax</t>
  </si>
  <si>
    <t>State Tax</t>
  </si>
  <si>
    <t>Local Tax</t>
  </si>
  <si>
    <t>Sales Tax</t>
  </si>
  <si>
    <t>Diesel</t>
  </si>
  <si>
    <t>U87 10% ETH</t>
  </si>
  <si>
    <t>DEF Bulk</t>
  </si>
  <si>
    <t>Yardwaste</t>
  </si>
  <si>
    <t xml:space="preserve">Residential </t>
  </si>
  <si>
    <t>Multi-Family</t>
  </si>
  <si>
    <t>Garbage Residental</t>
  </si>
  <si>
    <t>Commercial</t>
  </si>
  <si>
    <t>Roll Off</t>
  </si>
  <si>
    <t xml:space="preserve"> Roll Off</t>
  </si>
  <si>
    <t>Foodwaste</t>
  </si>
  <si>
    <t>Recycle</t>
  </si>
  <si>
    <t xml:space="preserve">Recycing </t>
  </si>
  <si>
    <t>Waste</t>
  </si>
  <si>
    <t xml:space="preserve">Recycling </t>
  </si>
  <si>
    <t>Garbage</t>
  </si>
  <si>
    <t>SubTotal</t>
  </si>
  <si>
    <t>Company Per Books</t>
  </si>
  <si>
    <t>Percentage</t>
  </si>
  <si>
    <t>Collection Equipment - Group 2000</t>
  </si>
  <si>
    <t>Puget Sound Truck #81</t>
  </si>
  <si>
    <t>Difference-Moss Adams Removed Painting on Truck #77</t>
  </si>
  <si>
    <t>Company Financials</t>
  </si>
  <si>
    <t>For the period January 2018 - December 2018</t>
  </si>
  <si>
    <t>Nelson</t>
  </si>
  <si>
    <t>Petro</t>
  </si>
  <si>
    <t>FUEL REFUND</t>
  </si>
  <si>
    <t>U92 10% ETH</t>
  </si>
  <si>
    <t>55 Gal Drum</t>
  </si>
  <si>
    <t>For the period January 2019 - April 16, 2019</t>
  </si>
  <si>
    <t>Per Books Amount</t>
  </si>
  <si>
    <t>Adjustment</t>
  </si>
  <si>
    <t>EE #</t>
  </si>
  <si>
    <t>Employee by Name</t>
  </si>
  <si>
    <t>HOURS/year</t>
  </si>
  <si>
    <t>Gross Wages</t>
  </si>
  <si>
    <t>Hire Date</t>
  </si>
  <si>
    <t>TERM DATE</t>
  </si>
  <si>
    <t>AFFILIATION</t>
  </si>
  <si>
    <t>DEPARTMENT</t>
  </si>
  <si>
    <t>Rate as of 8/1/17</t>
  </si>
  <si>
    <t>Rate as of 8/1/18</t>
  </si>
  <si>
    <t>union</t>
  </si>
  <si>
    <t>Res. Garbage</t>
  </si>
  <si>
    <t>Roll Off/Boeing</t>
  </si>
  <si>
    <t>Commerical Garbage</t>
  </si>
  <si>
    <t xml:space="preserve">UNION </t>
  </si>
  <si>
    <t>Rate as of 4/1/18</t>
  </si>
  <si>
    <t>Rate as of 4/1/19</t>
  </si>
  <si>
    <t>DEPT</t>
  </si>
  <si>
    <t>Res. Recyclers</t>
  </si>
  <si>
    <t>001605</t>
  </si>
  <si>
    <t>Res Recyclers</t>
  </si>
  <si>
    <t>Comm. Recyclers</t>
  </si>
  <si>
    <t>Recycle Roll off</t>
  </si>
  <si>
    <t>Yard Waste</t>
  </si>
  <si>
    <t>Payroll</t>
  </si>
  <si>
    <t>Wages per books</t>
  </si>
  <si>
    <t>Res Recy</t>
  </si>
  <si>
    <t>Com'l Garbage</t>
  </si>
  <si>
    <t>Comm Recy</t>
  </si>
  <si>
    <t>Recy Rolloff</t>
  </si>
  <si>
    <t>Comm Garbage</t>
  </si>
  <si>
    <t>Drivers</t>
  </si>
  <si>
    <t>Supervision</t>
  </si>
  <si>
    <t>Officers</t>
  </si>
  <si>
    <t>General office</t>
  </si>
  <si>
    <t>Source ADP</t>
  </si>
  <si>
    <t xml:space="preserve"> payroll reports</t>
  </si>
  <si>
    <t>per 941's</t>
  </si>
  <si>
    <t xml:space="preserve">Fica </t>
  </si>
  <si>
    <t>Medicare</t>
  </si>
  <si>
    <t>Rate</t>
  </si>
  <si>
    <t>Wages by Employee</t>
  </si>
  <si>
    <t>Refuse</t>
  </si>
  <si>
    <t xml:space="preserve">PROPOSED </t>
  </si>
  <si>
    <t>Drop Box</t>
  </si>
  <si>
    <t>Proposed</t>
  </si>
  <si>
    <t xml:space="preserve">WAGE </t>
  </si>
  <si>
    <t>Term Date</t>
  </si>
  <si>
    <t>INCREASE</t>
  </si>
  <si>
    <t>(includes benefit hrs)</t>
  </si>
  <si>
    <t>Ed Rubatino</t>
  </si>
  <si>
    <t>non-union</t>
  </si>
  <si>
    <t>office</t>
  </si>
  <si>
    <t>Paula Larson</t>
  </si>
  <si>
    <t>Cassie Rewis</t>
  </si>
  <si>
    <t>For the period January 1, 2018 to December 31, 2018</t>
  </si>
  <si>
    <t>Rate as of 8/1/2019</t>
  </si>
  <si>
    <t>Rate as of 1/2018</t>
  </si>
  <si>
    <t>Non Regulated</t>
  </si>
  <si>
    <t>Federal</t>
  </si>
  <si>
    <t>Hourly Rate</t>
  </si>
  <si>
    <t>For the calendar year 2019</t>
  </si>
  <si>
    <t>Commercial Recycling</t>
  </si>
  <si>
    <t>Residential Recycling</t>
  </si>
  <si>
    <t>Revenues  Book</t>
  </si>
  <si>
    <t>Residential</t>
  </si>
  <si>
    <t>Roll-Off</t>
  </si>
  <si>
    <t>Recycle-Multi Family</t>
  </si>
  <si>
    <t>Roll-Off Recycle</t>
  </si>
  <si>
    <t>Storage Container</t>
  </si>
  <si>
    <t>Less:</t>
  </si>
  <si>
    <t>Disposal Pass-Thru</t>
  </si>
  <si>
    <t>Non-regulated Roll-Off Recycle</t>
  </si>
  <si>
    <t>Non-regulated Storage Container</t>
  </si>
  <si>
    <t>Regulated Revenue</t>
  </si>
  <si>
    <t>Revenues - Price Out Calculations</t>
  </si>
  <si>
    <t>Everett</t>
  </si>
  <si>
    <t>Can/container</t>
  </si>
  <si>
    <t>Mukilteo</t>
  </si>
  <si>
    <t>Residential Customer Count - Everett</t>
  </si>
  <si>
    <t xml:space="preserve">Tariff </t>
  </si>
  <si>
    <t>Annual</t>
  </si>
  <si>
    <t>Description</t>
  </si>
  <si>
    <t>Item Number</t>
  </si>
  <si>
    <t>Count</t>
  </si>
  <si>
    <t>Rates</t>
  </si>
  <si>
    <t>Residt'l-Mini</t>
  </si>
  <si>
    <t xml:space="preserve"> 1 can Monthly</t>
  </si>
  <si>
    <t xml:space="preserve"> 1 can</t>
  </si>
  <si>
    <t xml:space="preserve"> 2 can</t>
  </si>
  <si>
    <t xml:space="preserve"> 3 can</t>
  </si>
  <si>
    <t xml:space="preserve"> 4 can</t>
  </si>
  <si>
    <t xml:space="preserve"> 5 can</t>
  </si>
  <si>
    <t xml:space="preserve"> 6 can</t>
  </si>
  <si>
    <t>recy only</t>
  </si>
  <si>
    <t>20 gal toter</t>
  </si>
  <si>
    <t>32 gal toter</t>
  </si>
  <si>
    <t>2-32 gal toter</t>
  </si>
  <si>
    <t>48 gal toter</t>
  </si>
  <si>
    <t>64 gal toter</t>
  </si>
  <si>
    <t>2-64 gal toter</t>
  </si>
  <si>
    <t>3-64 gal toter</t>
  </si>
  <si>
    <t>96 gal toter</t>
  </si>
  <si>
    <t>2 - 96 gal toter</t>
  </si>
  <si>
    <t>3 - 96 gal toter</t>
  </si>
  <si>
    <t>1 per mo</t>
  </si>
  <si>
    <t>Extras</t>
  </si>
  <si>
    <t>Bulky Material</t>
  </si>
  <si>
    <t>NSF Check Charge</t>
  </si>
  <si>
    <t>Restart Fees</t>
  </si>
  <si>
    <t>Distance 5'-25'</t>
  </si>
  <si>
    <t>Annual  Revenue</t>
  </si>
  <si>
    <t xml:space="preserve">EVERETT WITHOUT RECYCLING </t>
  </si>
  <si>
    <t>Revenue Per Price-Out</t>
  </si>
  <si>
    <t>Commercial Customer Count</t>
  </si>
  <si>
    <t>Current</t>
  </si>
  <si>
    <t>impact</t>
  </si>
  <si>
    <t>Extra Commercial Cans</t>
  </si>
  <si>
    <t xml:space="preserve">ComCans Min </t>
  </si>
  <si>
    <t>2 Can Commercial</t>
  </si>
  <si>
    <t>3 Can Commercial</t>
  </si>
  <si>
    <t>4 Can Commercial</t>
  </si>
  <si>
    <t>5 Can Commercial</t>
  </si>
  <si>
    <t>6 Can Commercial</t>
  </si>
  <si>
    <t>7 Can Commercial</t>
  </si>
  <si>
    <t>8 Can Commercial</t>
  </si>
  <si>
    <t>Loose Yds</t>
  </si>
  <si>
    <t>1yd - 1x</t>
  </si>
  <si>
    <t>1yd - 2x</t>
  </si>
  <si>
    <t>1yd - 3x</t>
  </si>
  <si>
    <t>1yd - 5x</t>
  </si>
  <si>
    <t>2yd - 1x</t>
  </si>
  <si>
    <t>2yd - 2x</t>
  </si>
  <si>
    <t>2yd - 3x</t>
  </si>
  <si>
    <t>2yd - 4x</t>
  </si>
  <si>
    <t>2yd - 5x</t>
  </si>
  <si>
    <t>2yd - 6x</t>
  </si>
  <si>
    <t>3yd - 1x</t>
  </si>
  <si>
    <t>3yd - 2x</t>
  </si>
  <si>
    <t>3yd - 3x</t>
  </si>
  <si>
    <t>3yd - 4x</t>
  </si>
  <si>
    <t>3yd - 5x</t>
  </si>
  <si>
    <t>3yd - 6x</t>
  </si>
  <si>
    <t>4yd - 1x</t>
  </si>
  <si>
    <t>4yd - 2x</t>
  </si>
  <si>
    <t>4yd - 3x</t>
  </si>
  <si>
    <t>4yd - 4x</t>
  </si>
  <si>
    <t>6yd - 1x</t>
  </si>
  <si>
    <t>6yd - 2x</t>
  </si>
  <si>
    <t>6yd - 3x</t>
  </si>
  <si>
    <t>6yd - 4x</t>
  </si>
  <si>
    <t>6yd - 5x</t>
  </si>
  <si>
    <t>8yd - 1x</t>
  </si>
  <si>
    <t>8yd - 2x</t>
  </si>
  <si>
    <t>8yd - 3x</t>
  </si>
  <si>
    <t>8yd - 5x</t>
  </si>
  <si>
    <t>32 Gallon Toter</t>
  </si>
  <si>
    <t>32 Gallon Toter 2X</t>
  </si>
  <si>
    <t>32 Gallon Toter 3X</t>
  </si>
  <si>
    <t>32 Gallon Toter 4X</t>
  </si>
  <si>
    <t xml:space="preserve">48 Gallon Toter </t>
  </si>
  <si>
    <t>48 Gallon Toter 2X</t>
  </si>
  <si>
    <t>48 Gallon Toter 3X</t>
  </si>
  <si>
    <t>48 Gallon Toter 4X</t>
  </si>
  <si>
    <t>64 gallon</t>
  </si>
  <si>
    <t>64 gallon 2x</t>
  </si>
  <si>
    <t>64 gallon 3x</t>
  </si>
  <si>
    <t>96 gallon</t>
  </si>
  <si>
    <t>96 gallon 2x</t>
  </si>
  <si>
    <t>96 gallon 3x</t>
  </si>
  <si>
    <t>96 gallon 4x</t>
  </si>
  <si>
    <t>Extra Yardage</t>
  </si>
  <si>
    <t>Commercial Yard Waste</t>
  </si>
  <si>
    <t>Restart Fee</t>
  </si>
  <si>
    <t xml:space="preserve">Total Containers &amp; Cans </t>
  </si>
  <si>
    <t>Multi-Family Recycling Services</t>
  </si>
  <si>
    <t>1yd Container</t>
  </si>
  <si>
    <t>1yd Container 2x</t>
  </si>
  <si>
    <t>1yd Container 3x</t>
  </si>
  <si>
    <t>1yd Container 5x</t>
  </si>
  <si>
    <t>2yd Container</t>
  </si>
  <si>
    <t>2yd Container 2x</t>
  </si>
  <si>
    <t>2yd Container 3x</t>
  </si>
  <si>
    <t>2yd Container 4x</t>
  </si>
  <si>
    <t>3yd Container</t>
  </si>
  <si>
    <t>3yd Container 2x</t>
  </si>
  <si>
    <t>3yd Container 3x</t>
  </si>
  <si>
    <t>3yd Container 4x</t>
  </si>
  <si>
    <t>3yd Container 5x</t>
  </si>
  <si>
    <t>4yd Container</t>
  </si>
  <si>
    <t>4yd Container 2x</t>
  </si>
  <si>
    <t>4yd Container 3x</t>
  </si>
  <si>
    <t xml:space="preserve">6yd Container </t>
  </si>
  <si>
    <t>6yd Container 2x</t>
  </si>
  <si>
    <t>6yd Container 3x</t>
  </si>
  <si>
    <t xml:space="preserve">8yd Container </t>
  </si>
  <si>
    <t>Extra's</t>
  </si>
  <si>
    <t>Yardage</t>
  </si>
  <si>
    <t xml:space="preserve">Annual </t>
  </si>
  <si>
    <t>DROP BOXES</t>
  </si>
  <si>
    <t>2 Yd Compactor</t>
  </si>
  <si>
    <t>3 Yd Compactor</t>
  </si>
  <si>
    <t>4 Yd Compactor</t>
  </si>
  <si>
    <t>6 Yd Compactor</t>
  </si>
  <si>
    <t>10 yd - 1st Pickup</t>
  </si>
  <si>
    <t>10 yd - Additional Pickup</t>
  </si>
  <si>
    <t>20 yd - 1st Pickup</t>
  </si>
  <si>
    <t>20 yd - Additional Pickup</t>
  </si>
  <si>
    <t>25 yd - 1st Pickup</t>
  </si>
  <si>
    <t>25 yd - Additional Pickup</t>
  </si>
  <si>
    <t>30 yd - 1st Pickup</t>
  </si>
  <si>
    <t>30 yd - Additional Pickup</t>
  </si>
  <si>
    <t>35 yd - 1st Pickup</t>
  </si>
  <si>
    <t>35 yd - Additional Pickup</t>
  </si>
  <si>
    <t>40 yd - 1st Pickup</t>
  </si>
  <si>
    <t>40 yd - Additional Pickup</t>
  </si>
  <si>
    <t>20 yd compactor</t>
  </si>
  <si>
    <t>30 yd compactor</t>
  </si>
  <si>
    <t>20 yd daily rent</t>
  </si>
  <si>
    <t>35 yd daily rent</t>
  </si>
  <si>
    <t>40 yd daily rent</t>
  </si>
  <si>
    <t>20 yd monthly rent</t>
  </si>
  <si>
    <t>30 yd monthly rent</t>
  </si>
  <si>
    <t>35 yd monthly rent</t>
  </si>
  <si>
    <t>40 yd monthly rent</t>
  </si>
  <si>
    <t>Mileage</t>
  </si>
  <si>
    <t>260-275</t>
  </si>
  <si>
    <t>Delivery</t>
  </si>
  <si>
    <t>Time</t>
  </si>
  <si>
    <t>Total Commercial</t>
  </si>
  <si>
    <t>Residential Customer Count - Mukilteo</t>
  </si>
  <si>
    <t>For the period January 1, 2018 to January 31, 2018</t>
  </si>
  <si>
    <t>MUKILTEO WITH RECYCLING</t>
  </si>
  <si>
    <t>2 - 32 gal toter</t>
  </si>
  <si>
    <t>2 - 48 gal toter</t>
  </si>
  <si>
    <t>2 - 64 gal toter</t>
  </si>
  <si>
    <t>2 -96 gal toter</t>
  </si>
  <si>
    <t>Restart</t>
  </si>
  <si>
    <t>MUKILTEO WITHOUT RECYCLING</t>
  </si>
  <si>
    <t>1 32 gal toter per mo</t>
  </si>
  <si>
    <t>Commercial Customer Count - Mukilteo</t>
  </si>
  <si>
    <t>For the period July 1, 2017 to June 30, 2018</t>
  </si>
  <si>
    <t>Comm'l Cans</t>
  </si>
  <si>
    <t>Multi-Family Recycling</t>
  </si>
  <si>
    <t>City of Mukilteo Franchise Fee &amp; Utility Tax</t>
  </si>
  <si>
    <t>For the Calendar Year 2018</t>
  </si>
  <si>
    <t>Utility Tax</t>
  </si>
  <si>
    <t>Franchise Fee</t>
  </si>
  <si>
    <t>Gross</t>
  </si>
  <si>
    <t>Less</t>
  </si>
  <si>
    <t>Recepts</t>
  </si>
  <si>
    <t>Deductions</t>
  </si>
  <si>
    <t>Tax @ 6%</t>
  </si>
  <si>
    <t>Tax @ 6.7%</t>
  </si>
  <si>
    <t>January</t>
  </si>
  <si>
    <t>February</t>
  </si>
  <si>
    <t>March</t>
  </si>
  <si>
    <t xml:space="preserve">April </t>
  </si>
  <si>
    <t>May</t>
  </si>
  <si>
    <t>June</t>
  </si>
  <si>
    <t>July</t>
  </si>
  <si>
    <t xml:space="preserve">August </t>
  </si>
  <si>
    <t>September</t>
  </si>
  <si>
    <t>October</t>
  </si>
  <si>
    <t>November</t>
  </si>
  <si>
    <t>December</t>
  </si>
  <si>
    <t>Tax included in gross receipts</t>
  </si>
  <si>
    <t>City of Everett Utility Tax &amp; B&amp;O Tax</t>
  </si>
  <si>
    <t>B&amp;O Tax</t>
  </si>
  <si>
    <t>Gross Receipts</t>
  </si>
  <si>
    <t>Wholesale</t>
  </si>
  <si>
    <t>Retail</t>
  </si>
  <si>
    <t>Service</t>
  </si>
  <si>
    <t>Tax @ .01%</t>
  </si>
  <si>
    <t xml:space="preserve">Washington State Service &amp; Refuse Collection </t>
  </si>
  <si>
    <t>Sales &amp; Use Tax</t>
  </si>
  <si>
    <t>Retailing</t>
  </si>
  <si>
    <t>Use Tax</t>
  </si>
  <si>
    <t>Local</t>
  </si>
  <si>
    <t>Collection</t>
  </si>
  <si>
    <t>Tax Paid</t>
  </si>
  <si>
    <t>Tax Summary</t>
  </si>
  <si>
    <t>Sale-Recycle Material-Commercial</t>
  </si>
  <si>
    <t xml:space="preserve">Repair/Maintenance </t>
  </si>
  <si>
    <t>Pro Forma Present</t>
  </si>
  <si>
    <t>Disposal Expense</t>
  </si>
  <si>
    <t>For the period of 2018</t>
  </si>
  <si>
    <t>Drop Box/Roll Off</t>
  </si>
  <si>
    <t>Yard</t>
  </si>
  <si>
    <t xml:space="preserve">Food </t>
  </si>
  <si>
    <t>Contaminated</t>
  </si>
  <si>
    <t>Medical</t>
  </si>
  <si>
    <t>Dirty</t>
  </si>
  <si>
    <t xml:space="preserve">Clean </t>
  </si>
  <si>
    <t>Wood/Demo</t>
  </si>
  <si>
    <t>Asbestos</t>
  </si>
  <si>
    <t>Common Carrier</t>
  </si>
  <si>
    <t>Disposal Facility</t>
  </si>
  <si>
    <t>Month</t>
  </si>
  <si>
    <t>Tonnage</t>
  </si>
  <si>
    <t>Cost per ton</t>
  </si>
  <si>
    <t>Recycling</t>
  </si>
  <si>
    <t>Pass-Thru</t>
  </si>
  <si>
    <t>Recyling</t>
  </si>
  <si>
    <t>Concrete</t>
  </si>
  <si>
    <t>Debris</t>
  </si>
  <si>
    <t>SHELCO</t>
  </si>
  <si>
    <t>April</t>
  </si>
  <si>
    <t>August</t>
  </si>
  <si>
    <t>UNITED</t>
  </si>
  <si>
    <t>REGIONAL</t>
  </si>
  <si>
    <t>$725 /container</t>
  </si>
  <si>
    <t>January 9-January 11</t>
  </si>
  <si>
    <t>$754/container</t>
  </si>
  <si>
    <t>WASTE MGMT</t>
  </si>
  <si>
    <t xml:space="preserve">July </t>
  </si>
  <si>
    <t>WM RECY AMERICA</t>
  </si>
  <si>
    <t>SNO COUNTY</t>
  </si>
  <si>
    <t>CEDAR GROVE RECY</t>
  </si>
  <si>
    <t>CEDAR Grove Organic</t>
  </si>
  <si>
    <t>Riverside TopSoil</t>
  </si>
  <si>
    <t>Riverside Sand</t>
  </si>
  <si>
    <t>P &amp; L</t>
  </si>
  <si>
    <t>December Invoices included in spreadsheet not in QB for 2018</t>
  </si>
  <si>
    <t>Trucking</t>
  </si>
  <si>
    <t>Residential Recyling Tons at Cedar Grove</t>
  </si>
  <si>
    <t>Commercial Recyling Tons at Cedar Grove</t>
  </si>
  <si>
    <t>Trucking Loads at Cedar Grove</t>
  </si>
  <si>
    <t>Disposal Cost - Historical</t>
  </si>
  <si>
    <t>Disposal Cost - Pro Forma</t>
  </si>
  <si>
    <t>Non-Public Companies</t>
  </si>
  <si>
    <t>nonpubco</t>
  </si>
  <si>
    <r>
      <t xml:space="preserve">LURITO - GALLAGHER FORMULA  MODEL 2018  </t>
    </r>
    <r>
      <rPr>
        <sz val="8"/>
        <color indexed="9"/>
        <rFont val="Calibri"/>
        <family val="2"/>
      </rPr>
      <t>V5.0a</t>
    </r>
  </si>
  <si>
    <t>CALCULATION TABLES</t>
  </si>
  <si>
    <t>Revenue Senstive Taxes (RevS)</t>
  </si>
  <si>
    <t>(b) + (c)</t>
  </si>
  <si>
    <t>(d) + (e)</t>
  </si>
  <si>
    <t>Regession</t>
  </si>
  <si>
    <t>Hauler</t>
  </si>
  <si>
    <t>Revenue Req</t>
  </si>
  <si>
    <t xml:space="preserve">Revenue </t>
  </si>
  <si>
    <t>INPUTS - Test Year</t>
  </si>
  <si>
    <t>(a)</t>
  </si>
  <si>
    <t>(b)</t>
  </si>
  <si>
    <t>(c)</t>
  </si>
  <si>
    <t>(d)</t>
  </si>
  <si>
    <t>(e)</t>
  </si>
  <si>
    <t>(f)</t>
  </si>
  <si>
    <t>Before Tax</t>
  </si>
  <si>
    <t>Adjusted</t>
  </si>
  <si>
    <t>After Tax</t>
  </si>
  <si>
    <t>Weighted Cost</t>
  </si>
  <si>
    <t>Before RevS</t>
  </si>
  <si>
    <t xml:space="preserve"> Increase Before</t>
  </si>
  <si>
    <t>Increase After</t>
  </si>
  <si>
    <t xml:space="preserve">RevS </t>
  </si>
  <si>
    <t xml:space="preserve">Total </t>
  </si>
  <si>
    <t>Operating Revenue</t>
  </si>
  <si>
    <t>Line</t>
  </si>
  <si>
    <t>Historical</t>
  </si>
  <si>
    <t>Proforma</t>
  </si>
  <si>
    <t>Add: Revenue</t>
  </si>
  <si>
    <t>Profit Ratio</t>
  </si>
  <si>
    <t>BTROI</t>
  </si>
  <si>
    <t>WCDebt</t>
  </si>
  <si>
    <t>BTROE</t>
  </si>
  <si>
    <t>Equity BFT</t>
  </si>
  <si>
    <t>Debt</t>
  </si>
  <si>
    <t>BTROR</t>
  </si>
  <si>
    <t>Taxes</t>
  </si>
  <si>
    <t>RevS Taxes</t>
  </si>
  <si>
    <t>Operating Expenses</t>
  </si>
  <si>
    <t>No.</t>
  </si>
  <si>
    <t>Change</t>
  </si>
  <si>
    <t xml:space="preserve"> Sensitive Taxes</t>
  </si>
  <si>
    <t>Requirment</t>
  </si>
  <si>
    <t>Investment</t>
  </si>
  <si>
    <t>Capital Structure - Debt %</t>
  </si>
  <si>
    <t>Capital Structure - Debt Cost</t>
  </si>
  <si>
    <t>Federal Income Tax Rate</t>
  </si>
  <si>
    <t>2nd Iteration</t>
  </si>
  <si>
    <t>B&amp;O Tax Rate</t>
  </si>
  <si>
    <t>WUTC Fee</t>
  </si>
  <si>
    <t>Income Tax Expense</t>
  </si>
  <si>
    <t>City Tax</t>
  </si>
  <si>
    <t>Bad Debts</t>
  </si>
  <si>
    <t>3rd Iteration</t>
  </si>
  <si>
    <t>Check when input is complete</t>
  </si>
  <si>
    <t xml:space="preserve">Operating Ratio </t>
  </si>
  <si>
    <t>No</t>
  </si>
  <si>
    <t>For Intial input: Uncheck Checkbox Until Completed</t>
  </si>
  <si>
    <t>Historical Revenue</t>
  </si>
  <si>
    <t>Revenue Increase before taxes</t>
  </si>
  <si>
    <t>Rate Increase</t>
  </si>
  <si>
    <t>Rev Sensitive Taxes</t>
  </si>
  <si>
    <t>4th Iteration</t>
  </si>
  <si>
    <t>2018 Version Update Changes</t>
  </si>
  <si>
    <t>● Allows Income Tax Rate Changes,</t>
  </si>
  <si>
    <t>● Minimizes impact of changes in test-year revenue from</t>
  </si>
  <si>
    <t xml:space="preserve">   resulting revenue requirment,</t>
  </si>
  <si>
    <t>Captial Structure Financing Investment</t>
  </si>
  <si>
    <t>Financing Cost</t>
  </si>
  <si>
    <t>● Corrects interest rate transposition in LG.</t>
  </si>
  <si>
    <t>Type</t>
  </si>
  <si>
    <t>Percent</t>
  </si>
  <si>
    <t>Amount</t>
  </si>
  <si>
    <t>Cost of Capital</t>
  </si>
  <si>
    <t>Weighted</t>
  </si>
  <si>
    <t>5th Iteration</t>
  </si>
  <si>
    <t>Before</t>
  </si>
  <si>
    <t>After</t>
  </si>
  <si>
    <t>6th Iteration</t>
  </si>
  <si>
    <t>Operating Statistics</t>
  </si>
  <si>
    <t>Income Tax</t>
  </si>
  <si>
    <t>Return on Investment</t>
  </si>
  <si>
    <t>Return on Equity</t>
  </si>
  <si>
    <t>7th Iteration</t>
  </si>
  <si>
    <t>Profit Margin</t>
  </si>
  <si>
    <t>Final turnover</t>
  </si>
  <si>
    <t>Revenue Sensitive Taxes Charges</t>
  </si>
  <si>
    <t>Curve</t>
  </si>
  <si>
    <t>Lookup Table</t>
  </si>
  <si>
    <t>Percent Chg</t>
  </si>
  <si>
    <t>Curve turnover</t>
  </si>
  <si>
    <t>Curve No. used</t>
  </si>
  <si>
    <t>Base Utility from LG Sample Study</t>
  </si>
  <si>
    <t>Regression Results</t>
  </si>
  <si>
    <t>Cost</t>
  </si>
  <si>
    <t>Y intercept (1)</t>
  </si>
  <si>
    <t>Y intercept (3)</t>
  </si>
  <si>
    <t>Y intercept (2)</t>
  </si>
  <si>
    <t>Y intercept (4)</t>
  </si>
  <si>
    <t>Pfd.</t>
  </si>
  <si>
    <t>Slope</t>
  </si>
  <si>
    <t>Pre-tax</t>
  </si>
  <si>
    <t xml:space="preserve">Pension Contribution </t>
  </si>
  <si>
    <t>Health &amp; Welfare Contribution</t>
  </si>
  <si>
    <t>Health &amp; Welfare</t>
  </si>
  <si>
    <t>per payroll worksheet</t>
  </si>
  <si>
    <t>Recyling Employees</t>
  </si>
  <si>
    <t>Garbage Employees</t>
  </si>
  <si>
    <t>Office Employees</t>
  </si>
  <si>
    <t>2018 Rate</t>
  </si>
  <si>
    <t>2019 Rate</t>
  </si>
  <si>
    <t>Contribution</t>
  </si>
  <si>
    <t>Increase</t>
  </si>
  <si>
    <t>Pension</t>
  </si>
  <si>
    <t>Pension Contribution</t>
  </si>
  <si>
    <t>Hours</t>
  </si>
  <si>
    <t>Date</t>
  </si>
  <si>
    <t>Num</t>
  </si>
  <si>
    <t>Name</t>
  </si>
  <si>
    <t>Memo</t>
  </si>
  <si>
    <t>Class</t>
  </si>
  <si>
    <t>Clr</t>
  </si>
  <si>
    <t>Split</t>
  </si>
  <si>
    <t>Debit</t>
  </si>
  <si>
    <t>Credit</t>
  </si>
  <si>
    <t>Balance</t>
  </si>
  <si>
    <t>Bill</t>
  </si>
  <si>
    <t>01/2018</t>
  </si>
  <si>
    <t>WA Dept of Transportation (1)</t>
  </si>
  <si>
    <t>Admin.</t>
  </si>
  <si>
    <t>1/2018</t>
  </si>
  <si>
    <t>R G Real Estate LLC</t>
  </si>
  <si>
    <t>ETJ, LLC</t>
  </si>
  <si>
    <t>2/2018</t>
  </si>
  <si>
    <t>02/2018</t>
  </si>
  <si>
    <t>3/2018</t>
  </si>
  <si>
    <t>03/2018</t>
  </si>
  <si>
    <t>04/2018</t>
  </si>
  <si>
    <t>05/2018</t>
  </si>
  <si>
    <t>06/2018</t>
  </si>
  <si>
    <t>Rent</t>
  </si>
  <si>
    <t>06 &amp; 07/2018</t>
  </si>
  <si>
    <t>General Journal</t>
  </si>
  <si>
    <t>admin adj</t>
  </si>
  <si>
    <t>Non-Regulated</t>
  </si>
  <si>
    <t>-SPLIT-</t>
  </si>
  <si>
    <t>8/2018</t>
  </si>
  <si>
    <t>07/2018</t>
  </si>
  <si>
    <t>08/2018</t>
  </si>
  <si>
    <t>07 &amp; 08/18</t>
  </si>
  <si>
    <t>September 2018</t>
  </si>
  <si>
    <t>09/2018</t>
  </si>
  <si>
    <t>October 2018</t>
  </si>
  <si>
    <t>10/2018</t>
  </si>
  <si>
    <t>November 2018</t>
  </si>
  <si>
    <t>11/2018</t>
  </si>
  <si>
    <t>December 2018</t>
  </si>
  <si>
    <t>12/2018</t>
  </si>
  <si>
    <t>January 2019</t>
  </si>
  <si>
    <t>Total 5320000 · Land and structures</t>
  </si>
  <si>
    <t>2018</t>
  </si>
  <si>
    <t>Everett Rotary Club</t>
  </si>
  <si>
    <t>fundraiser</t>
  </si>
  <si>
    <t>Credit Card Charge</t>
  </si>
  <si>
    <t>NFIB</t>
  </si>
  <si>
    <t>NSBA</t>
  </si>
  <si>
    <t>31804BC</t>
  </si>
  <si>
    <t>PITB</t>
  </si>
  <si>
    <t>Annual membership dues</t>
  </si>
  <si>
    <t>Solid Waste Assn of North America</t>
  </si>
  <si>
    <t>602782-2018</t>
  </si>
  <si>
    <t>U.S. Chamber of Commerce</t>
  </si>
  <si>
    <t>13983</t>
  </si>
  <si>
    <t>WRRA</t>
  </si>
  <si>
    <t>14018</t>
  </si>
  <si>
    <t>14046</t>
  </si>
  <si>
    <t>14087</t>
  </si>
  <si>
    <t>14210</t>
  </si>
  <si>
    <t>14283</t>
  </si>
  <si>
    <t>14333</t>
  </si>
  <si>
    <t>14360</t>
  </si>
  <si>
    <t>14468</t>
  </si>
  <si>
    <t>14387</t>
  </si>
  <si>
    <t>14430</t>
  </si>
  <si>
    <t>14454</t>
  </si>
  <si>
    <t>311</t>
  </si>
  <si>
    <t>WRRA PAC</t>
  </si>
  <si>
    <t>322</t>
  </si>
  <si>
    <t>334</t>
  </si>
  <si>
    <t>345</t>
  </si>
  <si>
    <t>356</t>
  </si>
  <si>
    <t>367</t>
  </si>
  <si>
    <t>378</t>
  </si>
  <si>
    <t>389</t>
  </si>
  <si>
    <t>400</t>
  </si>
  <si>
    <t>Total 4430000 · Dues</t>
  </si>
  <si>
    <t>WRRA Dues</t>
  </si>
  <si>
    <t>Reduction for Lobbying</t>
  </si>
  <si>
    <t>Christmas General Sponsorship</t>
  </si>
  <si>
    <t>Bite of St. Mary Magdalen</t>
  </si>
  <si>
    <t>Economic Alliance of Snohomish County</t>
  </si>
  <si>
    <t>632</t>
  </si>
  <si>
    <t>School</t>
  </si>
  <si>
    <t>Past Presidents dinner</t>
  </si>
  <si>
    <t>Everett Silvertips</t>
  </si>
  <si>
    <t>14186</t>
  </si>
  <si>
    <t>Explorer Sponsor</t>
  </si>
  <si>
    <t>Friends of the Everett Public Library</t>
  </si>
  <si>
    <t>Housing Hope</t>
  </si>
  <si>
    <t>ICPLPH</t>
  </si>
  <si>
    <t>Lake Stevens Boys Golf Team</t>
  </si>
  <si>
    <t>Rose</t>
  </si>
  <si>
    <t>Loft Coffee</t>
  </si>
  <si>
    <t>United Way Snohomish Cty</t>
  </si>
  <si>
    <t>5/2018</t>
  </si>
  <si>
    <t>6/2018</t>
  </si>
  <si>
    <t>7/2018</t>
  </si>
  <si>
    <t>July 2018</t>
  </si>
  <si>
    <t>August 2018</t>
  </si>
  <si>
    <t>Village Theatre</t>
  </si>
  <si>
    <t>2018-2019 season</t>
  </si>
  <si>
    <t>2159</t>
  </si>
  <si>
    <t>Washington State Recycling Asssociation</t>
  </si>
  <si>
    <t>14061</t>
  </si>
  <si>
    <t>14151</t>
  </si>
  <si>
    <t>14152</t>
  </si>
  <si>
    <t>14238</t>
  </si>
  <si>
    <t>273</t>
  </si>
  <si>
    <t>286</t>
  </si>
  <si>
    <t>299</t>
  </si>
  <si>
    <t>Total 4710000 · Public relations</t>
  </si>
  <si>
    <t xml:space="preserve">120 Toter Comm Rec - see Toter Inv </t>
  </si>
  <si>
    <t>Capital Industries Containers 1/19</t>
  </si>
  <si>
    <t>Toter Containers 2/19</t>
  </si>
  <si>
    <t>Truck 77 Painting</t>
  </si>
  <si>
    <t xml:space="preserve">Summary </t>
  </si>
  <si>
    <t>Less: January 2019 Rents</t>
  </si>
  <si>
    <t>Add: 8 months increase $15.79 per month</t>
  </si>
  <si>
    <t>Total Pro Forma Rents</t>
  </si>
  <si>
    <t>Historical Rents</t>
  </si>
  <si>
    <t>Commercial Recycle</t>
  </si>
  <si>
    <t>Current Rate</t>
  </si>
  <si>
    <t>Motor Trucks</t>
  </si>
  <si>
    <t>Cummins Sales and Service</t>
  </si>
  <si>
    <t>Dunkin Diesel</t>
  </si>
  <si>
    <t>Auto-Truck Service</t>
  </si>
  <si>
    <t>Toters</t>
  </si>
  <si>
    <t xml:space="preserve">Commercial Recycling Customer Count </t>
  </si>
  <si>
    <t>Customer Pickups Count Summary</t>
  </si>
  <si>
    <t>TruckCare, LLC  billed 15,820 hours in the test year of 2018 to Rubatino Refuse Removal, Inc. @ $106.00 per hour.</t>
  </si>
  <si>
    <t>The proposed adjustment for the rate year for TruckCare's repair charges as impacted by the above calculation is as follows:</t>
  </si>
  <si>
    <t>per hour</t>
  </si>
  <si>
    <t>Computation of revised shop rate for TruckCare, LLC</t>
  </si>
  <si>
    <t>For the test year ended December 31, 2018</t>
  </si>
  <si>
    <t xml:space="preserve">TruckCare, LLC Shop Rate effective </t>
  </si>
  <si>
    <t>Comparable Truck Shop Repair Rates in the Everett area are currenly:</t>
  </si>
  <si>
    <t>Thus, the average rate of the above four shops labor rates are $140.25 per hour.</t>
  </si>
  <si>
    <t>Restating Entries</t>
  </si>
  <si>
    <t>Pro Forma Entries</t>
  </si>
  <si>
    <t>Variance between price-out and book regulated revenue</t>
  </si>
  <si>
    <t xml:space="preserve">The covered employees have now voted to withdraw from The Automotive Machinists Pension Trust as of January 1, 2019.  That triggers an automatic withdrawal liability obligation to the Trust.  The withdrawal liability is generally paid over time, with annual installments equal to the highest contribution rate paid by the employer during the last 10 years, times the employer’s average contributory hours during the highest three consecutive years out of the last 10 years. </t>
  </si>
  <si>
    <t>Based on the most recent withdrawal liability calculation provided by the Trust, TruckCare, LLC’s withdrawal liability is $5,484,959. The annual withdrawal liability payment is $144,735 for 20 years. The net present value of 20 payments of $144,735 discounted at 6.5%, is $1,698,423.</t>
  </si>
  <si>
    <t>Amortize $216,173 /15,820 = $13.67 per hour</t>
  </si>
  <si>
    <t>Pro Forma Adjustment is $13.67 x 15820 hours</t>
  </si>
  <si>
    <t>Based on the above, it is evident TruckCare, LLC has a significantly lower hourly labor rate than comparable truck repair shops in Everett, even as proposed as a proforma adjustment.</t>
  </si>
  <si>
    <t>As background, TruckCare, LLC provides all truck and container repair services to its affiliate Rubatino Refuse Removal, Inc.  TruckCare, LLC is signatory to a collective bargaining agreement with the International Association of Machinists and Aerospace Workers which has required contributions for nine TruckCare, LLC employees to The Automotive Machinists Pension Trust.</t>
  </si>
  <si>
    <t xml:space="preserve">The company has elected to obtain funding, a loan of $1,700,000 payable over 10 years at 5%, annual payments of $216,173 to pay the lump sum amount, extinguish the withdrawal liability and amortize that cost within its rate structure over a period of 10 years. The amortization amount under the current pension administration calculation would be $216,173 per year.   </t>
  </si>
  <si>
    <t>Rubatino Refuse Removal Inc</t>
  </si>
  <si>
    <t>Employer contributions to Money Purchase Pension Plan</t>
  </si>
  <si>
    <t>Account #</t>
  </si>
  <si>
    <t>2018 Gross</t>
  </si>
  <si>
    <t>Lawrence R Goulet</t>
  </si>
  <si>
    <t>899-05775</t>
  </si>
  <si>
    <t>Rosanne N Goulet</t>
  </si>
  <si>
    <t>899-05776</t>
  </si>
  <si>
    <t>Rhoda  Jermin</t>
  </si>
  <si>
    <t>899-13950</t>
  </si>
  <si>
    <t>***Chelsea E Jermin-Burns</t>
  </si>
  <si>
    <t>899-12502</t>
  </si>
  <si>
    <t>Timothy J Shriver</t>
  </si>
  <si>
    <t>899-06016</t>
  </si>
  <si>
    <t>Judith A Spade</t>
  </si>
  <si>
    <t>899-05780</t>
  </si>
  <si>
    <t>899-05772</t>
  </si>
  <si>
    <t xml:space="preserve">*Pay online </t>
  </si>
  <si>
    <t>**Employee hired January-June will be eligible for  6 month $ of next year pay (July-December-next year pay. Ex. Hired 6/30/16-eligible July-December 2018 pay).</t>
  </si>
  <si>
    <t>***Employee hired July-December not eligible for contribution for the next year (ex.hired 7/1/16-not eligible for 2018 contribution).</t>
  </si>
  <si>
    <t>Need to be with company 5 year to be vested</t>
  </si>
  <si>
    <t>Actual amount</t>
  </si>
  <si>
    <t>Funded amount</t>
  </si>
  <si>
    <t>Difference</t>
  </si>
  <si>
    <t>194</t>
  </si>
  <si>
    <t>to accrued WUTC reg expense for 2018</t>
  </si>
  <si>
    <t>2017</t>
  </si>
  <si>
    <t>WA Utilities &amp; Transportation Comm</t>
  </si>
  <si>
    <t>313014510 2018</t>
  </si>
  <si>
    <t>Dept of Ecology</t>
  </si>
  <si>
    <t>2018 hazardous waste fees</t>
  </si>
  <si>
    <t>Regulated:100-Garbage-Residential</t>
  </si>
  <si>
    <t>Regulated:110-Garbage-Commercial</t>
  </si>
  <si>
    <t>Regulated:120-Roll Off</t>
  </si>
  <si>
    <t>Regulated:200-Recycle Residential</t>
  </si>
  <si>
    <t>Non-Regulated:210-Recycle Commercial</t>
  </si>
  <si>
    <t>Regulated:220-Recycle Multifamily</t>
  </si>
  <si>
    <t>Regulated:300-Yard Waste</t>
  </si>
  <si>
    <t>Non-Regulated:500-Roll Off Recycle</t>
  </si>
  <si>
    <t>2290</t>
  </si>
  <si>
    <t>Pilot2290Tax</t>
  </si>
  <si>
    <t>Heavy Vehicle Highway Use Tax</t>
  </si>
  <si>
    <t>2017-2018</t>
  </si>
  <si>
    <t>INTERNAL REVENUE SERVICES</t>
  </si>
  <si>
    <t>Heavy highway vehicle use tax</t>
  </si>
  <si>
    <t>576657</t>
  </si>
  <si>
    <t>Williams, Kastner &amp; Gibbs PLLC</t>
  </si>
  <si>
    <t>Regulated rate advisory</t>
  </si>
  <si>
    <t>578009</t>
  </si>
  <si>
    <t>579382</t>
  </si>
  <si>
    <t>Total 4680000 · Regulatory expenses</t>
  </si>
  <si>
    <t>Reclass to L&amp;A</t>
  </si>
  <si>
    <t>Accrued 2018 Regulatory Fee</t>
  </si>
  <si>
    <t>Actual fee was $97,845.90 - Reduce $7,515.88</t>
  </si>
  <si>
    <t>Ecology 2018 Hazardous Waste Fee</t>
  </si>
  <si>
    <t>Union Employees Healthcare</t>
  </si>
  <si>
    <t>RL Jan</t>
  </si>
  <si>
    <t>to accrued and reclass RL receivable</t>
  </si>
  <si>
    <t>RL April</t>
  </si>
  <si>
    <t>RL July</t>
  </si>
  <si>
    <t>RL Oct</t>
  </si>
  <si>
    <t>RL DEC</t>
  </si>
  <si>
    <t>Total 3200200 · Recycle Residential Material</t>
  </si>
  <si>
    <t>Total 3200210 · Recycle Commercial Material</t>
  </si>
  <si>
    <t>Total 3200220 · Recycle Multi-Family Material</t>
  </si>
  <si>
    <t>Annual Count</t>
  </si>
  <si>
    <t xml:space="preserve">Customer </t>
  </si>
  <si>
    <t>ALLOCATIONS</t>
  </si>
  <si>
    <t>Customers</t>
  </si>
  <si>
    <t>Disposal</t>
  </si>
  <si>
    <t>UTC Garbage</t>
  </si>
  <si>
    <t>Food Waste</t>
  </si>
  <si>
    <t>YardWaste/</t>
  </si>
  <si>
    <t>Rubatino Truck Miles</t>
  </si>
  <si>
    <t>For the year ended December 31, 2018</t>
  </si>
  <si>
    <t>Mileage for the Year</t>
  </si>
  <si>
    <t>Truck Number</t>
  </si>
  <si>
    <t>Multi-Family Recycle</t>
  </si>
  <si>
    <t>D-1</t>
  </si>
  <si>
    <t>Roll-Off Garbage</t>
  </si>
  <si>
    <t>D-4</t>
  </si>
  <si>
    <t>D-5</t>
  </si>
  <si>
    <t>D-6</t>
  </si>
  <si>
    <t>D-8</t>
  </si>
  <si>
    <t>D-13</t>
  </si>
  <si>
    <t>D-14</t>
  </si>
  <si>
    <t>D-15</t>
  </si>
  <si>
    <t>D-16</t>
  </si>
  <si>
    <t>D-18</t>
  </si>
  <si>
    <t>D-2</t>
  </si>
  <si>
    <t>D-3</t>
  </si>
  <si>
    <t>D-7</t>
  </si>
  <si>
    <t>D-9</t>
  </si>
  <si>
    <t>D-20</t>
  </si>
  <si>
    <r>
      <t>Residential</t>
    </r>
    <r>
      <rPr>
        <b/>
        <sz val="11"/>
        <rFont val="Calibri"/>
        <family val="2"/>
        <scheme val="minor"/>
      </rPr>
      <t xml:space="preserve"> </t>
    </r>
  </si>
  <si>
    <t>Pickups</t>
  </si>
  <si>
    <t>Actual</t>
  </si>
  <si>
    <t>Payroll Hours</t>
  </si>
  <si>
    <t xml:space="preserve">Recycle </t>
  </si>
  <si>
    <t>Commercail</t>
  </si>
  <si>
    <t>Recycle Roll Off</t>
  </si>
  <si>
    <t>Admin</t>
  </si>
  <si>
    <t>Sub-Total Driver Hours</t>
  </si>
  <si>
    <t>Total Hours</t>
  </si>
  <si>
    <t>Total Payroll Hours</t>
  </si>
  <si>
    <t xml:space="preserve">Allocations </t>
  </si>
  <si>
    <t>Begin of Test Period</t>
  </si>
  <si>
    <t>Yrs.</t>
  </si>
  <si>
    <t xml:space="preserve">100 Toter Reside - see Toter Inv </t>
  </si>
  <si>
    <t xml:space="preserve">357 Toter Yardwaste - see Toter Inv </t>
  </si>
  <si>
    <t>Roll off Boxes 31000</t>
  </si>
  <si>
    <t>Total Roll off Boxes 31000</t>
  </si>
  <si>
    <t>25 1 yd Capital Ind Cont. 1-19</t>
  </si>
  <si>
    <t>25 2 yd Capital Ind Cont. 1-19</t>
  </si>
  <si>
    <t>30 3 yd Capital Ind Cont. 1-19</t>
  </si>
  <si>
    <t>6000 Recycle Bins</t>
  </si>
  <si>
    <t>Yard Waste/</t>
  </si>
  <si>
    <t>Reycling</t>
  </si>
  <si>
    <t>Multi-</t>
  </si>
  <si>
    <t>Family</t>
  </si>
  <si>
    <t>UTC</t>
  </si>
  <si>
    <t>Allocations-DEPRECIATION</t>
  </si>
  <si>
    <t>Allocations-AVERAGE INVESTMENT</t>
  </si>
  <si>
    <t>If the company makes a lump-sum payment of a maximum of $1,698,423, the withdrawal liability of $5,484,959 will be satisfied.</t>
  </si>
  <si>
    <t>Delo Torq Force</t>
  </si>
  <si>
    <t>55 gal drum of Oil</t>
  </si>
  <si>
    <t>Delo Torque Force</t>
  </si>
  <si>
    <t xml:space="preserve"> % incr</t>
  </si>
  <si>
    <t>Estimated 2019 Wages based on 2018 hours</t>
  </si>
  <si>
    <t>Estimated Wages  4/1/19 based on 2018 hours</t>
  </si>
  <si>
    <t>Comm</t>
  </si>
  <si>
    <t>Recylce Roll off</t>
  </si>
  <si>
    <t>increase</t>
  </si>
  <si>
    <t>per/hr</t>
  </si>
  <si>
    <t>per contract</t>
  </si>
  <si>
    <t xml:space="preserve"> #mos</t>
  </si>
  <si>
    <t xml:space="preserve">Current Union Payscale </t>
  </si>
  <si>
    <t>Current Payroll</t>
  </si>
  <si>
    <t xml:space="preserve">Propsed </t>
  </si>
  <si>
    <t>total</t>
  </si>
  <si>
    <t>Q1</t>
  </si>
  <si>
    <t>Q2</t>
  </si>
  <si>
    <t>Q3</t>
  </si>
  <si>
    <t>Q4</t>
  </si>
  <si>
    <t>Estimated Wages  8/1/19 based on 2018 hours</t>
  </si>
  <si>
    <t>Garbage-Regulated</t>
  </si>
  <si>
    <t>Truck Miles</t>
  </si>
  <si>
    <t>Total Miles</t>
  </si>
  <si>
    <t xml:space="preserve">Percent of </t>
  </si>
  <si>
    <t>For the period January -December 2018</t>
  </si>
  <si>
    <t>Computation of rate case costs</t>
  </si>
  <si>
    <t>Accounting</t>
  </si>
  <si>
    <t>June - Estimated</t>
  </si>
  <si>
    <t>Legal</t>
  </si>
  <si>
    <t>Combined</t>
  </si>
  <si>
    <t>Amoritize over 4 years</t>
  </si>
  <si>
    <t>Notice - Cost</t>
  </si>
  <si>
    <t xml:space="preserve">Printing </t>
  </si>
  <si>
    <t>Postage</t>
  </si>
  <si>
    <t>196</t>
  </si>
  <si>
    <t>to accrued non-union pension cost for 1st Qtr 2018</t>
  </si>
  <si>
    <t>2190000 · Profit sharing payable</t>
  </si>
  <si>
    <t>Check</t>
  </si>
  <si>
    <t>EFT11023926</t>
  </si>
  <si>
    <t>American Funds</t>
  </si>
  <si>
    <t>2017 pension</t>
  </si>
  <si>
    <t>196R</t>
  </si>
  <si>
    <t>Reverse of GJE 196 -- to accrued union pension cost for 1st Qtr 2018-this profit sharing payable...</t>
  </si>
  <si>
    <t>MA AJE</t>
  </si>
  <si>
    <t>To accrue 2018 Money Purchase Plan</t>
  </si>
  <si>
    <t>Total 440005 · Pension cont Non Union</t>
  </si>
  <si>
    <t xml:space="preserve">Remove Out of Period </t>
  </si>
  <si>
    <t>Record actual</t>
  </si>
  <si>
    <t>Driver Payroll Summary</t>
  </si>
  <si>
    <t>Mukilteo Franchise &amp; Utility Tax-City Report Summary</t>
  </si>
  <si>
    <t>Everett Utility Tax-City Report Summary</t>
  </si>
  <si>
    <t>Washington Service &amp; Refuse Collection Tax-Excise Return Summary</t>
  </si>
  <si>
    <t>Can/Container</t>
  </si>
  <si>
    <t>Less: Drop Box Pass-Thru</t>
  </si>
  <si>
    <t>Less: City &amp; State Taxes</t>
  </si>
  <si>
    <t>Non-regulated-Commercial Recycling</t>
  </si>
  <si>
    <t>Revenue Reconciliation</t>
  </si>
  <si>
    <t>Revenue Comparison Between Price-Out and Financial Statement</t>
  </si>
  <si>
    <t>Combined Everett/Mukilteo Price Out Calculations</t>
  </si>
  <si>
    <t xml:space="preserve">Income from year-end financials </t>
  </si>
  <si>
    <t>20 yd Placement</t>
  </si>
  <si>
    <t>35 yd Placement</t>
  </si>
  <si>
    <t>40 yd Placement</t>
  </si>
  <si>
    <t xml:space="preserve"> &lt;1&gt;  Reclass Drop Box Disposal Pass Thru Revenue</t>
  </si>
  <si>
    <t>See Disposal Worksheet Tab</t>
  </si>
  <si>
    <t xml:space="preserve"> &lt;2&gt;  Reclass Revenue Sensitive Taxes</t>
  </si>
  <si>
    <t>&lt;3&gt;  Adjust Book Depreciation to Regulatory Depreciation</t>
  </si>
  <si>
    <t>See Regulatory Depreciation Worksheet Tab</t>
  </si>
  <si>
    <t>&lt;4&gt;   Adjust Historical Fuel to Current</t>
  </si>
  <si>
    <t>&lt;1&gt;  Reclass Drop Box Disposal Pass Thru Revenue</t>
  </si>
  <si>
    <t>&lt;2&gt;  Reclass Revenue Sensitive Taxes</t>
  </si>
  <si>
    <t>See Fuel Cost 12-18 Tab</t>
  </si>
  <si>
    <t>&lt;5&gt; Reclassification of Miscellaneous Income</t>
  </si>
  <si>
    <t>&lt;6&gt; Remove Political Contributions</t>
  </si>
  <si>
    <t>See Dues and Public Relations Tabs for explanation and identification of Political Contributions</t>
  </si>
  <si>
    <t>&lt;7&gt;  Remove Charitable Contributons</t>
  </si>
  <si>
    <t>&lt;8&gt;  Reclass Legal Fees - Adjust Accrual for WUTC Reg Fee</t>
  </si>
  <si>
    <t>&lt;9&gt;  Record December 2018 Disposal</t>
  </si>
  <si>
    <t xml:space="preserve">See Disposal Worksheet Tab </t>
  </si>
  <si>
    <t>&lt;10&gt; Building and Real Estate Adjustment to Appraised Values</t>
  </si>
  <si>
    <t>See Rents Tab. Appraisal of properties owned by affiliated entities is included with filing.</t>
  </si>
  <si>
    <t xml:space="preserve">See Mukilteo Utility Franchise Tax Tab, Everett Utility B&amp;O Tax and Washington Service B&amp;O Tab. Company has historically operated on cash basis of accounting. Taxes collected from customers have been included in income and recorded as expenses </t>
  </si>
  <si>
    <t>During calendar year hauler "miscoded" certain payments received from an affiliated entity, Truckcare, LLC for $4,124.20 for insurance reimbursement, $325.00 in accounting cost reimbursement from Truck Care and $77.63 from Wireless Vision</t>
  </si>
  <si>
    <t>&lt;7&gt;  Remove Charitable Contributions</t>
  </si>
  <si>
    <t>&lt;11&gt; Adjustment of reconciliation of cash recording of regulated revenue to accrual basis of recording regulated revenues</t>
  </si>
  <si>
    <t>Restating Entries Explanations</t>
  </si>
  <si>
    <t>&lt;12&gt; Remove  12-17 Revenue Recorded in 2018</t>
  </si>
  <si>
    <t>Pro Forma Entries - Explanation</t>
  </si>
  <si>
    <t>(1)  Labor Adjustment Refuse Collection Drivers</t>
  </si>
  <si>
    <t>(2) Labor Adjustment Recycling Collection Drivers</t>
  </si>
  <si>
    <t xml:space="preserve">(3) Labor Adjustment Office </t>
  </si>
  <si>
    <t>(4) Teamsters Pension Adjustment</t>
  </si>
  <si>
    <t>(5)  Admin Employee Pension</t>
  </si>
  <si>
    <t>( 6) Health &amp; Welfare - all employees</t>
  </si>
  <si>
    <t>See Health &amp; Welfare Tab for explanation and calculation</t>
  </si>
  <si>
    <t>See garbage payroll tab for explanation and calculation</t>
  </si>
  <si>
    <t>See recycling payroll tab for explanation and calculation</t>
  </si>
  <si>
    <t>See Payroll Summary Tab Rows 44 to 58 for explanation and calculation</t>
  </si>
  <si>
    <t>See Pension Recycle and Pension Garbage Tab for explanation and calculaton</t>
  </si>
  <si>
    <t>See Pension Admin Tab for explanation and calculation</t>
  </si>
  <si>
    <t>(7) Yard Waste Disposal Increase</t>
  </si>
  <si>
    <t>See Disposal Tab for explanation and calculation of increase at Cedar Grove Facility Cell D186</t>
  </si>
  <si>
    <t>(8) Adjust for amortized rate case costs</t>
  </si>
  <si>
    <t>See Rate Case Costs Tab for explanation and calculation of amortized rate case costs</t>
  </si>
  <si>
    <t>City of Mukilteo Residential Customers from Price - Out Worksheets</t>
  </si>
  <si>
    <t>City of Mukilteo Recycle Customers from Price - Out Worksheets</t>
  </si>
  <si>
    <t>City of Mukilteo Yard Waste Customers from Price-Out Worksheets</t>
  </si>
  <si>
    <t>City of Mukilteo Commercial Customers from Price-Out Worksheets</t>
  </si>
  <si>
    <t>City of Mukilteo Drop Boxl Customers from Price-Out Worksheets</t>
  </si>
  <si>
    <t>Contract Expiration 8/31/19 - 4/12 of Annual Revenue Adjustment</t>
  </si>
  <si>
    <t>Annual Revenue from Price Out</t>
  </si>
  <si>
    <t>ULDS-Clear</t>
  </si>
  <si>
    <t>Suppliers</t>
  </si>
  <si>
    <t>Total 1/1/19 - 5/31/19</t>
  </si>
  <si>
    <t>Total 6/1/18 - 12/31/18</t>
  </si>
  <si>
    <t>6/1/18 to 12/31/18</t>
  </si>
  <si>
    <t>Company runs one route day inside the City of Mukilteo</t>
  </si>
  <si>
    <t xml:space="preserve">Residential Garbage is one route with 3 personnel </t>
  </si>
  <si>
    <t>Residential Recycling is one route with 1.5 personnel</t>
  </si>
  <si>
    <t>Residential Yard Waste is one route with 1 person</t>
  </si>
  <si>
    <t>Commercial Garbage is one route with 1 person</t>
  </si>
  <si>
    <t xml:space="preserve">Roll-Off is one-half a person </t>
  </si>
  <si>
    <t>Annualized</t>
  </si>
  <si>
    <t>Pay Rate</t>
  </si>
  <si>
    <t>Fed Emp Tax</t>
  </si>
  <si>
    <t>SS &amp; Medi</t>
  </si>
  <si>
    <t>See H&amp;W Tab</t>
  </si>
  <si>
    <t>H&amp;W Per</t>
  </si>
  <si>
    <t>Hour</t>
  </si>
  <si>
    <t>See Pension</t>
  </si>
  <si>
    <t>Recy Tab</t>
  </si>
  <si>
    <t xml:space="preserve">Per Hour </t>
  </si>
  <si>
    <t>Garbage Tab</t>
  </si>
  <si>
    <t>Per Hour</t>
  </si>
  <si>
    <t>Labor</t>
  </si>
  <si>
    <t>Reduction</t>
  </si>
  <si>
    <t>Avoided</t>
  </si>
  <si>
    <t>Absorbed</t>
  </si>
  <si>
    <t>Paid</t>
  </si>
  <si>
    <t xml:space="preserve">No Trucking cost reduction - all trucks will be used to supplement existing routes </t>
  </si>
  <si>
    <t>Computation of revenue loss and certain costs on City of Mukilteo Contact</t>
  </si>
  <si>
    <t>No reduction in customer service or other overhead personnel</t>
  </si>
  <si>
    <t>(9) Calculation for loss of Mukilteo annexation contract</t>
  </si>
  <si>
    <t>Difference between Price-out and Book Revenue</t>
  </si>
  <si>
    <t>Net Residential Difference</t>
  </si>
  <si>
    <t>Net Commercial Difference</t>
  </si>
  <si>
    <t xml:space="preserve"> (10) TruckCare, LLC Pension Cost  Increase</t>
  </si>
  <si>
    <t>(10) TruckCare, LLC Pension Cost  Increase</t>
  </si>
  <si>
    <t xml:space="preserve">See TruckCare Pension Tab for calculations and explanations. </t>
  </si>
  <si>
    <t xml:space="preserve">Correct cash basis accounting for recycling income. December 2017 collections were recorded in January 2018 income. </t>
  </si>
  <si>
    <t>&lt;11&gt; Adjustment for reconilliation of cash recording of regulated revenue to accrual basis of recording regulated revenues</t>
  </si>
  <si>
    <t>June-Estimated</t>
  </si>
  <si>
    <t>July - Estimated</t>
  </si>
  <si>
    <t>Rate increase</t>
  </si>
  <si>
    <t>Proposed Revenue</t>
  </si>
  <si>
    <t>Revenue from Rates - only 1 month</t>
  </si>
  <si>
    <t>Remove Charitable Contributions for ratemaking purposes</t>
  </si>
  <si>
    <t>See Regulatory Fees General Ledger Analysis Tab for explanation of reclassification and removal of expenses</t>
  </si>
  <si>
    <t>Rubatino Refuse Removal has operated on the cash basis of accounting for book, tax and regulatory reporting purposes for many years. Revenues were separated between regulated residential, commercial can/container, yardwaste, residential recycling, multi-family, drop box and commercial recycling using formulas developed during a Washington Department of Revenue Audit. During the build up of the case, it became evident that regulated income was not correctly reflected by office staff. While the price-out reconciled within 2% of book income (Commission guideline is no more than 5% variance), it was necessary to make adjustments to properly "spread" the prospective rate increase based on the correction to the regulated income statement.</t>
  </si>
  <si>
    <t>Rubatino Refuse Removal, Inc. has served regulated customers annexed by the City of  Mukilteo since July 1, 2010 under contract using UTC regulated rates. The contract expires August 31, 2019. Adjustment is made to remove 4/12 of annual revenues in the prospective rate year and certain expense reduction. See City of Mukilteo Contract Loss tab.</t>
  </si>
  <si>
    <t>Index - Pro Forma 12-31-18</t>
  </si>
  <si>
    <t xml:space="preserve">LG Consolidated </t>
  </si>
  <si>
    <t>LG - Refuse</t>
  </si>
  <si>
    <t>LG - Recycling</t>
  </si>
  <si>
    <t>Balance Sheet 12-31-18</t>
  </si>
  <si>
    <t>12 Month P&amp;L</t>
  </si>
  <si>
    <t>Pro Forma</t>
  </si>
  <si>
    <t>Restating Entries - Explanation</t>
  </si>
  <si>
    <t>Allocations</t>
  </si>
  <si>
    <t>Non-Regulated Services</t>
  </si>
  <si>
    <t xml:space="preserve">A </t>
  </si>
  <si>
    <t>Allocation method from Allocation Worksheet</t>
  </si>
  <si>
    <t>Regulated Services at Present Rates</t>
  </si>
  <si>
    <t>Effect of Revised Rates</t>
  </si>
  <si>
    <t>Pro Forma at Revised Rates</t>
  </si>
  <si>
    <t>Regulatory Depreciation</t>
  </si>
  <si>
    <t>Fuel Cost 12-18</t>
  </si>
  <si>
    <t>Garbage Payroll</t>
  </si>
  <si>
    <t>Recycling Payroll</t>
  </si>
  <si>
    <t>Payroll Summary</t>
  </si>
  <si>
    <t>Pension Recycle</t>
  </si>
  <si>
    <t>Pension Garbage</t>
  </si>
  <si>
    <t>Pension Admin</t>
  </si>
  <si>
    <t>Pension Admin Ledger</t>
  </si>
  <si>
    <t>Revenue Summary Worksheet</t>
  </si>
  <si>
    <t>Price-Out vs Book Comparison</t>
  </si>
  <si>
    <t>Residential Everett</t>
  </si>
  <si>
    <t>Commercial Everett</t>
  </si>
  <si>
    <t>Residential Mukilteo</t>
  </si>
  <si>
    <t>Commercial Mukilteo</t>
  </si>
  <si>
    <t>Customer Summary</t>
  </si>
  <si>
    <t>Mukilteo Utility Franchise Tax</t>
  </si>
  <si>
    <t>Everett Utility B&amp;O</t>
  </si>
  <si>
    <t>Washington Service  B&amp;O</t>
  </si>
  <si>
    <t>Rents</t>
  </si>
  <si>
    <t>Public Relations</t>
  </si>
  <si>
    <t>Regulatory Fees</t>
  </si>
  <si>
    <t>Recycle Revenue</t>
  </si>
  <si>
    <t>Truck Mileage</t>
  </si>
  <si>
    <t>Rate Case Costs</t>
  </si>
  <si>
    <t>City of Mukilteo Contract Loss</t>
  </si>
  <si>
    <t>LG - Yard waste</t>
  </si>
  <si>
    <t>Truck Care Pension</t>
  </si>
  <si>
    <t>Name on File for Site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</si>
</sst>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00"/>
    <numFmt numFmtId="166" formatCode="_(&quot;$&quot;* #,##0_);_(&quot;$&quot;* \(#,##0\);_(&quot;$&quot;* &quot;-&quot;??_);_(@_)"/>
    <numFmt numFmtId="167" formatCode="_(* #,##0_);_(* \(#,##0\);_(* &quot;-&quot;??_);_(@_)"/>
    <numFmt numFmtId="168" formatCode="&quot;$&quot;#,##0.00"/>
    <numFmt numFmtId="169" formatCode="0.000%"/>
    <numFmt numFmtId="170" formatCode="0.0%"/>
    <numFmt numFmtId="171" formatCode="0.00_)"/>
    <numFmt numFmtId="172" formatCode="[$-409]mmmm\-yy;@"/>
    <numFmt numFmtId="173" formatCode="#,##0.0000_);\(#,##0.0000\)"/>
    <numFmt numFmtId="174" formatCode="#,##0.000_);\(#,##0.000\)"/>
    <numFmt numFmtId="175" formatCode="#,##0.00000_);\(#,##0.00000\)"/>
    <numFmt numFmtId="176" formatCode="0.00000"/>
    <numFmt numFmtId="177" formatCode="mm/dd/yyyy"/>
    <numFmt numFmtId="178" formatCode="#,##0;\-#,##0"/>
  </numFmts>
  <fonts count="10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SWISS"/>
    </font>
    <font>
      <sz val="12"/>
      <name val="Arial"/>
      <family val="2"/>
    </font>
    <font>
      <b/>
      <sz val="11"/>
      <color theme="1"/>
      <name val="Calibri"/>
      <family val="2"/>
      <scheme val="minor"/>
    </font>
    <font>
      <b/>
      <sz val="8"/>
      <color rgb="FF323232"/>
      <name val="Arial"/>
      <family val="2"/>
    </font>
    <font>
      <b/>
      <sz val="12"/>
      <color rgb="FF323232"/>
      <name val="Calibri Light"/>
      <family val="2"/>
      <scheme val="major"/>
    </font>
    <font>
      <sz val="12"/>
      <color rgb="FF323232"/>
      <name val="Calibri Light"/>
      <family val="2"/>
      <scheme val="major"/>
    </font>
    <font>
      <sz val="12"/>
      <color theme="1"/>
      <name val="Calibri Light"/>
      <family val="2"/>
      <scheme val="major"/>
    </font>
    <font>
      <sz val="8"/>
      <color rgb="FF323232"/>
      <name val="Arial"/>
      <family val="2"/>
    </font>
    <font>
      <b/>
      <sz val="12"/>
      <color theme="1"/>
      <name val="Calibri"/>
      <family val="2"/>
      <scheme val="minor"/>
    </font>
    <font>
      <b/>
      <sz val="9"/>
      <color indexed="81"/>
      <name val="Tahoma"/>
      <family val="2"/>
    </font>
    <font>
      <sz val="9"/>
      <color indexed="81"/>
      <name val="Tahoma"/>
      <family val="2"/>
    </font>
    <font>
      <sz val="11"/>
      <name val="Calibri Light"/>
      <family val="2"/>
      <scheme val="major"/>
    </font>
    <font>
      <b/>
      <sz val="11"/>
      <color indexed="8"/>
      <name val="Calibri Light"/>
      <family val="2"/>
      <scheme val="major"/>
    </font>
    <font>
      <sz val="11"/>
      <color indexed="8"/>
      <name val="Calibri Light"/>
      <family val="2"/>
      <scheme val="major"/>
    </font>
    <font>
      <i/>
      <sz val="11"/>
      <color indexed="8"/>
      <name val="Calibri Light"/>
      <family val="2"/>
      <scheme val="major"/>
    </font>
    <font>
      <b/>
      <sz val="11"/>
      <name val="Calibri"/>
      <family val="2"/>
      <scheme val="minor"/>
    </font>
    <font>
      <sz val="12"/>
      <name val="Helv"/>
    </font>
    <font>
      <sz val="10"/>
      <name val="Arial"/>
      <family val="2"/>
    </font>
    <font>
      <sz val="11"/>
      <name val="Calibri"/>
      <family val="2"/>
      <scheme val="minor"/>
    </font>
    <font>
      <sz val="11"/>
      <color indexed="12"/>
      <name val="Calibri"/>
      <family val="2"/>
      <scheme val="minor"/>
    </font>
    <font>
      <b/>
      <sz val="11"/>
      <color indexed="8"/>
      <name val="Calibri"/>
      <family val="2"/>
    </font>
    <font>
      <sz val="11"/>
      <name val="Calibri"/>
      <family val="2"/>
    </font>
    <font>
      <sz val="10"/>
      <name val="Times New Roman"/>
      <family val="1"/>
    </font>
    <font>
      <sz val="11"/>
      <color indexed="8"/>
      <name val="Calibri"/>
      <family val="2"/>
    </font>
    <font>
      <i/>
      <sz val="11"/>
      <name val="Calibri"/>
      <family val="2"/>
    </font>
    <font>
      <i/>
      <sz val="11"/>
      <color theme="1"/>
      <name val="Calibri"/>
      <family val="2"/>
      <scheme val="minor"/>
    </font>
    <font>
      <b/>
      <sz val="11"/>
      <color indexed="8"/>
      <name val="Calibri"/>
      <family val="2"/>
      <scheme val="minor"/>
    </font>
    <font>
      <i/>
      <sz val="11"/>
      <name val="Calibri"/>
      <family val="2"/>
      <scheme val="minor"/>
    </font>
    <font>
      <sz val="11"/>
      <color indexed="8"/>
      <name val="Calibri"/>
      <family val="2"/>
      <scheme val="minor"/>
    </font>
    <font>
      <sz val="10"/>
      <color theme="1"/>
      <name val="Arial"/>
      <family val="2"/>
    </font>
    <font>
      <sz val="10"/>
      <color indexed="8"/>
      <name val="Arial"/>
      <family val="2"/>
    </font>
    <font>
      <b/>
      <sz val="10"/>
      <name val="Arial"/>
      <family val="2"/>
    </font>
    <font>
      <b/>
      <sz val="10"/>
      <color theme="1"/>
      <name val="Arial"/>
      <family val="2"/>
    </font>
    <font>
      <u val="double"/>
      <sz val="10"/>
      <name val="Arial"/>
      <family val="2"/>
    </font>
    <font>
      <sz val="9"/>
      <name val="Arial"/>
      <family val="2"/>
    </font>
    <font>
      <b/>
      <sz val="9"/>
      <color theme="1"/>
      <name val="Calibri"/>
      <family val="2"/>
      <scheme val="minor"/>
    </font>
    <font>
      <sz val="9"/>
      <color theme="1"/>
      <name val="Calibri"/>
      <family val="2"/>
      <scheme val="minor"/>
    </font>
    <font>
      <b/>
      <sz val="9"/>
      <color theme="1"/>
      <name val="Arial"/>
      <family val="2"/>
    </font>
    <font>
      <b/>
      <sz val="9"/>
      <name val="Arial"/>
      <family val="2"/>
    </font>
    <font>
      <sz val="9"/>
      <color theme="1"/>
      <name val="Arial"/>
      <family val="2"/>
    </font>
    <font>
      <b/>
      <u/>
      <sz val="9"/>
      <name val="Arial"/>
      <family val="2"/>
    </font>
    <font>
      <sz val="11"/>
      <color rgb="FF9C0006"/>
      <name val="Calibri"/>
      <family val="2"/>
      <scheme val="minor"/>
    </font>
    <font>
      <sz val="12"/>
      <name val="Calibri"/>
      <family val="2"/>
    </font>
    <font>
      <sz val="11"/>
      <name val="Calibri Light"/>
      <family val="2"/>
    </font>
    <font>
      <sz val="11"/>
      <color theme="0"/>
      <name val="Calibri"/>
      <family val="2"/>
      <scheme val="minor"/>
    </font>
    <font>
      <sz val="12"/>
      <name val="Calibri"/>
      <family val="2"/>
      <scheme val="minor"/>
    </font>
    <font>
      <sz val="12"/>
      <color indexed="12"/>
      <name val="SWISS"/>
    </font>
    <font>
      <b/>
      <sz val="12"/>
      <name val="SWISS"/>
    </font>
    <font>
      <sz val="8"/>
      <color indexed="9"/>
      <name val="Calibri"/>
      <family val="2"/>
    </font>
    <font>
      <sz val="14"/>
      <color indexed="9"/>
      <name val="Calibri"/>
      <family val="2"/>
    </font>
    <font>
      <b/>
      <sz val="14"/>
      <name val="SWISS"/>
    </font>
    <font>
      <sz val="12"/>
      <name val="Times New Roman"/>
      <family val="1"/>
    </font>
    <font>
      <sz val="9"/>
      <color rgb="FF0070C0"/>
      <name val="SWISS"/>
    </font>
    <font>
      <b/>
      <sz val="12"/>
      <color indexed="12"/>
      <name val="Times New Roman"/>
      <family val="1"/>
    </font>
    <font>
      <sz val="12"/>
      <color indexed="39"/>
      <name val="SWISS"/>
    </font>
    <font>
      <sz val="12"/>
      <color indexed="39"/>
      <name val="Times New Roman"/>
      <family val="1"/>
    </font>
    <font>
      <b/>
      <sz val="12"/>
      <color indexed="39"/>
      <name val="Times New Roman"/>
      <family val="1"/>
    </font>
    <font>
      <sz val="12"/>
      <color indexed="10"/>
      <name val="SWISS"/>
    </font>
    <font>
      <sz val="12"/>
      <color indexed="8"/>
      <name val="SWISS"/>
    </font>
    <font>
      <sz val="9"/>
      <color indexed="39"/>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8"/>
      <name val="Times New Roman"/>
      <family val="1"/>
    </font>
    <font>
      <sz val="12"/>
      <color indexed="32"/>
      <name val="SWISS"/>
    </font>
    <font>
      <sz val="12"/>
      <color indexed="18"/>
      <name val="SWISS"/>
    </font>
    <font>
      <b/>
      <sz val="10"/>
      <name val="SWISS"/>
    </font>
    <font>
      <sz val="12"/>
      <color indexed="56"/>
      <name val="SWISS"/>
    </font>
    <font>
      <i/>
      <sz val="12"/>
      <name val="SWISS"/>
    </font>
    <font>
      <sz val="11"/>
      <name val="Times New Roman"/>
      <family val="1"/>
    </font>
    <font>
      <sz val="10"/>
      <color indexed="39"/>
      <name val="Times New Roman"/>
      <family val="1"/>
    </font>
    <font>
      <sz val="10"/>
      <color indexed="18"/>
      <name val="Times New Roman"/>
      <family val="1"/>
    </font>
    <font>
      <sz val="10"/>
      <name val="Calibri"/>
      <family val="2"/>
      <scheme val="minor"/>
    </font>
    <font>
      <b/>
      <sz val="10"/>
      <color rgb="FF323232"/>
      <name val="Arial"/>
      <family val="2"/>
    </font>
    <font>
      <sz val="10"/>
      <color rgb="FF323232"/>
      <name val="Arial"/>
      <family val="2"/>
    </font>
    <font>
      <sz val="11"/>
      <color theme="1"/>
      <name val="Arial"/>
      <family val="2"/>
    </font>
    <font>
      <b/>
      <sz val="11"/>
      <color rgb="FF323232"/>
      <name val="Arial"/>
      <family val="2"/>
    </font>
    <font>
      <sz val="11"/>
      <color rgb="FF323232"/>
      <name val="Arial"/>
      <family val="2"/>
    </font>
    <font>
      <sz val="11"/>
      <name val="Arial"/>
      <family val="2"/>
    </font>
    <font>
      <b/>
      <sz val="11"/>
      <color rgb="FF323232"/>
      <name val="Calibri"/>
      <family val="2"/>
      <scheme val="minor"/>
    </font>
    <font>
      <sz val="11"/>
      <color rgb="FF323232"/>
      <name val="Calibri"/>
      <family val="2"/>
      <scheme val="minor"/>
    </font>
    <font>
      <i/>
      <sz val="11"/>
      <color indexed="8"/>
      <name val="Calibri"/>
      <family val="2"/>
      <scheme val="minor"/>
    </font>
    <font>
      <b/>
      <sz val="16"/>
      <color theme="1"/>
      <name val="Calibri"/>
      <family val="2"/>
      <scheme val="minor"/>
    </font>
    <font>
      <b/>
      <sz val="12"/>
      <color rgb="FFFF0000"/>
      <name val="Calibri"/>
      <family val="2"/>
      <scheme val="minor"/>
    </font>
    <font>
      <b/>
      <i/>
      <sz val="14"/>
      <color theme="1"/>
      <name val="Calibri"/>
      <family val="2"/>
      <scheme val="minor"/>
    </font>
    <font>
      <sz val="9"/>
      <color rgb="FF323232"/>
      <name val="Arial"/>
      <family val="2"/>
    </font>
    <font>
      <b/>
      <u val="double"/>
      <sz val="11"/>
      <name val="Calibri"/>
      <family val="2"/>
      <scheme val="minor"/>
    </font>
    <font>
      <b/>
      <sz val="10"/>
      <color rgb="FF323232"/>
      <name val="Calibri"/>
      <family val="2"/>
      <scheme val="minor"/>
    </font>
    <font>
      <sz val="10"/>
      <color rgb="FF323232"/>
      <name val="Calibri"/>
      <family val="2"/>
      <scheme val="minor"/>
    </font>
    <font>
      <b/>
      <sz val="14"/>
      <color theme="1"/>
      <name val="Calibri"/>
      <family val="2"/>
      <scheme val="minor"/>
    </font>
    <font>
      <sz val="14"/>
      <name val="Arial"/>
      <family val="2"/>
    </font>
    <font>
      <b/>
      <sz val="12"/>
      <name val="Calibri"/>
      <family val="2"/>
      <scheme val="minor"/>
    </font>
    <font>
      <b/>
      <sz val="12"/>
      <name val="Arial"/>
      <family val="2"/>
    </font>
    <font>
      <b/>
      <u/>
      <sz val="11"/>
      <name val="Calibri Light"/>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patternFill>
    </fill>
    <fill>
      <patternFill patternType="solid">
        <fgColor rgb="FFFFC7CE"/>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CCC"/>
        <bgColor indexed="64"/>
      </patternFill>
    </fill>
    <fill>
      <patternFill patternType="solid">
        <fgColor theme="8"/>
      </patternFill>
    </fill>
    <fill>
      <patternFill patternType="solid">
        <fgColor indexed="15"/>
        <bgColor indexed="64"/>
      </patternFill>
    </fill>
    <fill>
      <patternFill patternType="solid">
        <fgColor indexed="9"/>
        <bgColor indexed="8"/>
      </patternFill>
    </fill>
  </fills>
  <borders count="46">
    <border>
      <left/>
      <right/>
      <top/>
      <bottom/>
      <diagonal/>
    </border>
    <border>
      <left/>
      <right/>
      <top/>
      <bottom style="thick">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double">
        <color indexed="64"/>
      </bottom>
      <diagonal/>
    </border>
    <border>
      <left/>
      <right/>
      <top/>
      <bottom style="thin">
        <color indexed="64"/>
      </bottom>
      <diagonal/>
    </border>
    <border>
      <left/>
      <right/>
      <top style="thin">
        <color auto="1"/>
      </top>
      <bottom style="thin">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24994659260841701"/>
      </top>
      <bottom style="double">
        <color theme="4" tint="-0.24994659260841701"/>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0">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23" fillId="0" borderId="0"/>
    <xf numFmtId="44" fontId="24" fillId="0" borderId="0" applyFont="0" applyFill="0" applyBorder="0" applyAlignment="0" applyProtection="0"/>
    <xf numFmtId="44" fontId="24" fillId="0" borderId="0" applyFont="0" applyFill="0" applyBorder="0" applyAlignment="0" applyProtection="0"/>
    <xf numFmtId="0" fontId="8" fillId="0" borderId="0"/>
    <xf numFmtId="41" fontId="29" fillId="3" borderId="0">
      <alignment horizontal="left"/>
    </xf>
    <xf numFmtId="0" fontId="8" fillId="0" borderId="0"/>
    <xf numFmtId="9" fontId="24" fillId="0" borderId="0" applyFont="0" applyFill="0" applyBorder="0" applyAlignment="0" applyProtection="0"/>
    <xf numFmtId="0" fontId="4" fillId="0" borderId="0"/>
    <xf numFmtId="0" fontId="7" fillId="4" borderId="0"/>
    <xf numFmtId="9" fontId="30" fillId="0" borderId="0" applyFont="0" applyFill="0" applyBorder="0" applyAlignment="0" applyProtection="0"/>
    <xf numFmtId="44" fontId="30" fillId="0" borderId="0" applyFont="0" applyFill="0" applyBorder="0" applyAlignment="0" applyProtection="0"/>
    <xf numFmtId="43" fontId="30" fillId="0" borderId="0" applyFont="0" applyFill="0" applyBorder="0" applyAlignment="0" applyProtection="0"/>
    <xf numFmtId="0" fontId="48" fillId="5" borderId="0" applyNumberFormat="0" applyBorder="0" applyAlignment="0" applyProtection="0"/>
    <xf numFmtId="0" fontId="51" fillId="10" borderId="0" applyNumberFormat="0" applyBorder="0" applyAlignment="0" applyProtection="0"/>
    <xf numFmtId="0" fontId="24" fillId="0" borderId="0"/>
    <xf numFmtId="0" fontId="24" fillId="0" borderId="0"/>
  </cellStyleXfs>
  <cellXfs count="881">
    <xf numFmtId="0" fontId="0" fillId="0" borderId="0" xfId="0"/>
    <xf numFmtId="49" fontId="10" fillId="0" borderId="0" xfId="0" applyNumberFormat="1" applyFont="1" applyAlignment="1">
      <alignment horizontal="center"/>
    </xf>
    <xf numFmtId="49" fontId="11" fillId="0" borderId="1" xfId="0" applyNumberFormat="1" applyFont="1" applyBorder="1" applyAlignment="1">
      <alignment horizontal="center"/>
    </xf>
    <xf numFmtId="0" fontId="0" fillId="0" borderId="0" xfId="0" applyAlignment="1">
      <alignment horizontal="center"/>
    </xf>
    <xf numFmtId="49" fontId="11" fillId="0" borderId="0" xfId="0" applyNumberFormat="1" applyFont="1"/>
    <xf numFmtId="165" fontId="12" fillId="0" borderId="0" xfId="0" applyNumberFormat="1" applyFont="1"/>
    <xf numFmtId="0" fontId="13" fillId="0" borderId="0" xfId="0" applyFont="1"/>
    <xf numFmtId="165" fontId="12" fillId="0" borderId="2" xfId="0" applyNumberFormat="1" applyFont="1" applyBorder="1"/>
    <xf numFmtId="165" fontId="12" fillId="0" borderId="3" xfId="0" applyNumberFormat="1" applyFont="1" applyBorder="1"/>
    <xf numFmtId="165" fontId="12" fillId="0" borderId="4" xfId="0" applyNumberFormat="1" applyFont="1" applyBorder="1"/>
    <xf numFmtId="165" fontId="11" fillId="0" borderId="5" xfId="0" applyNumberFormat="1" applyFont="1" applyBorder="1"/>
    <xf numFmtId="0" fontId="11" fillId="0" borderId="0" xfId="0" applyFont="1"/>
    <xf numFmtId="0" fontId="10" fillId="0" borderId="0" xfId="0" applyFont="1"/>
    <xf numFmtId="165" fontId="13" fillId="0" borderId="0" xfId="0" applyNumberFormat="1" applyFont="1"/>
    <xf numFmtId="10" fontId="13" fillId="0" borderId="0" xfId="0" applyNumberFormat="1" applyFont="1"/>
    <xf numFmtId="165" fontId="11" fillId="0" borderId="0" xfId="0" applyNumberFormat="1" applyFont="1"/>
    <xf numFmtId="10" fontId="11" fillId="0" borderId="0" xfId="0" applyNumberFormat="1" applyFont="1"/>
    <xf numFmtId="49" fontId="10" fillId="0" borderId="1" xfId="0" applyNumberFormat="1" applyFont="1" applyBorder="1" applyAlignment="1">
      <alignment horizontal="center"/>
    </xf>
    <xf numFmtId="49" fontId="0" fillId="0" borderId="0" xfId="0" applyNumberFormat="1" applyAlignment="1">
      <alignment horizontal="center"/>
    </xf>
    <xf numFmtId="49" fontId="10" fillId="0" borderId="0" xfId="0" applyNumberFormat="1" applyFont="1"/>
    <xf numFmtId="165" fontId="14" fillId="0" borderId="0" xfId="0" applyNumberFormat="1" applyFont="1"/>
    <xf numFmtId="49" fontId="14" fillId="0" borderId="0" xfId="0" applyNumberFormat="1" applyFont="1"/>
    <xf numFmtId="165" fontId="14" fillId="0" borderId="3" xfId="0" applyNumberFormat="1" applyFont="1" applyBorder="1"/>
    <xf numFmtId="165" fontId="14" fillId="0" borderId="0" xfId="0" applyNumberFormat="1" applyFont="1" applyBorder="1"/>
    <xf numFmtId="165" fontId="14" fillId="0" borderId="4" xfId="0" applyNumberFormat="1" applyFont="1" applyBorder="1"/>
    <xf numFmtId="165" fontId="10" fillId="0" borderId="5" xfId="0" applyNumberFormat="1" applyFont="1" applyBorder="1"/>
    <xf numFmtId="0" fontId="0" fillId="0" borderId="0" xfId="0" applyNumberFormat="1"/>
    <xf numFmtId="0" fontId="15" fillId="0" borderId="0" xfId="0" applyFont="1"/>
    <xf numFmtId="0" fontId="15" fillId="0" borderId="0" xfId="0" applyFont="1" applyAlignment="1">
      <alignment horizontal="centerContinuous"/>
    </xf>
    <xf numFmtId="0" fontId="0" fillId="0" borderId="0" xfId="0" applyAlignment="1">
      <alignment horizontal="centerContinuous"/>
    </xf>
    <xf numFmtId="39" fontId="0" fillId="0" borderId="0" xfId="0" applyNumberFormat="1"/>
    <xf numFmtId="0" fontId="18" fillId="0" borderId="0" xfId="0" applyFont="1"/>
    <xf numFmtId="0" fontId="19" fillId="0" borderId="0" xfId="3" applyFont="1"/>
    <xf numFmtId="3" fontId="18" fillId="0" borderId="0" xfId="0" applyNumberFormat="1" applyFont="1"/>
    <xf numFmtId="0" fontId="20" fillId="0" borderId="0" xfId="3" applyFont="1" applyAlignment="1">
      <alignment horizontal="left" indent="1"/>
    </xf>
    <xf numFmtId="0" fontId="20" fillId="0" borderId="0" xfId="3" applyFont="1" applyFill="1" applyAlignment="1">
      <alignment horizontal="left" indent="1"/>
    </xf>
    <xf numFmtId="3" fontId="18" fillId="0" borderId="6" xfId="0" applyNumberFormat="1" applyFont="1" applyBorder="1"/>
    <xf numFmtId="0" fontId="21" fillId="0" borderId="0" xfId="3" applyFont="1"/>
    <xf numFmtId="0" fontId="20" fillId="2" borderId="0" xfId="3" applyFont="1" applyFill="1" applyAlignment="1">
      <alignment horizontal="left" indent="1"/>
    </xf>
    <xf numFmtId="3" fontId="18" fillId="0" borderId="7" xfId="0" applyNumberFormat="1" applyFont="1" applyBorder="1"/>
    <xf numFmtId="3" fontId="18" fillId="0" borderId="8" xfId="0" applyNumberFormat="1" applyFont="1" applyBorder="1"/>
    <xf numFmtId="10" fontId="18" fillId="0" borderId="0" xfId="0" applyNumberFormat="1" applyFont="1"/>
    <xf numFmtId="0" fontId="22" fillId="0" borderId="0" xfId="3" applyFont="1" applyAlignment="1">
      <alignment horizontal="centerContinuous" vertical="center"/>
    </xf>
    <xf numFmtId="0" fontId="22" fillId="0" borderId="0" xfId="4" applyFont="1" applyAlignment="1">
      <alignment horizontal="centerContinuous"/>
    </xf>
    <xf numFmtId="166" fontId="22" fillId="0" borderId="0" xfId="5" applyNumberFormat="1" applyFont="1" applyAlignment="1">
      <alignment horizontal="centerContinuous"/>
    </xf>
    <xf numFmtId="0" fontId="22" fillId="0" borderId="0" xfId="3" applyFont="1" applyAlignment="1">
      <alignment horizontal="left" vertical="center"/>
    </xf>
    <xf numFmtId="0" fontId="25" fillId="0" borderId="0" xfId="4" applyFont="1"/>
    <xf numFmtId="10" fontId="22" fillId="0" borderId="0" xfId="2" applyNumberFormat="1" applyFont="1" applyAlignment="1">
      <alignment horizontal="left" vertical="center"/>
    </xf>
    <xf numFmtId="0" fontId="25" fillId="0" borderId="0" xfId="4" quotePrefix="1" applyFont="1"/>
    <xf numFmtId="166" fontId="25" fillId="0" borderId="0" xfId="5" applyNumberFormat="1" applyFont="1"/>
    <xf numFmtId="9" fontId="25" fillId="0" borderId="0" xfId="2" applyFont="1"/>
    <xf numFmtId="0" fontId="25" fillId="0" borderId="0" xfId="4" applyFont="1" applyAlignment="1">
      <alignment horizontal="left"/>
    </xf>
    <xf numFmtId="0" fontId="6" fillId="2" borderId="0" xfId="4" applyFont="1" applyFill="1"/>
    <xf numFmtId="166" fontId="6" fillId="2" borderId="0" xfId="5" applyNumberFormat="1" applyFont="1" applyFill="1"/>
    <xf numFmtId="9" fontId="8" fillId="2" borderId="0" xfId="2" applyFill="1"/>
    <xf numFmtId="0" fontId="6" fillId="2" borderId="0" xfId="4" applyFont="1" applyFill="1" applyAlignment="1">
      <alignment horizontal="left"/>
    </xf>
    <xf numFmtId="0" fontId="6" fillId="2" borderId="9" xfId="4" applyFont="1" applyFill="1" applyBorder="1" applyAlignment="1">
      <alignment horizontal="center"/>
    </xf>
    <xf numFmtId="166" fontId="6" fillId="2" borderId="0" xfId="5" applyNumberFormat="1" applyFont="1" applyFill="1" applyAlignment="1">
      <alignment horizontal="center"/>
    </xf>
    <xf numFmtId="0" fontId="6" fillId="2" borderId="0" xfId="4" applyFont="1" applyFill="1" applyAlignment="1">
      <alignment horizontal="center"/>
    </xf>
    <xf numFmtId="9" fontId="8" fillId="2" borderId="0" xfId="2" applyFill="1" applyAlignment="1">
      <alignment horizontal="center"/>
    </xf>
    <xf numFmtId="166" fontId="6" fillId="2" borderId="9" xfId="5" applyNumberFormat="1" applyFont="1" applyFill="1" applyBorder="1" applyAlignment="1">
      <alignment horizontal="center" wrapText="1"/>
    </xf>
    <xf numFmtId="0" fontId="6" fillId="2" borderId="9" xfId="4" applyFont="1" applyFill="1" applyBorder="1" applyAlignment="1">
      <alignment horizontal="center" wrapText="1"/>
    </xf>
    <xf numFmtId="166" fontId="6" fillId="2" borderId="9" xfId="6" applyNumberFormat="1" applyFont="1" applyFill="1" applyBorder="1" applyAlignment="1">
      <alignment horizontal="center" wrapText="1"/>
    </xf>
    <xf numFmtId="166" fontId="6" fillId="2" borderId="14" xfId="6" applyNumberFormat="1" applyFont="1" applyFill="1" applyBorder="1" applyAlignment="1">
      <alignment horizontal="center" wrapText="1"/>
    </xf>
    <xf numFmtId="166" fontId="6" fillId="2" borderId="9" xfId="5" applyNumberFormat="1" applyFont="1" applyFill="1" applyBorder="1" applyAlignment="1">
      <alignment horizontal="center"/>
    </xf>
    <xf numFmtId="166" fontId="6" fillId="2" borderId="9" xfId="6" applyNumberFormat="1" applyFont="1" applyFill="1" applyBorder="1" applyAlignment="1">
      <alignment horizontal="center"/>
    </xf>
    <xf numFmtId="10" fontId="8" fillId="2" borderId="9" xfId="2" applyNumberFormat="1" applyFill="1" applyBorder="1" applyAlignment="1">
      <alignment horizontal="center"/>
    </xf>
    <xf numFmtId="10" fontId="8" fillId="2" borderId="9" xfId="2" applyNumberFormat="1" applyFill="1" applyBorder="1" applyAlignment="1">
      <alignment horizontal="center" wrapText="1"/>
    </xf>
    <xf numFmtId="0" fontId="9" fillId="2" borderId="0" xfId="4" applyFont="1" applyFill="1" applyAlignment="1">
      <alignment horizontal="left"/>
    </xf>
    <xf numFmtId="166" fontId="6" fillId="2" borderId="0" xfId="5" applyNumberFormat="1" applyFont="1" applyFill="1" applyAlignment="1">
      <alignment horizontal="center" wrapText="1"/>
    </xf>
    <xf numFmtId="0" fontId="6" fillId="2" borderId="0" xfId="4" applyFont="1" applyFill="1" applyAlignment="1">
      <alignment horizontal="center" wrapText="1"/>
    </xf>
    <xf numFmtId="166" fontId="6" fillId="2" borderId="0" xfId="6" applyNumberFormat="1" applyFont="1" applyFill="1" applyAlignment="1">
      <alignment horizontal="center" wrapText="1"/>
    </xf>
    <xf numFmtId="166" fontId="6" fillId="2" borderId="0" xfId="6" applyNumberFormat="1" applyFont="1" applyFill="1" applyAlignment="1">
      <alignment horizontal="center"/>
    </xf>
    <xf numFmtId="9" fontId="6" fillId="2" borderId="0" xfId="4" applyNumberFormat="1" applyFont="1" applyFill="1" applyAlignment="1">
      <alignment horizontal="center"/>
    </xf>
    <xf numFmtId="3" fontId="8" fillId="2" borderId="0" xfId="1" applyNumberFormat="1" applyFill="1"/>
    <xf numFmtId="43" fontId="8" fillId="2" borderId="0" xfId="1" applyFill="1"/>
    <xf numFmtId="1" fontId="6" fillId="2" borderId="0" xfId="4" applyNumberFormat="1" applyFont="1" applyFill="1"/>
    <xf numFmtId="166" fontId="6" fillId="2" borderId="6" xfId="6" applyNumberFormat="1" applyFont="1" applyFill="1" applyBorder="1" applyAlignment="1">
      <alignment horizontal="center"/>
    </xf>
    <xf numFmtId="166" fontId="6" fillId="2" borderId="6" xfId="5" applyNumberFormat="1" applyFont="1" applyFill="1" applyBorder="1"/>
    <xf numFmtId="9" fontId="6" fillId="2" borderId="0" xfId="4" applyNumberFormat="1" applyFont="1" applyFill="1"/>
    <xf numFmtId="3" fontId="8" fillId="2" borderId="0" xfId="1" applyNumberFormat="1" applyFill="1" applyAlignment="1">
      <alignment horizontal="center" wrapText="1"/>
    </xf>
    <xf numFmtId="3" fontId="8" fillId="2" borderId="0" xfId="1" applyNumberFormat="1" applyFill="1" applyAlignment="1">
      <alignment horizontal="center"/>
    </xf>
    <xf numFmtId="43" fontId="8" fillId="2" borderId="0" xfId="1" applyFill="1" applyAlignment="1">
      <alignment horizontal="center" wrapText="1"/>
    </xf>
    <xf numFmtId="9" fontId="0" fillId="2" borderId="0" xfId="4" applyNumberFormat="1" applyFont="1" applyFill="1"/>
    <xf numFmtId="43" fontId="8" fillId="2" borderId="0" xfId="1" applyFill="1" applyAlignment="1">
      <alignment horizontal="center"/>
    </xf>
    <xf numFmtId="0" fontId="6" fillId="2" borderId="0" xfId="4" quotePrefix="1" applyFont="1" applyFill="1" applyAlignment="1">
      <alignment horizontal="left"/>
    </xf>
    <xf numFmtId="0" fontId="26" fillId="0" borderId="0" xfId="4" applyFont="1"/>
    <xf numFmtId="0" fontId="6" fillId="2" borderId="0" xfId="0" applyFont="1" applyFill="1"/>
    <xf numFmtId="0" fontId="25" fillId="2" borderId="0" xfId="4" applyFont="1" applyFill="1" applyAlignment="1">
      <alignment horizontal="left"/>
    </xf>
    <xf numFmtId="0" fontId="25" fillId="0" borderId="0" xfId="0" applyFont="1"/>
    <xf numFmtId="0" fontId="27" fillId="0" borderId="6" xfId="0" applyFont="1" applyBorder="1" applyAlignment="1">
      <alignment horizontal="right"/>
    </xf>
    <xf numFmtId="43" fontId="27" fillId="0" borderId="6" xfId="1" applyFont="1" applyBorder="1" applyAlignment="1">
      <alignment horizontal="center"/>
    </xf>
    <xf numFmtId="43" fontId="27" fillId="0" borderId="6" xfId="1" applyFont="1" applyBorder="1"/>
    <xf numFmtId="43" fontId="27" fillId="0" borderId="6" xfId="1" applyFont="1" applyBorder="1" applyAlignment="1">
      <alignment horizontal="center" wrapText="1"/>
    </xf>
    <xf numFmtId="0" fontId="28" fillId="0" borderId="0" xfId="0" applyFont="1"/>
    <xf numFmtId="14" fontId="28" fillId="0" borderId="0" xfId="0" applyNumberFormat="1" applyFont="1"/>
    <xf numFmtId="43" fontId="28" fillId="0" borderId="0" xfId="1" applyFont="1"/>
    <xf numFmtId="43" fontId="28" fillId="0" borderId="0" xfId="0" applyNumberFormat="1" applyFont="1"/>
    <xf numFmtId="43" fontId="28" fillId="0" borderId="0" xfId="1" applyFont="1" applyAlignment="1">
      <alignment horizontal="center"/>
    </xf>
    <xf numFmtId="0" fontId="28" fillId="0" borderId="6" xfId="7" applyFont="1" applyBorder="1" applyAlignment="1">
      <alignment horizontal="center"/>
    </xf>
    <xf numFmtId="0" fontId="28" fillId="0" borderId="0" xfId="7" applyFont="1"/>
    <xf numFmtId="167" fontId="28" fillId="3" borderId="0" xfId="8" applyNumberFormat="1" applyFont="1" applyAlignment="1">
      <alignment horizontal="center"/>
    </xf>
    <xf numFmtId="0" fontId="30" fillId="0" borderId="0" xfId="9" applyFont="1"/>
    <xf numFmtId="167" fontId="28" fillId="0" borderId="0" xfId="1" applyNumberFormat="1" applyFont="1"/>
    <xf numFmtId="10" fontId="28" fillId="0" borderId="0" xfId="10" applyNumberFormat="1" applyFont="1"/>
    <xf numFmtId="0" fontId="28" fillId="0" borderId="0" xfId="10" applyNumberFormat="1" applyFont="1"/>
    <xf numFmtId="9" fontId="28" fillId="0" borderId="0" xfId="10" applyFont="1"/>
    <xf numFmtId="0" fontId="5" fillId="2" borderId="0" xfId="4" applyFont="1" applyFill="1" applyAlignment="1">
      <alignment horizontal="left"/>
    </xf>
    <xf numFmtId="42" fontId="6" fillId="2" borderId="0" xfId="5" applyNumberFormat="1" applyFont="1" applyFill="1"/>
    <xf numFmtId="0" fontId="5" fillId="2" borderId="0" xfId="4" applyFont="1" applyFill="1"/>
    <xf numFmtId="0" fontId="31" fillId="0" borderId="0" xfId="0" applyFont="1" applyAlignment="1">
      <alignment horizontal="center"/>
    </xf>
    <xf numFmtId="0" fontId="32" fillId="0" borderId="0" xfId="0" applyFont="1" applyAlignment="1">
      <alignment horizontal="center"/>
    </xf>
    <xf numFmtId="167" fontId="28" fillId="0" borderId="0" xfId="1" applyNumberFormat="1" applyFont="1" applyFill="1"/>
    <xf numFmtId="4" fontId="28" fillId="0" borderId="0" xfId="10" applyNumberFormat="1" applyFont="1" applyFill="1"/>
    <xf numFmtId="43" fontId="28" fillId="0" borderId="0" xfId="1" applyFont="1" applyFill="1"/>
    <xf numFmtId="4" fontId="28" fillId="0" borderId="0" xfId="0" applyNumberFormat="1" applyFont="1"/>
    <xf numFmtId="0" fontId="28" fillId="0" borderId="6" xfId="0" applyFont="1" applyBorder="1"/>
    <xf numFmtId="0" fontId="33" fillId="0" borderId="6" xfId="0" applyFont="1" applyBorder="1" applyAlignment="1">
      <alignment horizontal="right"/>
    </xf>
    <xf numFmtId="43" fontId="33" fillId="0" borderId="6" xfId="1" applyFont="1" applyBorder="1" applyAlignment="1">
      <alignment horizontal="center"/>
    </xf>
    <xf numFmtId="43" fontId="33" fillId="0" borderId="6" xfId="1" applyFont="1" applyBorder="1"/>
    <xf numFmtId="43" fontId="33" fillId="0" borderId="6" xfId="1" applyFont="1" applyBorder="1" applyAlignment="1">
      <alignment horizontal="center" wrapText="1"/>
    </xf>
    <xf numFmtId="0" fontId="34" fillId="0" borderId="0" xfId="0" applyFont="1" applyAlignment="1">
      <alignment horizontal="center"/>
    </xf>
    <xf numFmtId="14" fontId="25" fillId="0" borderId="0" xfId="0" applyNumberFormat="1" applyFont="1"/>
    <xf numFmtId="43" fontId="25" fillId="0" borderId="0" xfId="1" applyFont="1"/>
    <xf numFmtId="43" fontId="25" fillId="0" borderId="0" xfId="0" applyNumberFormat="1" applyFont="1"/>
    <xf numFmtId="0" fontId="9" fillId="0" borderId="0" xfId="0" applyFont="1" applyAlignment="1">
      <alignment horizontal="centerContinuous"/>
    </xf>
    <xf numFmtId="0" fontId="25" fillId="0" borderId="0" xfId="0" applyFont="1" applyAlignment="1">
      <alignment horizontal="centerContinuous"/>
    </xf>
    <xf numFmtId="4" fontId="25" fillId="0" borderId="0" xfId="0" applyNumberFormat="1" applyFont="1"/>
    <xf numFmtId="0" fontId="25" fillId="0" borderId="6" xfId="0" applyFont="1" applyBorder="1"/>
    <xf numFmtId="4" fontId="28" fillId="0" borderId="6" xfId="0" applyNumberFormat="1" applyFont="1" applyBorder="1"/>
    <xf numFmtId="4" fontId="28" fillId="0" borderId="0" xfId="0" applyNumberFormat="1" applyFont="1" applyBorder="1"/>
    <xf numFmtId="43" fontId="28" fillId="0" borderId="0" xfId="1" applyNumberFormat="1" applyFont="1"/>
    <xf numFmtId="43" fontId="28" fillId="0" borderId="6" xfId="1" applyFont="1" applyBorder="1"/>
    <xf numFmtId="0" fontId="36" fillId="0" borderId="0" xfId="0" applyFont="1"/>
    <xf numFmtId="0" fontId="36" fillId="0" borderId="0" xfId="11" applyFont="1"/>
    <xf numFmtId="0" fontId="36" fillId="0" borderId="0" xfId="11" applyFont="1" applyAlignment="1">
      <alignment horizontal="center"/>
    </xf>
    <xf numFmtId="0" fontId="24" fillId="0" borderId="0" xfId="7" applyFont="1"/>
    <xf numFmtId="14" fontId="36" fillId="0" borderId="0" xfId="11" applyNumberFormat="1" applyFont="1"/>
    <xf numFmtId="0" fontId="24" fillId="0" borderId="0" xfId="0" applyFont="1"/>
    <xf numFmtId="167" fontId="24" fillId="0" borderId="0" xfId="1" applyNumberFormat="1" applyFont="1"/>
    <xf numFmtId="0" fontId="36" fillId="0" borderId="0" xfId="0" applyFont="1" applyAlignment="1">
      <alignment horizontal="center"/>
    </xf>
    <xf numFmtId="167" fontId="24" fillId="0" borderId="0" xfId="7" applyNumberFormat="1" applyFont="1"/>
    <xf numFmtId="0" fontId="37" fillId="0" borderId="0" xfId="11" applyFont="1" applyAlignment="1">
      <alignment horizontal="center"/>
    </xf>
    <xf numFmtId="0" fontId="37" fillId="0" borderId="0" xfId="11" applyFont="1"/>
    <xf numFmtId="0" fontId="24" fillId="0" borderId="0" xfId="0" applyFont="1" applyAlignment="1">
      <alignment horizontal="center"/>
    </xf>
    <xf numFmtId="0" fontId="39" fillId="0" borderId="0" xfId="0" applyFont="1" applyAlignment="1">
      <alignment horizontal="centerContinuous"/>
    </xf>
    <xf numFmtId="0" fontId="36" fillId="0" borderId="0" xfId="0" applyFont="1" applyAlignment="1">
      <alignment horizontal="centerContinuous"/>
    </xf>
    <xf numFmtId="167" fontId="24" fillId="3" borderId="0" xfId="8" applyNumberFormat="1" applyFont="1" applyAlignment="1"/>
    <xf numFmtId="41" fontId="24" fillId="3" borderId="0" xfId="8" applyFont="1" applyAlignment="1"/>
    <xf numFmtId="0" fontId="24" fillId="0" borderId="0" xfId="7" applyFont="1" applyAlignment="1">
      <alignment horizontal="center"/>
    </xf>
    <xf numFmtId="0" fontId="24" fillId="0" borderId="0" xfId="7" applyFont="1" applyAlignment="1">
      <alignment horizontal="right"/>
    </xf>
    <xf numFmtId="41" fontId="24" fillId="3" borderId="0" xfId="8" applyFont="1" applyAlignment="1">
      <alignment horizontal="center"/>
    </xf>
    <xf numFmtId="167" fontId="24" fillId="0" borderId="0" xfId="8" applyNumberFormat="1" applyFont="1" applyFill="1" applyAlignment="1"/>
    <xf numFmtId="167" fontId="24" fillId="0" borderId="0" xfId="1" applyNumberFormat="1" applyFont="1" applyAlignment="1">
      <alignment horizontal="center"/>
    </xf>
    <xf numFmtId="167" fontId="24" fillId="0" borderId="6" xfId="1" applyNumberFormat="1" applyFont="1" applyBorder="1" applyAlignment="1">
      <alignment horizontal="center"/>
    </xf>
    <xf numFmtId="167" fontId="24" fillId="0" borderId="6" xfId="1" applyNumberFormat="1" applyFont="1" applyBorder="1"/>
    <xf numFmtId="14" fontId="37" fillId="0" borderId="0" xfId="11" applyNumberFormat="1" applyFont="1"/>
    <xf numFmtId="0" fontId="36" fillId="0" borderId="0" xfId="0" applyFont="1" applyFill="1"/>
    <xf numFmtId="0" fontId="36" fillId="0" borderId="0" xfId="11" applyFont="1" applyFill="1"/>
    <xf numFmtId="0" fontId="36" fillId="0" borderId="0" xfId="11" applyFont="1" applyFill="1" applyAlignment="1">
      <alignment horizontal="center"/>
    </xf>
    <xf numFmtId="0" fontId="36" fillId="0" borderId="0" xfId="11" applyFont="1" applyFill="1" applyAlignment="1">
      <alignment horizontal="center" wrapText="1"/>
    </xf>
    <xf numFmtId="0" fontId="24" fillId="0" borderId="0" xfId="7" applyFont="1" applyFill="1" applyBorder="1" applyAlignment="1">
      <alignment horizontal="center" wrapText="1"/>
    </xf>
    <xf numFmtId="0" fontId="24" fillId="0" borderId="0" xfId="7" applyFont="1" applyFill="1"/>
    <xf numFmtId="168" fontId="36" fillId="0" borderId="0" xfId="0" applyNumberFormat="1" applyFont="1" applyFill="1"/>
    <xf numFmtId="14" fontId="36" fillId="0" borderId="0" xfId="0" applyNumberFormat="1" applyFont="1" applyFill="1" applyBorder="1" applyAlignment="1">
      <alignment horizontal="center"/>
    </xf>
    <xf numFmtId="168" fontId="36" fillId="0" borderId="0" xfId="11" applyNumberFormat="1" applyFont="1" applyFill="1"/>
    <xf numFmtId="14" fontId="36" fillId="0" borderId="0" xfId="11" applyNumberFormat="1" applyFont="1" applyFill="1"/>
    <xf numFmtId="14" fontId="36" fillId="0" borderId="0" xfId="0" applyNumberFormat="1" applyFont="1" applyFill="1" applyAlignment="1">
      <alignment horizontal="center"/>
    </xf>
    <xf numFmtId="0" fontId="36" fillId="0" borderId="0" xfId="0" applyFont="1" applyFill="1" applyAlignment="1">
      <alignment horizontal="center"/>
    </xf>
    <xf numFmtId="167" fontId="24" fillId="0" borderId="0" xfId="7" applyNumberFormat="1" applyFont="1" applyFill="1" applyBorder="1"/>
    <xf numFmtId="169" fontId="24" fillId="0" borderId="0" xfId="10" applyNumberFormat="1" applyFont="1"/>
    <xf numFmtId="44" fontId="24" fillId="0" borderId="0" xfId="6" applyFont="1"/>
    <xf numFmtId="170" fontId="24" fillId="0" borderId="0" xfId="10" applyNumberFormat="1" applyFont="1" applyAlignment="1">
      <alignment horizontal="center"/>
    </xf>
    <xf numFmtId="167" fontId="24" fillId="3" borderId="0" xfId="8" applyNumberFormat="1" applyFont="1" applyBorder="1" applyAlignment="1"/>
    <xf numFmtId="44" fontId="24" fillId="0" borderId="0" xfId="6" applyFont="1" applyAlignment="1">
      <alignment horizontal="center"/>
    </xf>
    <xf numFmtId="10" fontId="24" fillId="0" borderId="0" xfId="10" applyNumberFormat="1" applyFont="1"/>
    <xf numFmtId="170" fontId="24" fillId="0" borderId="0" xfId="10" applyNumberFormat="1" applyFont="1"/>
    <xf numFmtId="0" fontId="24" fillId="0" borderId="0" xfId="7" applyFont="1" applyFill="1" applyAlignment="1">
      <alignment horizontal="center"/>
    </xf>
    <xf numFmtId="44" fontId="38" fillId="0" borderId="0" xfId="6" applyFont="1" applyBorder="1"/>
    <xf numFmtId="1" fontId="38" fillId="0" borderId="0" xfId="7" applyNumberFormat="1" applyFont="1" applyBorder="1"/>
    <xf numFmtId="0" fontId="24" fillId="0" borderId="6" xfId="7" applyFont="1" applyBorder="1" applyAlignment="1" applyProtection="1">
      <alignment horizontal="center"/>
    </xf>
    <xf numFmtId="167" fontId="24" fillId="0" borderId="6" xfId="7" applyNumberFormat="1" applyFont="1" applyBorder="1"/>
    <xf numFmtId="0" fontId="24" fillId="0" borderId="6" xfId="7" applyFont="1" applyBorder="1"/>
    <xf numFmtId="0" fontId="24" fillId="0" borderId="6" xfId="0" applyFont="1" applyBorder="1"/>
    <xf numFmtId="167" fontId="24" fillId="0" borderId="0" xfId="1" applyNumberFormat="1" applyFont="1" applyFill="1" applyAlignment="1">
      <alignment horizontal="center"/>
    </xf>
    <xf numFmtId="168" fontId="24" fillId="0" borderId="6" xfId="0" applyNumberFormat="1" applyFont="1" applyFill="1" applyBorder="1"/>
    <xf numFmtId="10" fontId="40" fillId="0" borderId="0" xfId="10" applyNumberFormat="1" applyFont="1" applyBorder="1"/>
    <xf numFmtId="167" fontId="24" fillId="0" borderId="0" xfId="1" applyNumberFormat="1" applyFont="1" applyBorder="1"/>
    <xf numFmtId="167" fontId="24" fillId="0" borderId="0" xfId="1" applyNumberFormat="1" applyFont="1" applyBorder="1" applyAlignment="1">
      <alignment horizontal="center"/>
    </xf>
    <xf numFmtId="167" fontId="36" fillId="0" borderId="0" xfId="0" applyNumberFormat="1" applyFont="1" applyBorder="1" applyAlignment="1">
      <alignment horizontal="center"/>
    </xf>
    <xf numFmtId="167" fontId="36" fillId="0" borderId="0" xfId="0" applyNumberFormat="1" applyFont="1" applyBorder="1"/>
    <xf numFmtId="167" fontId="36" fillId="0" borderId="6" xfId="0" applyNumberFormat="1" applyFont="1" applyBorder="1" applyAlignment="1">
      <alignment horizontal="center"/>
    </xf>
    <xf numFmtId="167" fontId="36" fillId="0" borderId="6" xfId="0" applyNumberFormat="1" applyFont="1" applyBorder="1"/>
    <xf numFmtId="170" fontId="24" fillId="0" borderId="0" xfId="10" applyNumberFormat="1" applyFont="1" applyFill="1" applyBorder="1"/>
    <xf numFmtId="14" fontId="36" fillId="0" borderId="0" xfId="11" applyNumberFormat="1" applyFont="1" applyAlignment="1">
      <alignment horizontal="center"/>
    </xf>
    <xf numFmtId="0" fontId="36" fillId="0" borderId="0" xfId="11" applyFont="1" applyBorder="1"/>
    <xf numFmtId="9" fontId="36" fillId="0" borderId="0" xfId="11" applyNumberFormat="1" applyFont="1" applyFill="1"/>
    <xf numFmtId="0" fontId="36" fillId="0" borderId="0" xfId="11" applyFont="1" applyFill="1" applyBorder="1"/>
    <xf numFmtId="44" fontId="37" fillId="0" borderId="0" xfId="14" applyFont="1" applyFill="1"/>
    <xf numFmtId="0" fontId="25" fillId="0" borderId="0" xfId="0" applyFont="1" applyFill="1" applyAlignment="1">
      <alignment horizontal="center"/>
    </xf>
    <xf numFmtId="0" fontId="25" fillId="0" borderId="0" xfId="0" applyFont="1" applyFill="1"/>
    <xf numFmtId="168" fontId="25" fillId="0" borderId="0" xfId="0" applyNumberFormat="1" applyFont="1" applyFill="1"/>
    <xf numFmtId="0" fontId="41" fillId="0" borderId="0" xfId="0" applyFont="1"/>
    <xf numFmtId="3" fontId="41" fillId="0" borderId="0" xfId="0" applyNumberFormat="1" applyFont="1"/>
    <xf numFmtId="4" fontId="41" fillId="0" borderId="0" xfId="0" applyNumberFormat="1" applyFont="1"/>
    <xf numFmtId="0" fontId="42" fillId="0" borderId="0" xfId="0" applyFont="1" applyAlignment="1"/>
    <xf numFmtId="0" fontId="43" fillId="0" borderId="0" xfId="0" applyFont="1" applyAlignment="1"/>
    <xf numFmtId="4" fontId="41" fillId="0" borderId="6" xfId="0" applyNumberFormat="1" applyFont="1" applyBorder="1"/>
    <xf numFmtId="0" fontId="42" fillId="0" borderId="0" xfId="0" applyFont="1"/>
    <xf numFmtId="37" fontId="41" fillId="0" borderId="0" xfId="0" applyNumberFormat="1" applyFont="1"/>
    <xf numFmtId="37" fontId="41" fillId="0" borderId="6" xfId="0" applyNumberFormat="1" applyFont="1" applyBorder="1"/>
    <xf numFmtId="10" fontId="41" fillId="0" borderId="0" xfId="0" applyNumberFormat="1" applyFont="1"/>
    <xf numFmtId="0" fontId="44" fillId="0" borderId="0" xfId="0" applyFont="1" applyAlignment="1">
      <alignment horizontal="centerContinuous"/>
    </xf>
    <xf numFmtId="37" fontId="41" fillId="0" borderId="0" xfId="7" applyNumberFormat="1" applyFont="1" applyAlignment="1">
      <alignment horizontal="centerContinuous"/>
    </xf>
    <xf numFmtId="41" fontId="41" fillId="3" borderId="0" xfId="8" applyFont="1" applyAlignment="1">
      <alignment horizontal="centerContinuous"/>
    </xf>
    <xf numFmtId="0" fontId="41" fillId="0" borderId="0" xfId="7" applyFont="1" applyAlignment="1">
      <alignment horizontal="centerContinuous"/>
    </xf>
    <xf numFmtId="0" fontId="41" fillId="0" borderId="0" xfId="0" applyFont="1" applyAlignment="1">
      <alignment horizontal="centerContinuous"/>
    </xf>
    <xf numFmtId="37" fontId="41" fillId="0" borderId="0" xfId="7" applyNumberFormat="1" applyFont="1"/>
    <xf numFmtId="37" fontId="41" fillId="0" borderId="0" xfId="7" applyNumberFormat="1" applyFont="1" applyAlignment="1">
      <alignment horizontal="center"/>
    </xf>
    <xf numFmtId="37" fontId="41" fillId="0" borderId="6" xfId="7" applyNumberFormat="1" applyFont="1" applyBorder="1" applyAlignment="1">
      <alignment horizontal="center"/>
    </xf>
    <xf numFmtId="37" fontId="41" fillId="0" borderId="0" xfId="7" applyNumberFormat="1" applyFont="1" applyAlignment="1">
      <alignment horizontal="left"/>
    </xf>
    <xf numFmtId="37" fontId="41" fillId="0" borderId="0" xfId="7" applyNumberFormat="1" applyFont="1" applyAlignment="1">
      <alignment horizontal="right"/>
    </xf>
    <xf numFmtId="39" fontId="41" fillId="0" borderId="0" xfId="7" applyNumberFormat="1" applyFont="1"/>
    <xf numFmtId="39" fontId="41" fillId="3" borderId="0" xfId="8" applyNumberFormat="1" applyFont="1" applyAlignment="1"/>
    <xf numFmtId="167" fontId="41" fillId="3" borderId="0" xfId="8" applyNumberFormat="1" applyFont="1" applyAlignment="1"/>
    <xf numFmtId="37" fontId="41" fillId="0" borderId="6" xfId="7" applyNumberFormat="1" applyFont="1" applyBorder="1"/>
    <xf numFmtId="167" fontId="41" fillId="3" borderId="6" xfId="8" applyNumberFormat="1" applyFont="1" applyBorder="1" applyAlignment="1"/>
    <xf numFmtId="0" fontId="41" fillId="0" borderId="0" xfId="7" applyFont="1"/>
    <xf numFmtId="37" fontId="45" fillId="0" borderId="0" xfId="7" applyNumberFormat="1" applyFont="1"/>
    <xf numFmtId="41" fontId="41" fillId="3" borderId="0" xfId="8" applyFont="1" applyAlignment="1"/>
    <xf numFmtId="37" fontId="45" fillId="0" borderId="0" xfId="7" applyNumberFormat="1" applyFont="1" applyAlignment="1">
      <alignment horizontal="centerContinuous"/>
    </xf>
    <xf numFmtId="37" fontId="41" fillId="0" borderId="0" xfId="7" quotePrefix="1" applyNumberFormat="1" applyFont="1" applyAlignment="1">
      <alignment horizontal="left"/>
    </xf>
    <xf numFmtId="10" fontId="41" fillId="0" borderId="0" xfId="7" applyNumberFormat="1" applyFont="1"/>
    <xf numFmtId="171" fontId="41" fillId="0" borderId="0" xfId="7" applyNumberFormat="1" applyFont="1"/>
    <xf numFmtId="0" fontId="46" fillId="0" borderId="0" xfId="0" applyFont="1"/>
    <xf numFmtId="37" fontId="46" fillId="0" borderId="0" xfId="0" applyNumberFormat="1" applyFont="1"/>
    <xf numFmtId="37" fontId="47" fillId="0" borderId="0" xfId="7" applyNumberFormat="1" applyFont="1" applyAlignment="1">
      <alignment horizontal="left"/>
    </xf>
    <xf numFmtId="37" fontId="46" fillId="0" borderId="0" xfId="0" applyNumberFormat="1" applyFont="1" applyBorder="1"/>
    <xf numFmtId="10" fontId="41" fillId="0" borderId="0" xfId="10" applyNumberFormat="1" applyFont="1"/>
    <xf numFmtId="10" fontId="45" fillId="0" borderId="0" xfId="10" applyNumberFormat="1" applyFont="1"/>
    <xf numFmtId="170" fontId="41" fillId="0" borderId="0" xfId="10" applyNumberFormat="1" applyFont="1"/>
    <xf numFmtId="37" fontId="45" fillId="0" borderId="6" xfId="7" applyNumberFormat="1" applyFont="1" applyBorder="1" applyAlignment="1">
      <alignment horizontal="left"/>
    </xf>
    <xf numFmtId="37" fontId="41" fillId="0" borderId="0" xfId="7" applyNumberFormat="1" applyFont="1" applyBorder="1" applyAlignment="1">
      <alignment horizontal="left"/>
    </xf>
    <xf numFmtId="37" fontId="41" fillId="0" borderId="0" xfId="7" applyNumberFormat="1" applyFont="1" applyBorder="1" applyAlignment="1">
      <alignment horizontal="right"/>
    </xf>
    <xf numFmtId="37" fontId="41" fillId="0" borderId="0" xfId="7" applyNumberFormat="1" applyFont="1" applyBorder="1"/>
    <xf numFmtId="39" fontId="41" fillId="0" borderId="6" xfId="7" applyNumberFormat="1" applyFont="1" applyBorder="1"/>
    <xf numFmtId="37" fontId="41" fillId="0" borderId="7" xfId="7" applyNumberFormat="1" applyFont="1" applyBorder="1"/>
    <xf numFmtId="37" fontId="45" fillId="0" borderId="0" xfId="7" applyNumberFormat="1" applyFont="1" applyAlignment="1">
      <alignment horizontal="center"/>
    </xf>
    <xf numFmtId="37" fontId="46" fillId="0" borderId="7" xfId="0" applyNumberFormat="1" applyFont="1" applyBorder="1"/>
    <xf numFmtId="0" fontId="41" fillId="0" borderId="0" xfId="0" applyFont="1" applyAlignment="1">
      <alignment horizontal="center"/>
    </xf>
    <xf numFmtId="2" fontId="41" fillId="0" borderId="0" xfId="0" applyNumberFormat="1" applyFont="1" applyAlignment="1">
      <alignment horizontal="centerContinuous"/>
    </xf>
    <xf numFmtId="0" fontId="41" fillId="0" borderId="6" xfId="0" applyFont="1" applyBorder="1"/>
    <xf numFmtId="4" fontId="41" fillId="0" borderId="6" xfId="0" applyNumberFormat="1" applyFont="1" applyFill="1" applyBorder="1"/>
    <xf numFmtId="164" fontId="41" fillId="0" borderId="0" xfId="0" applyNumberFormat="1" applyFont="1"/>
    <xf numFmtId="3" fontId="41" fillId="0" borderId="6" xfId="0" applyNumberFormat="1" applyFont="1" applyBorder="1"/>
    <xf numFmtId="0" fontId="41" fillId="0" borderId="0" xfId="0" applyFont="1" applyAlignment="1">
      <alignment horizontal="center" wrapText="1"/>
    </xf>
    <xf numFmtId="0" fontId="49" fillId="0" borderId="0" xfId="0" applyFont="1"/>
    <xf numFmtId="0" fontId="50" fillId="0" borderId="0" xfId="0" applyFont="1"/>
    <xf numFmtId="3" fontId="50" fillId="0" borderId="0" xfId="0" applyNumberFormat="1" applyFont="1"/>
    <xf numFmtId="3" fontId="50" fillId="0" borderId="6" xfId="0" applyNumberFormat="1" applyFont="1" applyBorder="1"/>
    <xf numFmtId="0" fontId="9" fillId="0" borderId="0" xfId="0" applyFont="1" applyAlignment="1">
      <alignment horizontal="center"/>
    </xf>
    <xf numFmtId="0" fontId="9" fillId="0" borderId="0" xfId="0" applyFont="1" applyAlignment="1">
      <alignment horizontal="center" wrapText="1"/>
    </xf>
    <xf numFmtId="0" fontId="9" fillId="0" borderId="0" xfId="0" applyFont="1"/>
    <xf numFmtId="0" fontId="9" fillId="0" borderId="0" xfId="0" applyFont="1" applyAlignment="1">
      <alignment wrapText="1"/>
    </xf>
    <xf numFmtId="168" fontId="9" fillId="0" borderId="0" xfId="0" applyNumberFormat="1" applyFont="1" applyAlignment="1">
      <alignment horizontal="center"/>
    </xf>
    <xf numFmtId="0" fontId="48" fillId="7" borderId="0" xfId="16" applyFont="1" applyFill="1" applyAlignment="1">
      <alignment horizontal="center"/>
    </xf>
    <xf numFmtId="0" fontId="48" fillId="7" borderId="0" xfId="16" applyFont="1" applyFill="1"/>
    <xf numFmtId="168" fontId="48" fillId="7" borderId="0" xfId="16" applyNumberFormat="1" applyFont="1" applyFill="1"/>
    <xf numFmtId="0" fontId="48" fillId="8" borderId="0" xfId="16" applyFont="1" applyFill="1" applyAlignment="1">
      <alignment horizontal="center"/>
    </xf>
    <xf numFmtId="0" fontId="48" fillId="8" borderId="0" xfId="16" applyFont="1" applyFill="1"/>
    <xf numFmtId="168" fontId="48" fillId="8" borderId="0" xfId="16" applyNumberFormat="1" applyFont="1" applyFill="1"/>
    <xf numFmtId="172" fontId="48" fillId="8" borderId="0" xfId="16" applyNumberFormat="1" applyFont="1" applyFill="1" applyAlignment="1">
      <alignment horizontal="center"/>
    </xf>
    <xf numFmtId="0" fontId="48" fillId="5" borderId="0" xfId="16" applyFont="1" applyAlignment="1">
      <alignment horizontal="center"/>
    </xf>
    <xf numFmtId="172" fontId="48" fillId="5" borderId="0" xfId="16" applyNumberFormat="1" applyFont="1" applyAlignment="1">
      <alignment horizontal="center"/>
    </xf>
    <xf numFmtId="0" fontId="48" fillId="5" borderId="0" xfId="16" applyFont="1"/>
    <xf numFmtId="168" fontId="48" fillId="5" borderId="0" xfId="16" applyNumberFormat="1" applyFont="1"/>
    <xf numFmtId="0" fontId="25" fillId="0" borderId="0" xfId="0" applyFont="1" applyAlignment="1">
      <alignment horizontal="center"/>
    </xf>
    <xf numFmtId="0" fontId="9" fillId="0" borderId="0" xfId="0" applyFont="1" applyAlignment="1">
      <alignment horizontal="right"/>
    </xf>
    <xf numFmtId="17" fontId="25" fillId="0" borderId="0" xfId="0" applyNumberFormat="1" applyFont="1" applyAlignment="1">
      <alignment horizontal="center"/>
    </xf>
    <xf numFmtId="168" fontId="25" fillId="0" borderId="0" xfId="0" applyNumberFormat="1" applyFont="1"/>
    <xf numFmtId="14" fontId="25" fillId="0" borderId="0" xfId="0" applyNumberFormat="1" applyFont="1" applyAlignment="1">
      <alignment horizontal="center"/>
    </xf>
    <xf numFmtId="172" fontId="25" fillId="0" borderId="0" xfId="0" applyNumberFormat="1" applyFont="1" applyAlignment="1">
      <alignment horizontal="center"/>
    </xf>
    <xf numFmtId="168" fontId="25" fillId="0" borderId="0" xfId="0" applyNumberFormat="1" applyFont="1" applyAlignment="1">
      <alignment horizontal="center"/>
    </xf>
    <xf numFmtId="0" fontId="25" fillId="9" borderId="0" xfId="0" applyFont="1" applyFill="1" applyAlignment="1">
      <alignment horizontal="center"/>
    </xf>
    <xf numFmtId="172" fontId="25" fillId="9" borderId="0" xfId="0" applyNumberFormat="1" applyFont="1" applyFill="1" applyAlignment="1">
      <alignment horizontal="center"/>
    </xf>
    <xf numFmtId="0" fontId="25" fillId="9" borderId="0" xfId="0" applyFont="1" applyFill="1"/>
    <xf numFmtId="168" fontId="25" fillId="9" borderId="0" xfId="0" applyNumberFormat="1" applyFont="1" applyFill="1"/>
    <xf numFmtId="0" fontId="25" fillId="0" borderId="0" xfId="0" applyFont="1" applyFill="1" applyBorder="1" applyAlignment="1">
      <alignment horizontal="center"/>
    </xf>
    <xf numFmtId="0" fontId="25" fillId="0" borderId="0" xfId="0" applyFont="1" applyFill="1" applyBorder="1"/>
    <xf numFmtId="0" fontId="9" fillId="0" borderId="0" xfId="0" applyFont="1" applyFill="1" applyBorder="1" applyAlignment="1">
      <alignment horizontal="center"/>
    </xf>
    <xf numFmtId="168" fontId="25" fillId="0" borderId="0" xfId="0" applyNumberFormat="1" applyFont="1" applyFill="1" applyBorder="1"/>
    <xf numFmtId="0" fontId="48" fillId="0" borderId="0" xfId="16" applyFont="1" applyFill="1" applyBorder="1" applyAlignment="1">
      <alignment horizontal="center"/>
    </xf>
    <xf numFmtId="168" fontId="48" fillId="0" borderId="0" xfId="16" applyNumberFormat="1" applyFont="1" applyFill="1" applyBorder="1"/>
    <xf numFmtId="172" fontId="25" fillId="0" borderId="0" xfId="0" applyNumberFormat="1" applyFont="1" applyFill="1" applyBorder="1" applyAlignment="1">
      <alignment horizontal="center"/>
    </xf>
    <xf numFmtId="4" fontId="25" fillId="0" borderId="0" xfId="0" applyNumberFormat="1" applyFont="1" applyFill="1" applyBorder="1"/>
    <xf numFmtId="2" fontId="3" fillId="0" borderId="0" xfId="16" applyNumberFormat="1" applyFont="1" applyFill="1" applyBorder="1"/>
    <xf numFmtId="172" fontId="25" fillId="0" borderId="0" xfId="0" applyNumberFormat="1" applyFont="1" applyFill="1" applyAlignment="1">
      <alignment horizontal="center"/>
    </xf>
    <xf numFmtId="0" fontId="25" fillId="0" borderId="0" xfId="0" applyFont="1" applyAlignment="1"/>
    <xf numFmtId="0" fontId="25" fillId="0" borderId="0" xfId="0" applyFont="1" applyAlignment="1">
      <alignment horizontal="left"/>
    </xf>
    <xf numFmtId="3" fontId="6" fillId="2" borderId="0" xfId="5" applyNumberFormat="1" applyFont="1" applyFill="1"/>
    <xf numFmtId="3" fontId="6" fillId="2" borderId="0" xfId="5" applyNumberFormat="1" applyFont="1" applyFill="1" applyAlignment="1">
      <alignment horizontal="center"/>
    </xf>
    <xf numFmtId="3" fontId="6" fillId="2" borderId="6" xfId="5" applyNumberFormat="1" applyFont="1" applyFill="1" applyBorder="1"/>
    <xf numFmtId="17" fontId="25" fillId="0" borderId="0" xfId="0" applyNumberFormat="1" applyFont="1" applyFill="1" applyAlignment="1">
      <alignment horizontal="center"/>
    </xf>
    <xf numFmtId="168" fontId="25" fillId="7" borderId="0" xfId="16" applyNumberFormat="1" applyFont="1" applyFill="1"/>
    <xf numFmtId="0" fontId="25" fillId="7" borderId="0" xfId="16" applyFont="1" applyFill="1"/>
    <xf numFmtId="168" fontId="25" fillId="8" borderId="0" xfId="16" applyNumberFormat="1" applyFont="1" applyFill="1"/>
    <xf numFmtId="0" fontId="25" fillId="8" borderId="0" xfId="16" applyFont="1" applyFill="1"/>
    <xf numFmtId="168" fontId="25" fillId="5" borderId="0" xfId="16" applyNumberFormat="1" applyFont="1"/>
    <xf numFmtId="0" fontId="25" fillId="5" borderId="0" xfId="16" applyFont="1"/>
    <xf numFmtId="4" fontId="25" fillId="5" borderId="0" xfId="16" applyNumberFormat="1" applyFont="1"/>
    <xf numFmtId="168" fontId="25" fillId="9" borderId="6" xfId="0" applyNumberFormat="1" applyFont="1" applyFill="1" applyBorder="1"/>
    <xf numFmtId="168" fontId="25" fillId="0" borderId="6" xfId="0" applyNumberFormat="1" applyFont="1" applyBorder="1"/>
    <xf numFmtId="0" fontId="0" fillId="11" borderId="0" xfId="0" applyNumberFormat="1" applyFill="1"/>
    <xf numFmtId="0" fontId="53" fillId="11" borderId="0" xfId="0" applyNumberFormat="1" applyFont="1" applyFill="1"/>
    <xf numFmtId="0" fontId="53" fillId="11" borderId="3" xfId="0" applyNumberFormat="1" applyFont="1" applyFill="1" applyBorder="1"/>
    <xf numFmtId="0" fontId="53" fillId="0" borderId="15" xfId="0" applyNumberFormat="1" applyFont="1" applyFill="1" applyBorder="1"/>
    <xf numFmtId="0" fontId="53" fillId="0" borderId="0" xfId="0" applyNumberFormat="1" applyFont="1" applyFill="1" applyAlignment="1">
      <alignment horizontal="center"/>
    </xf>
    <xf numFmtId="0" fontId="53" fillId="0" borderId="0" xfId="0" applyNumberFormat="1" applyFont="1" applyFill="1"/>
    <xf numFmtId="0" fontId="55" fillId="10" borderId="16" xfId="17" applyNumberFormat="1" applyFont="1" applyBorder="1" applyAlignment="1">
      <alignment horizontal="centerContinuous"/>
    </xf>
    <xf numFmtId="0" fontId="56" fillId="10" borderId="2" xfId="17" applyNumberFormat="1" applyFont="1" applyBorder="1" applyAlignment="1">
      <alignment horizontal="centerContinuous"/>
    </xf>
    <xf numFmtId="0" fontId="56" fillId="10" borderId="2" xfId="17" applyNumberFormat="1" applyFont="1" applyBorder="1" applyAlignment="1">
      <alignment horizontal="left"/>
    </xf>
    <xf numFmtId="0" fontId="0" fillId="0" borderId="15" xfId="0" applyNumberFormat="1" applyBorder="1"/>
    <xf numFmtId="0" fontId="57" fillId="0" borderId="12" xfId="0" applyNumberFormat="1" applyFont="1" applyBorder="1" applyAlignment="1">
      <alignment horizontal="centerContinuous"/>
    </xf>
    <xf numFmtId="0" fontId="57" fillId="0" borderId="13" xfId="0" applyNumberFormat="1" applyFont="1" applyBorder="1" applyAlignment="1">
      <alignment horizontal="centerContinuous"/>
    </xf>
    <xf numFmtId="0" fontId="0" fillId="0" borderId="13" xfId="0" applyNumberFormat="1" applyBorder="1" applyAlignment="1">
      <alignment horizontal="centerContinuous"/>
    </xf>
    <xf numFmtId="0" fontId="58" fillId="0" borderId="18" xfId="0" applyNumberFormat="1" applyFont="1" applyBorder="1"/>
    <xf numFmtId="0" fontId="58" fillId="0" borderId="0" xfId="0" applyNumberFormat="1" applyFont="1"/>
    <xf numFmtId="0" fontId="59" fillId="0" borderId="0" xfId="0" applyNumberFormat="1" applyFont="1" applyAlignment="1">
      <alignment horizontal="center"/>
    </xf>
    <xf numFmtId="0" fontId="0" fillId="0" borderId="0" xfId="0" applyNumberFormat="1" applyAlignment="1">
      <alignment horizontal="center"/>
    </xf>
    <xf numFmtId="0" fontId="56" fillId="10" borderId="19" xfId="17" applyNumberFormat="1" applyFont="1" applyBorder="1" applyAlignment="1">
      <alignment horizontal="left"/>
    </xf>
    <xf numFmtId="0" fontId="56" fillId="10" borderId="12" xfId="17" applyNumberFormat="1" applyFont="1" applyBorder="1" applyAlignment="1">
      <alignment horizontal="left"/>
    </xf>
    <xf numFmtId="0" fontId="0" fillId="6" borderId="0" xfId="0" applyNumberFormat="1" applyFill="1" applyBorder="1"/>
    <xf numFmtId="0" fontId="58" fillId="0" borderId="15" xfId="0" applyNumberFormat="1" applyFont="1" applyBorder="1"/>
    <xf numFmtId="0" fontId="60" fillId="12" borderId="0" xfId="0" applyNumberFormat="1" applyFont="1" applyFill="1" applyAlignment="1">
      <alignment horizontal="center"/>
    </xf>
    <xf numFmtId="0" fontId="61" fillId="11" borderId="0" xfId="0" applyNumberFormat="1" applyFont="1" applyFill="1"/>
    <xf numFmtId="0" fontId="62" fillId="0" borderId="20" xfId="0" applyNumberFormat="1" applyFont="1" applyBorder="1" applyAlignment="1">
      <alignment horizontal="right"/>
    </xf>
    <xf numFmtId="41" fontId="58" fillId="0" borderId="11" xfId="8" applyFont="1" applyFill="1" applyBorder="1">
      <alignment horizontal="left"/>
    </xf>
    <xf numFmtId="0" fontId="62" fillId="0" borderId="15" xfId="0" applyNumberFormat="1" applyFont="1" applyBorder="1"/>
    <xf numFmtId="0" fontId="62" fillId="0" borderId="0" xfId="0" applyNumberFormat="1" applyFont="1"/>
    <xf numFmtId="0" fontId="63" fillId="12" borderId="0" xfId="0" applyNumberFormat="1" applyFont="1" applyFill="1" applyAlignment="1">
      <alignment horizontal="center"/>
    </xf>
    <xf numFmtId="41" fontId="0" fillId="11" borderId="0" xfId="0" applyNumberFormat="1" applyFill="1"/>
    <xf numFmtId="0" fontId="29" fillId="0" borderId="0" xfId="0" applyNumberFormat="1" applyFont="1"/>
    <xf numFmtId="41" fontId="58" fillId="0" borderId="13" xfId="8" applyFont="1" applyFill="1" applyBorder="1">
      <alignment horizontal="left"/>
    </xf>
    <xf numFmtId="0" fontId="62" fillId="0" borderId="10" xfId="0" applyNumberFormat="1" applyFont="1" applyBorder="1"/>
    <xf numFmtId="0" fontId="60" fillId="12" borderId="6" xfId="0" applyNumberFormat="1" applyFont="1" applyFill="1" applyBorder="1"/>
    <xf numFmtId="0" fontId="63" fillId="12" borderId="6" xfId="0" applyNumberFormat="1" applyFont="1" applyFill="1" applyBorder="1" applyAlignment="1">
      <alignment horizontal="center"/>
    </xf>
    <xf numFmtId="0" fontId="63" fillId="12" borderId="6" xfId="0" applyNumberFormat="1" applyFont="1" applyFill="1" applyBorder="1"/>
    <xf numFmtId="0" fontId="0" fillId="0" borderId="21" xfId="0" applyNumberFormat="1" applyBorder="1" applyAlignment="1">
      <alignment horizontal="center"/>
    </xf>
    <xf numFmtId="2" fontId="0" fillId="0" borderId="21" xfId="0" applyNumberFormat="1" applyBorder="1" applyAlignment="1">
      <alignment horizontal="center"/>
    </xf>
    <xf numFmtId="173" fontId="0" fillId="0" borderId="22" xfId="0" applyNumberFormat="1" applyBorder="1"/>
    <xf numFmtId="10" fontId="64" fillId="0" borderId="22" xfId="0" applyNumberFormat="1" applyFont="1" applyBorder="1"/>
    <xf numFmtId="41" fontId="0" fillId="0" borderId="23" xfId="0" applyNumberFormat="1" applyBorder="1"/>
    <xf numFmtId="41" fontId="0" fillId="0" borderId="21" xfId="0" applyNumberFormat="1" applyBorder="1"/>
    <xf numFmtId="41" fontId="0" fillId="0" borderId="22" xfId="0" applyNumberFormat="1" applyBorder="1"/>
    <xf numFmtId="0" fontId="62" fillId="0" borderId="24" xfId="0" applyNumberFormat="1" applyFont="1" applyBorder="1" applyAlignment="1">
      <alignment horizontal="center"/>
    </xf>
    <xf numFmtId="0" fontId="62" fillId="0" borderId="0" xfId="0" applyNumberFormat="1" applyFont="1" applyAlignment="1">
      <alignment horizontal="right"/>
    </xf>
    <xf numFmtId="41" fontId="62" fillId="0" borderId="0" xfId="0" applyNumberFormat="1" applyFont="1"/>
    <xf numFmtId="0" fontId="65" fillId="0" borderId="15" xfId="0" applyNumberFormat="1" applyFont="1" applyBorder="1" applyAlignment="1">
      <alignment horizontal="center"/>
    </xf>
    <xf numFmtId="2" fontId="0" fillId="0" borderId="15" xfId="0" applyNumberFormat="1" applyBorder="1" applyAlignment="1">
      <alignment horizontal="center"/>
    </xf>
    <xf numFmtId="173" fontId="0" fillId="0" borderId="0" xfId="0" applyNumberFormat="1" applyBorder="1"/>
    <xf numFmtId="10" fontId="64" fillId="0" borderId="0" xfId="0" applyNumberFormat="1" applyFont="1" applyBorder="1"/>
    <xf numFmtId="41" fontId="0" fillId="0" borderId="25" xfId="0" applyNumberFormat="1" applyBorder="1"/>
    <xf numFmtId="41" fontId="0" fillId="0" borderId="15" xfId="0" applyNumberFormat="1" applyBorder="1"/>
    <xf numFmtId="41" fontId="0" fillId="0" borderId="0" xfId="0" applyNumberFormat="1" applyBorder="1"/>
    <xf numFmtId="9" fontId="58" fillId="0" borderId="13" xfId="2" applyFont="1" applyFill="1" applyBorder="1"/>
    <xf numFmtId="0" fontId="62" fillId="0" borderId="20" xfId="0" applyNumberFormat="1" applyFont="1" applyBorder="1" applyAlignment="1">
      <alignment horizontal="center"/>
    </xf>
    <xf numFmtId="0" fontId="0" fillId="0" borderId="15" xfId="0" applyNumberFormat="1" applyBorder="1" applyAlignment="1">
      <alignment horizontal="center"/>
    </xf>
    <xf numFmtId="41" fontId="62" fillId="0" borderId="7" xfId="0" applyNumberFormat="1" applyFont="1" applyBorder="1"/>
    <xf numFmtId="5" fontId="62" fillId="0" borderId="7" xfId="0" applyNumberFormat="1" applyFont="1" applyBorder="1"/>
    <xf numFmtId="0" fontId="0" fillId="0" borderId="10" xfId="0" applyNumberFormat="1" applyBorder="1" applyAlignment="1">
      <alignment horizontal="center"/>
    </xf>
    <xf numFmtId="0" fontId="63" fillId="0" borderId="20" xfId="0" applyNumberFormat="1" applyFont="1" applyBorder="1" applyAlignment="1">
      <alignment horizontal="right"/>
    </xf>
    <xf numFmtId="169" fontId="58" fillId="0" borderId="13" xfId="2" applyNumberFormat="1" applyFont="1" applyFill="1" applyBorder="1"/>
    <xf numFmtId="173" fontId="65" fillId="0" borderId="0" xfId="0" applyNumberFormat="1" applyFont="1" applyBorder="1"/>
    <xf numFmtId="0" fontId="62" fillId="0" borderId="14" xfId="0" applyNumberFormat="1" applyFont="1" applyBorder="1" applyAlignment="1">
      <alignment horizontal="right"/>
    </xf>
    <xf numFmtId="41" fontId="62" fillId="0" borderId="26" xfId="0" applyNumberFormat="1" applyFont="1" applyBorder="1"/>
    <xf numFmtId="173" fontId="0" fillId="0" borderId="6" xfId="0" applyNumberFormat="1" applyBorder="1"/>
    <xf numFmtId="41" fontId="58" fillId="0" borderId="0" xfId="0" applyNumberFormat="1" applyFont="1"/>
    <xf numFmtId="0" fontId="62" fillId="4" borderId="27" xfId="12" applyNumberFormat="1" applyFont="1" applyBorder="1" applyAlignment="1">
      <alignment horizontal="right"/>
    </xf>
    <xf numFmtId="0" fontId="62" fillId="4" borderId="0" xfId="12" applyNumberFormat="1" applyFont="1" applyAlignment="1">
      <alignment horizontal="right"/>
    </xf>
    <xf numFmtId="10" fontId="62" fillId="4" borderId="0" xfId="12" applyNumberFormat="1" applyFont="1" applyAlignment="1">
      <alignment horizontal="right"/>
    </xf>
    <xf numFmtId="41" fontId="58" fillId="3" borderId="0" xfId="8" applyFont="1" applyAlignment="1">
      <alignment horizontal="right"/>
    </xf>
    <xf numFmtId="0" fontId="7" fillId="4" borderId="0" xfId="12" applyNumberFormat="1" applyAlignment="1">
      <alignment horizontal="right"/>
    </xf>
    <xf numFmtId="0" fontId="0" fillId="0" borderId="28" xfId="0" applyNumberFormat="1" applyBorder="1" applyAlignment="1">
      <alignment horizontal="center"/>
    </xf>
    <xf numFmtId="2" fontId="0" fillId="0" borderId="28" xfId="0" applyNumberFormat="1" applyBorder="1" applyAlignment="1">
      <alignment horizontal="center"/>
    </xf>
    <xf numFmtId="173" fontId="0" fillId="0" borderId="29" xfId="0" applyNumberFormat="1" applyBorder="1"/>
    <xf numFmtId="10" fontId="64" fillId="0" borderId="29" xfId="0" applyNumberFormat="1" applyFont="1" applyBorder="1"/>
    <xf numFmtId="41" fontId="0" fillId="0" borderId="30" xfId="0" applyNumberFormat="1" applyBorder="1"/>
    <xf numFmtId="41" fontId="0" fillId="0" borderId="28" xfId="0" applyNumberFormat="1" applyBorder="1"/>
    <xf numFmtId="41" fontId="0" fillId="0" borderId="29" xfId="0" applyNumberFormat="1" applyBorder="1"/>
    <xf numFmtId="0" fontId="58" fillId="4" borderId="0" xfId="12" applyNumberFormat="1" applyFont="1"/>
    <xf numFmtId="0" fontId="7" fillId="4" borderId="0" xfId="12" applyNumberFormat="1"/>
    <xf numFmtId="10" fontId="62" fillId="0" borderId="0" xfId="0" applyNumberFormat="1" applyFont="1" applyAlignment="1">
      <alignment horizontal="right"/>
    </xf>
    <xf numFmtId="0" fontId="60" fillId="12" borderId="28" xfId="12" applyNumberFormat="1" applyFont="1" applyFill="1" applyBorder="1" applyAlignment="1">
      <alignment horizontal="left"/>
    </xf>
    <xf numFmtId="0" fontId="7" fillId="4" borderId="29" xfId="12" applyNumberFormat="1" applyBorder="1"/>
    <xf numFmtId="0" fontId="7" fillId="4" borderId="30" xfId="12" applyNumberFormat="1" applyBorder="1"/>
    <xf numFmtId="0" fontId="58" fillId="4" borderId="15" xfId="12" applyNumberFormat="1" applyFont="1" applyBorder="1"/>
    <xf numFmtId="0" fontId="62" fillId="4" borderId="0" xfId="12" applyNumberFormat="1" applyFont="1" applyBorder="1" applyAlignment="1">
      <alignment horizontal="right"/>
    </xf>
    <xf numFmtId="41" fontId="62" fillId="4" borderId="0" xfId="12" applyNumberFormat="1" applyFont="1" applyBorder="1"/>
    <xf numFmtId="0" fontId="66" fillId="4" borderId="0" xfId="12" applyNumberFormat="1" applyFont="1" applyBorder="1" applyAlignment="1">
      <alignment horizontal="left"/>
    </xf>
    <xf numFmtId="41" fontId="62" fillId="4" borderId="25" xfId="12" applyNumberFormat="1" applyFont="1" applyBorder="1"/>
    <xf numFmtId="0" fontId="54" fillId="11" borderId="0" xfId="0" applyNumberFormat="1" applyFont="1" applyFill="1"/>
    <xf numFmtId="0" fontId="63" fillId="4" borderId="0" xfId="12" applyNumberFormat="1" applyFont="1" applyBorder="1" applyAlignment="1">
      <alignment horizontal="right"/>
    </xf>
    <xf numFmtId="41" fontId="63" fillId="4" borderId="32" xfId="12" applyNumberFormat="1" applyFont="1" applyBorder="1"/>
    <xf numFmtId="0" fontId="7" fillId="4" borderId="0" xfId="12" applyNumberFormat="1" applyBorder="1"/>
    <xf numFmtId="41" fontId="63" fillId="4" borderId="33" xfId="12" applyNumberFormat="1" applyFont="1" applyBorder="1"/>
    <xf numFmtId="0" fontId="7" fillId="4" borderId="10" xfId="12" applyNumberFormat="1" applyBorder="1"/>
    <xf numFmtId="0" fontId="7" fillId="4" borderId="6" xfId="12" applyNumberFormat="1" applyBorder="1"/>
    <xf numFmtId="0" fontId="7" fillId="4" borderId="11" xfId="12" applyNumberFormat="1" applyBorder="1"/>
    <xf numFmtId="0" fontId="58" fillId="0" borderId="0" xfId="0" applyNumberFormat="1" applyFont="1" applyBorder="1"/>
    <xf numFmtId="0" fontId="60" fillId="12" borderId="0" xfId="0" applyNumberFormat="1" applyFont="1" applyFill="1" applyBorder="1" applyAlignment="1">
      <alignment horizontal="right"/>
    </xf>
    <xf numFmtId="0" fontId="60" fillId="3" borderId="0" xfId="0" applyNumberFormat="1" applyFont="1" applyFill="1" applyBorder="1" applyAlignment="1">
      <alignment horizontal="centerContinuous"/>
    </xf>
    <xf numFmtId="0" fontId="67" fillId="0" borderId="0" xfId="0" applyNumberFormat="1" applyFont="1" applyAlignment="1">
      <alignment horizontal="right"/>
    </xf>
    <xf numFmtId="41" fontId="67" fillId="0" borderId="0" xfId="0" applyNumberFormat="1" applyFont="1" applyAlignment="1">
      <alignment horizontal="center"/>
    </xf>
    <xf numFmtId="0" fontId="67" fillId="0" borderId="0" xfId="0" applyNumberFormat="1" applyFont="1" applyAlignment="1">
      <alignment horizontal="center"/>
    </xf>
    <xf numFmtId="37" fontId="0" fillId="0" borderId="0" xfId="0" applyNumberFormat="1"/>
    <xf numFmtId="173" fontId="0" fillId="0" borderId="0" xfId="0" applyNumberFormat="1"/>
    <xf numFmtId="10" fontId="62" fillId="0" borderId="0" xfId="0" applyNumberFormat="1" applyFont="1" applyAlignment="1">
      <alignment horizontal="center"/>
    </xf>
    <xf numFmtId="41" fontId="62" fillId="0" borderId="0" xfId="0" applyNumberFormat="1" applyFont="1" applyBorder="1" applyProtection="1">
      <protection locked="0"/>
    </xf>
    <xf numFmtId="41" fontId="62" fillId="0" borderId="6" xfId="0" applyNumberFormat="1" applyFont="1" applyBorder="1" applyProtection="1">
      <protection locked="0"/>
    </xf>
    <xf numFmtId="41" fontId="62" fillId="0" borderId="0" xfId="0" applyNumberFormat="1" applyFont="1" applyBorder="1"/>
    <xf numFmtId="9" fontId="62" fillId="0" borderId="0" xfId="0" applyNumberFormat="1" applyFont="1" applyAlignment="1">
      <alignment horizontal="center"/>
    </xf>
    <xf numFmtId="41" fontId="62" fillId="0" borderId="34" xfId="0" applyNumberFormat="1" applyFont="1" applyBorder="1"/>
    <xf numFmtId="0" fontId="58" fillId="0" borderId="0" xfId="0" applyNumberFormat="1" applyFont="1" applyAlignment="1">
      <alignment horizontal="right"/>
    </xf>
    <xf numFmtId="10" fontId="62" fillId="0" borderId="34" xfId="0" applyNumberFormat="1" applyFont="1" applyBorder="1" applyAlignment="1">
      <alignment horizontal="center"/>
    </xf>
    <xf numFmtId="0" fontId="63" fillId="0" borderId="0" xfId="0" applyNumberFormat="1" applyFont="1" applyAlignment="1">
      <alignment horizontal="center"/>
    </xf>
    <xf numFmtId="0" fontId="68" fillId="0" borderId="0" xfId="0" applyNumberFormat="1" applyFont="1"/>
    <xf numFmtId="0" fontId="63" fillId="0" borderId="0" xfId="0" applyNumberFormat="1" applyFont="1"/>
    <xf numFmtId="0" fontId="68" fillId="0" borderId="0" xfId="0" applyNumberFormat="1" applyFont="1" applyAlignment="1">
      <alignment horizontal="right"/>
    </xf>
    <xf numFmtId="10" fontId="62" fillId="0" borderId="0" xfId="0" applyNumberFormat="1" applyFont="1"/>
    <xf numFmtId="10" fontId="0" fillId="11" borderId="0" xfId="0" applyNumberFormat="1" applyFill="1"/>
    <xf numFmtId="0" fontId="62" fillId="0" borderId="0" xfId="0" quotePrefix="1" applyNumberFormat="1" applyFont="1" applyAlignment="1">
      <alignment horizontal="left"/>
    </xf>
    <xf numFmtId="174" fontId="0" fillId="0" borderId="0" xfId="0" applyNumberFormat="1"/>
    <xf numFmtId="0" fontId="69" fillId="0" borderId="0" xfId="0" applyNumberFormat="1" applyFont="1"/>
    <xf numFmtId="39" fontId="62" fillId="0" borderId="0" xfId="0" applyNumberFormat="1" applyFont="1"/>
    <xf numFmtId="0" fontId="0" fillId="0" borderId="20" xfId="0" applyNumberFormat="1" applyBorder="1"/>
    <xf numFmtId="0" fontId="70" fillId="0" borderId="0" xfId="0" applyNumberFormat="1" applyFont="1"/>
    <xf numFmtId="0" fontId="0" fillId="0" borderId="21" xfId="0" applyNumberFormat="1" applyBorder="1" applyAlignment="1">
      <alignment horizontal="centerContinuous"/>
    </xf>
    <xf numFmtId="0" fontId="0" fillId="0" borderId="30" xfId="0" applyNumberFormat="1" applyBorder="1" applyAlignment="1">
      <alignment horizontal="centerContinuous"/>
    </xf>
    <xf numFmtId="0" fontId="0" fillId="0" borderId="29" xfId="0" applyNumberFormat="1" applyBorder="1"/>
    <xf numFmtId="0" fontId="0" fillId="0" borderId="30" xfId="0" applyNumberFormat="1" applyBorder="1"/>
    <xf numFmtId="9" fontId="8" fillId="0" borderId="0" xfId="2"/>
    <xf numFmtId="0" fontId="63" fillId="0" borderId="6" xfId="0" applyNumberFormat="1" applyFont="1" applyBorder="1" applyAlignment="1">
      <alignment horizontal="right"/>
    </xf>
    <xf numFmtId="0" fontId="63" fillId="0" borderId="6" xfId="0" applyNumberFormat="1" applyFont="1" applyBorder="1" applyAlignment="1">
      <alignment horizontal="center"/>
    </xf>
    <xf numFmtId="0" fontId="0" fillId="0" borderId="15" xfId="0" applyNumberFormat="1" applyBorder="1" applyAlignment="1">
      <alignment horizontal="centerContinuous"/>
    </xf>
    <xf numFmtId="0" fontId="0" fillId="0" borderId="25" xfId="0" applyNumberFormat="1" applyBorder="1" applyAlignment="1">
      <alignment horizontal="centerContinuous"/>
    </xf>
    <xf numFmtId="0" fontId="0" fillId="0" borderId="0" xfId="0" applyNumberFormat="1" applyBorder="1"/>
    <xf numFmtId="0" fontId="0" fillId="0" borderId="25" xfId="0" applyNumberFormat="1" applyBorder="1"/>
    <xf numFmtId="0" fontId="71" fillId="0" borderId="0" xfId="0" applyNumberFormat="1" applyFont="1"/>
    <xf numFmtId="169" fontId="62" fillId="0" borderId="0" xfId="0" applyNumberFormat="1" applyFont="1"/>
    <xf numFmtId="167" fontId="62" fillId="0" borderId="0" xfId="0" applyNumberFormat="1" applyFont="1" applyBorder="1" applyProtection="1">
      <protection locked="0"/>
    </xf>
    <xf numFmtId="0" fontId="0" fillId="0" borderId="25" xfId="0" applyNumberFormat="1" applyBorder="1" applyAlignment="1">
      <alignment horizontal="center"/>
    </xf>
    <xf numFmtId="0" fontId="0" fillId="0" borderId="0" xfId="0" quotePrefix="1" applyNumberFormat="1" applyBorder="1" applyAlignment="1">
      <alignment horizontal="right"/>
    </xf>
    <xf numFmtId="10" fontId="0" fillId="0" borderId="25" xfId="0" applyNumberFormat="1" applyBorder="1"/>
    <xf numFmtId="10" fontId="0" fillId="0" borderId="0" xfId="0" applyNumberFormat="1" applyAlignment="1">
      <alignment horizontal="center"/>
    </xf>
    <xf numFmtId="0" fontId="0" fillId="0" borderId="0" xfId="0" applyNumberFormat="1" applyFont="1" applyBorder="1"/>
    <xf numFmtId="10" fontId="0" fillId="0" borderId="25" xfId="0" applyNumberFormat="1" applyBorder="1" applyAlignment="1">
      <alignment horizontal="right"/>
    </xf>
    <xf numFmtId="41" fontId="0" fillId="0" borderId="0" xfId="0" applyNumberFormat="1"/>
    <xf numFmtId="0" fontId="0" fillId="0" borderId="11" xfId="0" applyNumberFormat="1" applyBorder="1" applyAlignment="1">
      <alignment horizontal="center"/>
    </xf>
    <xf numFmtId="0" fontId="0" fillId="0" borderId="6" xfId="0" applyNumberFormat="1" applyBorder="1"/>
    <xf numFmtId="0" fontId="0" fillId="0" borderId="11" xfId="0" applyNumberFormat="1" applyBorder="1"/>
    <xf numFmtId="169" fontId="62" fillId="0" borderId="34" xfId="0" applyNumberFormat="1" applyFont="1" applyBorder="1"/>
    <xf numFmtId="0" fontId="0" fillId="0" borderId="0" xfId="0" applyNumberFormat="1" applyBorder="1" applyAlignment="1">
      <alignment horizontal="center"/>
    </xf>
    <xf numFmtId="169" fontId="62" fillId="0" borderId="0" xfId="0" applyNumberFormat="1" applyFont="1" applyBorder="1"/>
    <xf numFmtId="39" fontId="0" fillId="0" borderId="21" xfId="0" applyNumberFormat="1" applyFont="1" applyBorder="1" applyAlignment="1">
      <alignment horizontal="center"/>
    </xf>
    <xf numFmtId="0" fontId="0" fillId="0" borderId="29" xfId="0" quotePrefix="1" applyNumberFormat="1" applyFont="1" applyBorder="1" applyAlignment="1">
      <alignment horizontal="left"/>
    </xf>
    <xf numFmtId="0" fontId="62" fillId="0" borderId="0" xfId="0" applyNumberFormat="1" applyFont="1" applyBorder="1"/>
    <xf numFmtId="10" fontId="62" fillId="0" borderId="0" xfId="0" applyNumberFormat="1" applyFont="1" applyBorder="1"/>
    <xf numFmtId="0" fontId="0" fillId="0" borderId="15" xfId="0" applyNumberFormat="1" applyFont="1" applyBorder="1" applyAlignment="1">
      <alignment horizontal="center"/>
    </xf>
    <xf numFmtId="0" fontId="0" fillId="0" borderId="0" xfId="0" quotePrefix="1" applyNumberFormat="1" applyFont="1" applyBorder="1" applyAlignment="1">
      <alignment horizontal="left"/>
    </xf>
    <xf numFmtId="0" fontId="72" fillId="11" borderId="0" xfId="0" applyNumberFormat="1" applyFont="1" applyFill="1"/>
    <xf numFmtId="2" fontId="72" fillId="11" borderId="0" xfId="0" applyNumberFormat="1" applyFont="1" applyFill="1"/>
    <xf numFmtId="10" fontId="0" fillId="0" borderId="10" xfId="0" applyNumberFormat="1" applyFont="1" applyBorder="1" applyAlignment="1">
      <alignment horizontal="center"/>
    </xf>
    <xf numFmtId="0" fontId="0" fillId="0" borderId="6" xfId="0" applyNumberFormat="1" applyFont="1" applyBorder="1"/>
    <xf numFmtId="0" fontId="73" fillId="0" borderId="11" xfId="0" applyNumberFormat="1" applyFont="1" applyBorder="1"/>
    <xf numFmtId="0" fontId="73" fillId="11" borderId="0" xfId="0" applyNumberFormat="1" applyFont="1" applyFill="1"/>
    <xf numFmtId="175" fontId="0" fillId="0" borderId="0" xfId="0" applyNumberFormat="1"/>
    <xf numFmtId="0" fontId="54" fillId="0" borderId="0" xfId="0" applyNumberFormat="1" applyFont="1" applyBorder="1" applyAlignment="1">
      <alignment horizontal="centerContinuous"/>
    </xf>
    <xf numFmtId="0" fontId="0" fillId="0" borderId="0" xfId="0" applyNumberFormat="1" applyAlignment="1">
      <alignment horizontal="centerContinuous"/>
    </xf>
    <xf numFmtId="0" fontId="0" fillId="11" borderId="0" xfId="0" applyNumberFormat="1" applyFill="1" applyAlignment="1">
      <alignment horizontal="right"/>
    </xf>
    <xf numFmtId="0" fontId="0" fillId="0" borderId="21" xfId="0" applyNumberFormat="1" applyBorder="1"/>
    <xf numFmtId="0" fontId="74" fillId="0" borderId="29" xfId="0" applyNumberFormat="1" applyFont="1" applyBorder="1" applyAlignment="1">
      <alignment horizontal="center"/>
    </xf>
    <xf numFmtId="0" fontId="74" fillId="0" borderId="30" xfId="0" applyNumberFormat="1" applyFont="1" applyBorder="1" applyAlignment="1">
      <alignment horizontal="center"/>
    </xf>
    <xf numFmtId="0" fontId="0" fillId="0" borderId="21" xfId="0" applyNumberFormat="1" applyBorder="1" applyAlignment="1">
      <alignment horizontal="left"/>
    </xf>
    <xf numFmtId="176" fontId="75" fillId="0" borderId="29" xfId="0" applyNumberFormat="1" applyFont="1" applyBorder="1" applyAlignment="1">
      <alignment horizontal="center"/>
    </xf>
    <xf numFmtId="0" fontId="0" fillId="0" borderId="29" xfId="0" applyNumberFormat="1" applyBorder="1" applyAlignment="1">
      <alignment horizontal="left"/>
    </xf>
    <xf numFmtId="176" fontId="75" fillId="0" borderId="30" xfId="0" applyNumberFormat="1" applyFont="1" applyBorder="1" applyAlignment="1">
      <alignment horizontal="center"/>
    </xf>
    <xf numFmtId="10" fontId="0" fillId="0" borderId="0" xfId="0" applyNumberFormat="1" applyBorder="1"/>
    <xf numFmtId="0" fontId="0" fillId="0" borderId="15" xfId="0" applyNumberFormat="1" applyBorder="1" applyAlignment="1">
      <alignment horizontal="left"/>
    </xf>
    <xf numFmtId="176" fontId="75" fillId="0" borderId="0" xfId="0" applyNumberFormat="1" applyFont="1" applyBorder="1" applyAlignment="1">
      <alignment horizontal="center"/>
    </xf>
    <xf numFmtId="0" fontId="0" fillId="0" borderId="0" xfId="0" applyNumberFormat="1" applyBorder="1" applyAlignment="1">
      <alignment horizontal="left"/>
    </xf>
    <xf numFmtId="176" fontId="75" fillId="0" borderId="25" xfId="0" applyNumberFormat="1" applyFont="1" applyBorder="1" applyAlignment="1">
      <alignment horizontal="center"/>
    </xf>
    <xf numFmtId="0" fontId="76" fillId="0" borderId="0" xfId="0" applyNumberFormat="1" applyFont="1" applyBorder="1" applyAlignment="1">
      <alignment horizontal="centerContinuous"/>
    </xf>
    <xf numFmtId="176" fontId="0" fillId="0" borderId="25" xfId="0" applyNumberFormat="1" applyBorder="1" applyAlignment="1">
      <alignment horizontal="center"/>
    </xf>
    <xf numFmtId="0" fontId="73" fillId="11" borderId="0" xfId="0" applyNumberFormat="1" applyFont="1" applyFill="1" applyAlignment="1">
      <alignment horizontal="fill"/>
    </xf>
    <xf numFmtId="10" fontId="0" fillId="0" borderId="6" xfId="0" applyNumberFormat="1" applyBorder="1"/>
    <xf numFmtId="9" fontId="77" fillId="0" borderId="0" xfId="2" applyFont="1" applyBorder="1"/>
    <xf numFmtId="169" fontId="77" fillId="0" borderId="25" xfId="2" applyNumberFormat="1" applyFont="1" applyBorder="1"/>
    <xf numFmtId="0" fontId="0" fillId="0" borderId="10" xfId="0" applyNumberFormat="1" applyBorder="1"/>
    <xf numFmtId="0" fontId="0" fillId="0" borderId="6" xfId="0" applyNumberFormat="1" applyBorder="1" applyAlignment="1">
      <alignment horizontal="right"/>
    </xf>
    <xf numFmtId="176" fontId="75" fillId="0" borderId="6" xfId="0" applyNumberFormat="1" applyFont="1" applyBorder="1" applyAlignment="1">
      <alignment horizontal="left"/>
    </xf>
    <xf numFmtId="176" fontId="0" fillId="0" borderId="11" xfId="0" applyNumberFormat="1" applyBorder="1" applyAlignment="1">
      <alignment horizontal="center"/>
    </xf>
    <xf numFmtId="9" fontId="77" fillId="0" borderId="6" xfId="2" applyFont="1" applyBorder="1"/>
    <xf numFmtId="9" fontId="77" fillId="0" borderId="11" xfId="2" applyFont="1" applyBorder="1"/>
    <xf numFmtId="176" fontId="0" fillId="0" borderId="0" xfId="0" applyNumberFormat="1"/>
    <xf numFmtId="0" fontId="78" fillId="0" borderId="29" xfId="0" applyNumberFormat="1" applyFont="1" applyBorder="1"/>
    <xf numFmtId="0" fontId="78" fillId="0" borderId="15" xfId="0" applyNumberFormat="1" applyFont="1" applyBorder="1"/>
    <xf numFmtId="0" fontId="78" fillId="0" borderId="0" xfId="0" applyNumberFormat="1" applyFont="1" applyBorder="1"/>
    <xf numFmtId="0" fontId="78" fillId="0" borderId="25" xfId="0" applyNumberFormat="1" applyFont="1" applyBorder="1"/>
    <xf numFmtId="0" fontId="0" fillId="3" borderId="0" xfId="0" applyNumberFormat="1" applyFill="1"/>
    <xf numFmtId="0" fontId="79" fillId="0" borderId="0" xfId="0" applyNumberFormat="1" applyFont="1" applyBorder="1"/>
    <xf numFmtId="0" fontId="29" fillId="0" borderId="0" xfId="0" applyNumberFormat="1" applyFont="1" applyBorder="1"/>
    <xf numFmtId="9" fontId="77" fillId="0" borderId="25" xfId="2" applyFont="1" applyBorder="1"/>
    <xf numFmtId="39" fontId="0" fillId="0" borderId="6" xfId="0" applyNumberFormat="1" applyBorder="1"/>
    <xf numFmtId="174" fontId="0" fillId="0" borderId="6" xfId="0" applyNumberFormat="1" applyBorder="1"/>
    <xf numFmtId="173" fontId="0" fillId="0" borderId="11" xfId="0" applyNumberFormat="1" applyBorder="1"/>
    <xf numFmtId="10" fontId="58" fillId="0" borderId="13" xfId="2" applyNumberFormat="1" applyFont="1" applyFill="1" applyBorder="1"/>
    <xf numFmtId="0" fontId="52" fillId="0" borderId="0" xfId="0" applyFont="1"/>
    <xf numFmtId="10" fontId="24" fillId="0" borderId="6" xfId="10" applyNumberFormat="1" applyFont="1" applyBorder="1" applyAlignment="1">
      <alignment horizontal="right"/>
    </xf>
    <xf numFmtId="4" fontId="24" fillId="0" borderId="0" xfId="0" applyNumberFormat="1" applyFont="1"/>
    <xf numFmtId="4" fontId="24" fillId="0" borderId="6" xfId="0" applyNumberFormat="1" applyFont="1" applyBorder="1"/>
    <xf numFmtId="8" fontId="0" fillId="0" borderId="0" xfId="0" applyNumberFormat="1"/>
    <xf numFmtId="4" fontId="24" fillId="0" borderId="0" xfId="0" applyNumberFormat="1" applyFont="1" applyAlignment="1">
      <alignment horizontal="centerContinuous"/>
    </xf>
    <xf numFmtId="0" fontId="24" fillId="0" borderId="0" xfId="0" applyNumberFormat="1" applyFont="1"/>
    <xf numFmtId="165" fontId="24" fillId="0" borderId="0" xfId="0" applyNumberFormat="1" applyFont="1"/>
    <xf numFmtId="49" fontId="24" fillId="0" borderId="0" xfId="0" applyNumberFormat="1" applyFont="1" applyAlignment="1">
      <alignment horizontal="center"/>
    </xf>
    <xf numFmtId="49" fontId="81" fillId="0" borderId="1" xfId="0" applyNumberFormat="1" applyFont="1" applyBorder="1" applyAlignment="1">
      <alignment horizontal="center"/>
    </xf>
    <xf numFmtId="49" fontId="81" fillId="0" borderId="0" xfId="0" applyNumberFormat="1" applyFont="1"/>
    <xf numFmtId="177" fontId="81" fillId="0" borderId="0" xfId="0" applyNumberFormat="1" applyFont="1"/>
    <xf numFmtId="165" fontId="81" fillId="0" borderId="0" xfId="0" applyNumberFormat="1" applyFont="1"/>
    <xf numFmtId="49" fontId="82" fillId="0" borderId="0" xfId="0" applyNumberFormat="1" applyFont="1"/>
    <xf numFmtId="177" fontId="82" fillId="0" borderId="0" xfId="0" applyNumberFormat="1" applyFont="1"/>
    <xf numFmtId="49" fontId="82" fillId="0" borderId="0" xfId="0" applyNumberFormat="1" applyFont="1" applyAlignment="1">
      <alignment horizontal="centerContinuous"/>
    </xf>
    <xf numFmtId="165" fontId="82" fillId="0" borderId="0" xfId="0" applyNumberFormat="1" applyFont="1"/>
    <xf numFmtId="165" fontId="82" fillId="0" borderId="0" xfId="0" applyNumberFormat="1" applyFont="1" applyBorder="1"/>
    <xf numFmtId="165" fontId="82" fillId="0" borderId="4" xfId="0" applyNumberFormat="1" applyFont="1" applyBorder="1"/>
    <xf numFmtId="165" fontId="81" fillId="0" borderId="5" xfId="0" applyNumberFormat="1" applyFont="1" applyBorder="1"/>
    <xf numFmtId="49" fontId="83" fillId="0" borderId="0" xfId="0" applyNumberFormat="1" applyFont="1" applyAlignment="1">
      <alignment horizontal="center"/>
    </xf>
    <xf numFmtId="0" fontId="83" fillId="0" borderId="0" xfId="0" applyNumberFormat="1" applyFont="1"/>
    <xf numFmtId="49" fontId="84" fillId="0" borderId="1" xfId="0" applyNumberFormat="1" applyFont="1" applyBorder="1" applyAlignment="1">
      <alignment horizontal="center"/>
    </xf>
    <xf numFmtId="49" fontId="84" fillId="0" borderId="0" xfId="0" applyNumberFormat="1" applyFont="1"/>
    <xf numFmtId="177" fontId="84" fillId="0" borderId="0" xfId="0" applyNumberFormat="1" applyFont="1"/>
    <xf numFmtId="165" fontId="84" fillId="0" borderId="0" xfId="0" applyNumberFormat="1" applyFont="1"/>
    <xf numFmtId="49" fontId="85" fillId="0" borderId="0" xfId="0" applyNumberFormat="1" applyFont="1"/>
    <xf numFmtId="177" fontId="85" fillId="0" borderId="0" xfId="0" applyNumberFormat="1" applyFont="1"/>
    <xf numFmtId="49" fontId="85" fillId="0" borderId="0" xfId="0" applyNumberFormat="1" applyFont="1" applyAlignment="1">
      <alignment horizontal="centerContinuous"/>
    </xf>
    <xf numFmtId="165" fontId="85" fillId="0" borderId="0" xfId="0" applyNumberFormat="1" applyFont="1"/>
    <xf numFmtId="165" fontId="85" fillId="0" borderId="0" xfId="0" applyNumberFormat="1" applyFont="1" applyBorder="1"/>
    <xf numFmtId="165" fontId="85" fillId="0" borderId="4" xfId="0" applyNumberFormat="1" applyFont="1" applyBorder="1"/>
    <xf numFmtId="165" fontId="84" fillId="0" borderId="5" xfId="0" applyNumberFormat="1" applyFont="1" applyBorder="1"/>
    <xf numFmtId="0" fontId="86" fillId="0" borderId="0" xfId="0" applyNumberFormat="1" applyFont="1"/>
    <xf numFmtId="165" fontId="86" fillId="0" borderId="0" xfId="0" applyNumberFormat="1" applyFont="1"/>
    <xf numFmtId="3" fontId="2" fillId="2" borderId="0" xfId="4" applyNumberFormat="1" applyFont="1" applyFill="1" applyAlignment="1">
      <alignment wrapText="1"/>
    </xf>
    <xf numFmtId="3" fontId="2" fillId="2" borderId="0" xfId="4" applyNumberFormat="1" applyFont="1" applyFill="1"/>
    <xf numFmtId="3" fontId="25" fillId="0" borderId="0" xfId="0" applyNumberFormat="1" applyFont="1"/>
    <xf numFmtId="3" fontId="2" fillId="2" borderId="0" xfId="5" applyNumberFormat="1" applyFont="1" applyFill="1"/>
    <xf numFmtId="3" fontId="2" fillId="2" borderId="0" xfId="0" applyNumberFormat="1" applyFont="1" applyFill="1"/>
    <xf numFmtId="3" fontId="2" fillId="2" borderId="6" xfId="0" applyNumberFormat="1" applyFont="1" applyFill="1" applyBorder="1"/>
    <xf numFmtId="49" fontId="25" fillId="0" borderId="0" xfId="0" applyNumberFormat="1" applyFont="1" applyAlignment="1">
      <alignment horizontal="center"/>
    </xf>
    <xf numFmtId="49" fontId="87" fillId="0" borderId="1" xfId="0" applyNumberFormat="1" applyFont="1" applyBorder="1" applyAlignment="1">
      <alignment horizontal="center"/>
    </xf>
    <xf numFmtId="49" fontId="87" fillId="0" borderId="0" xfId="0" applyNumberFormat="1" applyFont="1"/>
    <xf numFmtId="177" fontId="87" fillId="0" borderId="0" xfId="0" applyNumberFormat="1" applyFont="1"/>
    <xf numFmtId="165" fontId="87" fillId="0" borderId="0" xfId="0" applyNumberFormat="1" applyFont="1"/>
    <xf numFmtId="49" fontId="88" fillId="0" borderId="0" xfId="0" applyNumberFormat="1" applyFont="1"/>
    <xf numFmtId="177" fontId="88" fillId="0" borderId="0" xfId="0" applyNumberFormat="1" applyFont="1"/>
    <xf numFmtId="49" fontId="88" fillId="0" borderId="0" xfId="0" applyNumberFormat="1" applyFont="1" applyAlignment="1">
      <alignment horizontal="centerContinuous"/>
    </xf>
    <xf numFmtId="165" fontId="88" fillId="0" borderId="0" xfId="0" applyNumberFormat="1" applyFont="1"/>
    <xf numFmtId="165" fontId="88" fillId="0" borderId="0" xfId="0" applyNumberFormat="1" applyFont="1" applyBorder="1"/>
    <xf numFmtId="165" fontId="88" fillId="0" borderId="4" xfId="0" applyNumberFormat="1" applyFont="1" applyBorder="1"/>
    <xf numFmtId="165" fontId="87" fillId="0" borderId="5" xfId="0" applyNumberFormat="1" applyFont="1" applyBorder="1"/>
    <xf numFmtId="0" fontId="25" fillId="0" borderId="0" xfId="0" applyNumberFormat="1" applyFont="1"/>
    <xf numFmtId="165" fontId="25" fillId="0" borderId="0" xfId="0" applyNumberFormat="1" applyFont="1"/>
    <xf numFmtId="49" fontId="25" fillId="0" borderId="0" xfId="0" applyNumberFormat="1" applyFont="1"/>
    <xf numFmtId="165" fontId="25" fillId="0" borderId="6" xfId="0" applyNumberFormat="1" applyFont="1" applyBorder="1"/>
    <xf numFmtId="165" fontId="25" fillId="0" borderId="0" xfId="0" applyNumberFormat="1" applyFont="1" applyBorder="1"/>
    <xf numFmtId="165" fontId="25" fillId="0" borderId="35" xfId="0" applyNumberFormat="1" applyFont="1" applyBorder="1"/>
    <xf numFmtId="39" fontId="25" fillId="0" borderId="0" xfId="0" applyNumberFormat="1" applyFont="1"/>
    <xf numFmtId="0" fontId="25" fillId="0" borderId="0" xfId="0" applyFont="1" applyAlignment="1">
      <alignment wrapText="1"/>
    </xf>
    <xf numFmtId="37" fontId="41" fillId="0" borderId="0" xfId="7" applyNumberFormat="1" applyFont="1" applyBorder="1" applyAlignment="1">
      <alignment horizontal="center"/>
    </xf>
    <xf numFmtId="37" fontId="25" fillId="0" borderId="0" xfId="0" applyNumberFormat="1" applyFont="1"/>
    <xf numFmtId="10" fontId="25" fillId="0" borderId="0" xfId="0" applyNumberFormat="1" applyFont="1"/>
    <xf numFmtId="0" fontId="22" fillId="0" borderId="0" xfId="0" applyFont="1" applyAlignment="1">
      <alignment horizontal="centerContinuous"/>
    </xf>
    <xf numFmtId="0" fontId="25" fillId="0" borderId="0" xfId="0" applyFont="1" applyAlignment="1">
      <alignment vertical="center"/>
    </xf>
    <xf numFmtId="7" fontId="25" fillId="0" borderId="0" xfId="0" applyNumberFormat="1" applyFont="1"/>
    <xf numFmtId="7" fontId="25" fillId="0" borderId="6" xfId="0" applyNumberFormat="1" applyFont="1" applyBorder="1"/>
    <xf numFmtId="7" fontId="25" fillId="0" borderId="0" xfId="0" applyNumberFormat="1" applyFont="1" applyAlignment="1">
      <alignment vertical="center"/>
    </xf>
    <xf numFmtId="39" fontId="33" fillId="0" borderId="0" xfId="3" applyNumberFormat="1" applyFont="1"/>
    <xf numFmtId="39" fontId="35" fillId="0" borderId="0" xfId="3" applyNumberFormat="1" applyFont="1" applyAlignment="1">
      <alignment horizontal="left" indent="1"/>
    </xf>
    <xf numFmtId="39" fontId="35" fillId="0" borderId="0" xfId="3" applyNumberFormat="1" applyFont="1" applyFill="1" applyAlignment="1">
      <alignment horizontal="left" indent="1"/>
    </xf>
    <xf numFmtId="39" fontId="89" fillId="0" borderId="0" xfId="3" applyNumberFormat="1" applyFont="1"/>
    <xf numFmtId="39" fontId="35" fillId="2" borderId="0" xfId="3" applyNumberFormat="1" applyFont="1" applyFill="1" applyAlignment="1">
      <alignment horizontal="left" indent="1"/>
    </xf>
    <xf numFmtId="0" fontId="18" fillId="0" borderId="36" xfId="0" applyFont="1" applyBorder="1" applyAlignment="1">
      <alignment horizontal="center"/>
    </xf>
    <xf numFmtId="0" fontId="18" fillId="0" borderId="36" xfId="0" applyFont="1" applyBorder="1" applyAlignment="1">
      <alignment horizontal="center" wrapText="1"/>
    </xf>
    <xf numFmtId="0" fontId="50" fillId="0" borderId="36" xfId="0" applyFont="1" applyBorder="1" applyAlignment="1">
      <alignment horizontal="center" wrapText="1"/>
    </xf>
    <xf numFmtId="10" fontId="0" fillId="0" borderId="0" xfId="0" applyNumberFormat="1"/>
    <xf numFmtId="10" fontId="28" fillId="0" borderId="0" xfId="0" applyNumberFormat="1" applyFont="1"/>
    <xf numFmtId="10" fontId="28" fillId="0" borderId="0" xfId="0" applyNumberFormat="1" applyFont="1" applyBorder="1"/>
    <xf numFmtId="10" fontId="25" fillId="0" borderId="0" xfId="0" applyNumberFormat="1" applyFont="1" applyBorder="1"/>
    <xf numFmtId="39" fontId="25" fillId="0" borderId="0" xfId="0" applyNumberFormat="1" applyFont="1" applyAlignment="1">
      <alignment horizontal="center" wrapText="1"/>
    </xf>
    <xf numFmtId="3" fontId="0" fillId="0" borderId="0" xfId="0" applyNumberFormat="1"/>
    <xf numFmtId="0" fontId="25" fillId="0" borderId="0" xfId="0" applyFont="1" applyAlignment="1">
      <alignment horizontal="left" wrapText="1"/>
    </xf>
    <xf numFmtId="0" fontId="25" fillId="0" borderId="0" xfId="0" applyFont="1" applyAlignment="1">
      <alignment vertical="center" wrapText="1"/>
    </xf>
    <xf numFmtId="5" fontId="25" fillId="0" borderId="0" xfId="0" applyNumberFormat="1" applyFont="1"/>
    <xf numFmtId="0" fontId="15" fillId="8" borderId="27" xfId="0" applyFont="1" applyFill="1" applyBorder="1" applyAlignment="1">
      <alignment horizontal="center" vertical="center" wrapText="1"/>
    </xf>
    <xf numFmtId="9" fontId="15" fillId="8" borderId="27" xfId="2" applyFont="1" applyFill="1" applyBorder="1" applyAlignment="1">
      <alignment horizontal="center" vertical="center" wrapText="1"/>
    </xf>
    <xf numFmtId="0" fontId="0" fillId="8" borderId="27" xfId="0" applyFill="1" applyBorder="1"/>
    <xf numFmtId="0" fontId="0" fillId="0" borderId="27" xfId="0" applyBorder="1"/>
    <xf numFmtId="43" fontId="0" fillId="0" borderId="27" xfId="1" applyFont="1" applyBorder="1"/>
    <xf numFmtId="0" fontId="0" fillId="0" borderId="27" xfId="0" applyFill="1" applyBorder="1"/>
    <xf numFmtId="43" fontId="0" fillId="0" borderId="27" xfId="1" applyFont="1" applyFill="1" applyBorder="1"/>
    <xf numFmtId="43" fontId="0" fillId="6" borderId="27" xfId="1" applyFont="1" applyFill="1" applyBorder="1"/>
    <xf numFmtId="0" fontId="0" fillId="8" borderId="0" xfId="0" applyFill="1"/>
    <xf numFmtId="0" fontId="15" fillId="8" borderId="27" xfId="0" applyFont="1" applyFill="1" applyBorder="1" applyAlignment="1">
      <alignment horizontal="right" indent="2"/>
    </xf>
    <xf numFmtId="43" fontId="9" fillId="8" borderId="27" xfId="1" applyFont="1" applyFill="1" applyBorder="1"/>
    <xf numFmtId="43" fontId="0" fillId="8" borderId="27" xfId="1" applyFont="1" applyFill="1" applyBorder="1"/>
    <xf numFmtId="43" fontId="0" fillId="0" borderId="0" xfId="1" applyFont="1"/>
    <xf numFmtId="0" fontId="91" fillId="0" borderId="0" xfId="0" applyFont="1"/>
    <xf numFmtId="0" fontId="92" fillId="0" borderId="0" xfId="0" applyFont="1"/>
    <xf numFmtId="43" fontId="92" fillId="0" borderId="0" xfId="1" applyFont="1"/>
    <xf numFmtId="0" fontId="92" fillId="0" borderId="0" xfId="0" applyFont="1" applyAlignment="1">
      <alignment wrapText="1"/>
    </xf>
    <xf numFmtId="177" fontId="10" fillId="0" borderId="0" xfId="0" applyNumberFormat="1" applyFont="1"/>
    <xf numFmtId="165" fontId="10" fillId="0" borderId="0" xfId="0" applyNumberFormat="1" applyFont="1"/>
    <xf numFmtId="177" fontId="14" fillId="0" borderId="0" xfId="0" applyNumberFormat="1" applyFont="1"/>
    <xf numFmtId="49" fontId="14" fillId="0" borderId="0" xfId="0" applyNumberFormat="1" applyFont="1" applyAlignment="1">
      <alignment horizontal="centerContinuous"/>
    </xf>
    <xf numFmtId="49" fontId="93" fillId="0" borderId="0" xfId="0" applyNumberFormat="1" applyFont="1"/>
    <xf numFmtId="0" fontId="43" fillId="0" borderId="0" xfId="0" applyNumberFormat="1" applyFont="1"/>
    <xf numFmtId="4" fontId="43" fillId="0" borderId="0" xfId="0" applyNumberFormat="1" applyFont="1"/>
    <xf numFmtId="4" fontId="43" fillId="0" borderId="6" xfId="0" applyNumberFormat="1" applyFont="1" applyBorder="1"/>
    <xf numFmtId="3" fontId="25" fillId="0" borderId="6" xfId="0" applyNumberFormat="1" applyFont="1" applyBorder="1"/>
    <xf numFmtId="3" fontId="25" fillId="0" borderId="35" xfId="0" applyNumberFormat="1" applyFont="1" applyBorder="1"/>
    <xf numFmtId="3" fontId="50" fillId="0" borderId="35" xfId="0" applyNumberFormat="1" applyFont="1" applyBorder="1"/>
    <xf numFmtId="3" fontId="25" fillId="0" borderId="0" xfId="0" applyNumberFormat="1" applyFont="1" applyAlignment="1">
      <alignment horizontal="centerContinuous"/>
    </xf>
    <xf numFmtId="3" fontId="33" fillId="0" borderId="0" xfId="3" applyNumberFormat="1" applyFont="1"/>
    <xf numFmtId="3" fontId="35" fillId="0" borderId="0" xfId="3" applyNumberFormat="1" applyFont="1" applyAlignment="1">
      <alignment horizontal="left" indent="1"/>
    </xf>
    <xf numFmtId="3" fontId="35" fillId="0" borderId="0" xfId="3" applyNumberFormat="1" applyFont="1" applyFill="1" applyAlignment="1">
      <alignment horizontal="left" indent="1"/>
    </xf>
    <xf numFmtId="3" fontId="89" fillId="0" borderId="0" xfId="3" applyNumberFormat="1" applyFont="1"/>
    <xf numFmtId="3" fontId="35" fillId="2" borderId="0" xfId="3" applyNumberFormat="1" applyFont="1" applyFill="1" applyAlignment="1">
      <alignment horizontal="left" indent="1"/>
    </xf>
    <xf numFmtId="37" fontId="41" fillId="0" borderId="0" xfId="7" applyNumberFormat="1" applyFont="1" applyFill="1" applyAlignment="1">
      <alignment horizontal="center"/>
    </xf>
    <xf numFmtId="37" fontId="41" fillId="0" borderId="0" xfId="7" applyNumberFormat="1" applyFont="1" applyFill="1" applyBorder="1" applyAlignment="1">
      <alignment horizontal="center"/>
    </xf>
    <xf numFmtId="1" fontId="25" fillId="0" borderId="0" xfId="0" applyNumberFormat="1" applyFont="1"/>
    <xf numFmtId="3" fontId="35" fillId="0" borderId="0" xfId="3" applyNumberFormat="1" applyFont="1"/>
    <xf numFmtId="3" fontId="52" fillId="0" borderId="0" xfId="0" applyNumberFormat="1" applyFont="1"/>
    <xf numFmtId="10" fontId="52" fillId="0" borderId="0" xfId="0" applyNumberFormat="1" applyFont="1"/>
    <xf numFmtId="0" fontId="25" fillId="0" borderId="28" xfId="0" applyFont="1" applyBorder="1" applyAlignment="1">
      <alignment horizontal="centerContinuous"/>
    </xf>
    <xf numFmtId="0" fontId="25" fillId="0" borderId="29" xfId="0" applyFont="1" applyBorder="1" applyAlignment="1">
      <alignment horizontal="centerContinuous"/>
    </xf>
    <xf numFmtId="0" fontId="25" fillId="0" borderId="30" xfId="0" applyFont="1" applyBorder="1" applyAlignment="1">
      <alignment horizontal="centerContinuous"/>
    </xf>
    <xf numFmtId="0" fontId="25" fillId="0" borderId="10" xfId="0" applyFont="1" applyBorder="1" applyAlignment="1">
      <alignment horizontal="center"/>
    </xf>
    <xf numFmtId="0" fontId="25" fillId="0" borderId="6" xfId="0" applyFont="1" applyBorder="1" applyAlignment="1">
      <alignment horizontal="center"/>
    </xf>
    <xf numFmtId="0" fontId="25" fillId="0" borderId="11" xfId="0" applyFont="1" applyBorder="1" applyAlignment="1">
      <alignment horizontal="center"/>
    </xf>
    <xf numFmtId="0" fontId="25" fillId="0" borderId="0" xfId="18" applyFont="1" applyAlignment="1">
      <alignment horizontal="center"/>
    </xf>
    <xf numFmtId="0" fontId="25" fillId="0" borderId="0" xfId="18" applyFont="1" applyFill="1" applyAlignment="1">
      <alignment horizontal="center"/>
    </xf>
    <xf numFmtId="0" fontId="25" fillId="0" borderId="0" xfId="19" applyFont="1" applyAlignment="1">
      <alignment horizontal="center"/>
    </xf>
    <xf numFmtId="0" fontId="25" fillId="0" borderId="0" xfId="18" applyFont="1"/>
    <xf numFmtId="10" fontId="25" fillId="0" borderId="6" xfId="0" applyNumberFormat="1" applyFont="1" applyBorder="1"/>
    <xf numFmtId="9" fontId="25" fillId="0" borderId="0" xfId="0" applyNumberFormat="1" applyFont="1"/>
    <xf numFmtId="0" fontId="25" fillId="0" borderId="0" xfId="0" applyFont="1" applyBorder="1" applyAlignment="1">
      <alignment horizontal="centerContinuous"/>
    </xf>
    <xf numFmtId="0" fontId="9" fillId="0" borderId="0" xfId="0" applyFont="1" applyAlignment="1"/>
    <xf numFmtId="3" fontId="94" fillId="0" borderId="0" xfId="0" applyNumberFormat="1" applyFont="1" applyAlignment="1">
      <alignment horizontal="center"/>
    </xf>
    <xf numFmtId="3" fontId="94" fillId="0" borderId="0" xfId="0" applyNumberFormat="1" applyFont="1" applyBorder="1" applyAlignment="1">
      <alignment horizontal="center"/>
    </xf>
    <xf numFmtId="3" fontId="22" fillId="0" borderId="0" xfId="0" applyNumberFormat="1" applyFont="1" applyAlignment="1">
      <alignment horizontal="center"/>
    </xf>
    <xf numFmtId="3" fontId="9" fillId="2" borderId="0" xfId="0" applyNumberFormat="1" applyFont="1" applyFill="1"/>
    <xf numFmtId="166" fontId="1" fillId="2" borderId="14" xfId="6" applyNumberFormat="1" applyFont="1" applyFill="1" applyBorder="1" applyAlignment="1">
      <alignment horizontal="center" wrapText="1"/>
    </xf>
    <xf numFmtId="0" fontId="1" fillId="2" borderId="9" xfId="4" applyFont="1" applyFill="1" applyBorder="1" applyAlignment="1">
      <alignment horizontal="center"/>
    </xf>
    <xf numFmtId="0" fontId="1" fillId="2" borderId="0" xfId="4" applyFont="1" applyFill="1" applyAlignment="1">
      <alignment horizontal="left"/>
    </xf>
    <xf numFmtId="3" fontId="1" fillId="2" borderId="37" xfId="0" applyNumberFormat="1" applyFont="1" applyFill="1" applyBorder="1" applyAlignment="1">
      <alignment horizontal="center"/>
    </xf>
    <xf numFmtId="3" fontId="2" fillId="2" borderId="4" xfId="0" applyNumberFormat="1" applyFont="1" applyFill="1" applyBorder="1" applyAlignment="1">
      <alignment horizontal="center"/>
    </xf>
    <xf numFmtId="3" fontId="1" fillId="2" borderId="4" xfId="0" applyNumberFormat="1" applyFont="1" applyFill="1" applyBorder="1" applyAlignment="1">
      <alignment horizontal="center"/>
    </xf>
    <xf numFmtId="3" fontId="1" fillId="2" borderId="38" xfId="0" applyNumberFormat="1" applyFont="1" applyFill="1" applyBorder="1" applyAlignment="1">
      <alignment horizontal="center"/>
    </xf>
    <xf numFmtId="3" fontId="1" fillId="2" borderId="39" xfId="0" applyNumberFormat="1" applyFont="1" applyFill="1" applyBorder="1" applyAlignment="1">
      <alignment horizontal="center"/>
    </xf>
    <xf numFmtId="3" fontId="2" fillId="2" borderId="3" xfId="0" applyNumberFormat="1" applyFont="1" applyFill="1" applyBorder="1" applyAlignment="1">
      <alignment horizontal="center"/>
    </xf>
    <xf numFmtId="3" fontId="1" fillId="2" borderId="3" xfId="0" applyNumberFormat="1" applyFont="1" applyFill="1" applyBorder="1" applyAlignment="1">
      <alignment horizontal="center"/>
    </xf>
    <xf numFmtId="3" fontId="2" fillId="2" borderId="40" xfId="0" applyNumberFormat="1" applyFont="1" applyFill="1" applyBorder="1" applyAlignment="1">
      <alignment horizontal="center"/>
    </xf>
    <xf numFmtId="43" fontId="25" fillId="0" borderId="6" xfId="1" applyFont="1" applyBorder="1"/>
    <xf numFmtId="0" fontId="80" fillId="0" borderId="0" xfId="0" applyFont="1"/>
    <xf numFmtId="49" fontId="95" fillId="0" borderId="0" xfId="0" applyNumberFormat="1" applyFont="1" applyAlignment="1">
      <alignment horizontal="center"/>
    </xf>
    <xf numFmtId="49" fontId="95" fillId="0" borderId="1" xfId="0" applyNumberFormat="1" applyFont="1" applyBorder="1" applyAlignment="1">
      <alignment horizontal="center"/>
    </xf>
    <xf numFmtId="49" fontId="80" fillId="0" borderId="0" xfId="0" applyNumberFormat="1" applyFont="1" applyAlignment="1">
      <alignment horizontal="center"/>
    </xf>
    <xf numFmtId="49" fontId="95" fillId="0" borderId="0" xfId="0" applyNumberFormat="1" applyFont="1"/>
    <xf numFmtId="165" fontId="96" fillId="0" borderId="0" xfId="0" applyNumberFormat="1" applyFont="1"/>
    <xf numFmtId="49" fontId="96" fillId="0" borderId="0" xfId="0" applyNumberFormat="1" applyFont="1"/>
    <xf numFmtId="165" fontId="80" fillId="0" borderId="0" xfId="0" applyNumberFormat="1" applyFont="1"/>
    <xf numFmtId="165" fontId="96" fillId="0" borderId="3" xfId="0" applyNumberFormat="1" applyFont="1" applyBorder="1"/>
    <xf numFmtId="39" fontId="80" fillId="0" borderId="0" xfId="0" applyNumberFormat="1" applyFont="1"/>
    <xf numFmtId="165" fontId="96" fillId="0" borderId="0" xfId="0" applyNumberFormat="1" applyFont="1" applyBorder="1"/>
    <xf numFmtId="165" fontId="96" fillId="0" borderId="2" xfId="0" applyNumberFormat="1" applyFont="1" applyBorder="1"/>
    <xf numFmtId="10" fontId="80" fillId="0" borderId="0" xfId="0" applyNumberFormat="1" applyFont="1"/>
    <xf numFmtId="169" fontId="80" fillId="0" borderId="0" xfId="0" applyNumberFormat="1" applyFont="1"/>
    <xf numFmtId="165" fontId="96" fillId="0" borderId="4" xfId="0" applyNumberFormat="1" applyFont="1" applyBorder="1"/>
    <xf numFmtId="165" fontId="95" fillId="0" borderId="5" xfId="0" applyNumberFormat="1" applyFont="1" applyBorder="1"/>
    <xf numFmtId="0" fontId="95" fillId="0" borderId="0" xfId="0" applyNumberFormat="1" applyFont="1"/>
    <xf numFmtId="0" fontId="80" fillId="0" borderId="0" xfId="0" applyNumberFormat="1" applyFont="1"/>
    <xf numFmtId="0" fontId="0" fillId="0" borderId="0" xfId="0" applyBorder="1"/>
    <xf numFmtId="0" fontId="36" fillId="0" borderId="0" xfId="0" applyFont="1" applyFill="1" applyBorder="1"/>
    <xf numFmtId="10" fontId="37" fillId="0" borderId="0" xfId="13" applyNumberFormat="1" applyFont="1" applyFill="1"/>
    <xf numFmtId="168" fontId="24" fillId="0" borderId="0" xfId="7" applyNumberFormat="1" applyFont="1" applyFill="1" applyBorder="1"/>
    <xf numFmtId="168" fontId="37" fillId="0" borderId="0" xfId="15" applyNumberFormat="1" applyFont="1" applyFill="1"/>
    <xf numFmtId="0" fontId="36" fillId="0" borderId="0" xfId="0" applyFont="1" applyBorder="1"/>
    <xf numFmtId="167" fontId="24" fillId="0" borderId="0" xfId="7" applyNumberFormat="1" applyFont="1" applyBorder="1"/>
    <xf numFmtId="3" fontId="36" fillId="0" borderId="0" xfId="0" applyNumberFormat="1" applyFont="1" applyBorder="1"/>
    <xf numFmtId="0" fontId="24" fillId="0" borderId="0" xfId="0" applyFont="1" applyBorder="1"/>
    <xf numFmtId="0" fontId="36" fillId="2" borderId="0" xfId="0" applyFont="1" applyFill="1"/>
    <xf numFmtId="0" fontId="24" fillId="2" borderId="0" xfId="12" applyFont="1" applyFill="1" applyBorder="1"/>
    <xf numFmtId="0" fontId="36" fillId="2" borderId="0" xfId="11" applyFont="1" applyFill="1"/>
    <xf numFmtId="168" fontId="36" fillId="2" borderId="0" xfId="0" applyNumberFormat="1" applyFont="1" applyFill="1" applyAlignment="1">
      <alignment horizontal="right"/>
    </xf>
    <xf numFmtId="168" fontId="36" fillId="2" borderId="0" xfId="11" applyNumberFormat="1" applyFont="1" applyFill="1" applyAlignment="1">
      <alignment horizontal="right"/>
    </xf>
    <xf numFmtId="170" fontId="24" fillId="0" borderId="0" xfId="10" applyNumberFormat="1" applyFont="1" applyBorder="1"/>
    <xf numFmtId="167" fontId="24" fillId="3" borderId="6" xfId="8" applyNumberFormat="1" applyFont="1" applyBorder="1" applyAlignment="1"/>
    <xf numFmtId="0" fontId="24" fillId="0" borderId="6" xfId="7" applyFont="1" applyFill="1" applyBorder="1" applyAlignment="1" applyProtection="1">
      <alignment horizontal="center"/>
    </xf>
    <xf numFmtId="167" fontId="24" fillId="0" borderId="35" xfId="1" applyNumberFormat="1" applyFont="1" applyFill="1" applyBorder="1"/>
    <xf numFmtId="167" fontId="24" fillId="0" borderId="6" xfId="1" applyNumberFormat="1" applyFont="1" applyFill="1" applyBorder="1" applyAlignment="1">
      <alignment horizontal="right"/>
    </xf>
    <xf numFmtId="168" fontId="24" fillId="0" borderId="6" xfId="7" applyNumberFormat="1" applyFont="1" applyFill="1" applyBorder="1"/>
    <xf numFmtId="167" fontId="24" fillId="0" borderId="6" xfId="1" applyNumberFormat="1" applyFont="1" applyFill="1" applyBorder="1"/>
    <xf numFmtId="43" fontId="24" fillId="0" borderId="0" xfId="7" applyNumberFormat="1" applyFont="1"/>
    <xf numFmtId="168" fontId="24" fillId="0" borderId="0" xfId="0" applyNumberFormat="1" applyFont="1"/>
    <xf numFmtId="168" fontId="24" fillId="0" borderId="0" xfId="7" applyNumberFormat="1" applyFont="1"/>
    <xf numFmtId="44" fontId="36" fillId="0" borderId="0" xfId="11" applyNumberFormat="1" applyFont="1" applyFill="1"/>
    <xf numFmtId="43" fontId="37" fillId="0" borderId="0" xfId="15" applyFont="1" applyFill="1"/>
    <xf numFmtId="168" fontId="36" fillId="0" borderId="0" xfId="0" applyNumberFormat="1" applyFont="1"/>
    <xf numFmtId="3" fontId="25" fillId="0" borderId="0" xfId="0" applyNumberFormat="1" applyFont="1" applyAlignment="1">
      <alignment horizontal="center"/>
    </xf>
    <xf numFmtId="0" fontId="36" fillId="2" borderId="0" xfId="11" applyFont="1" applyFill="1" applyAlignment="1">
      <alignment horizontal="center"/>
    </xf>
    <xf numFmtId="14" fontId="36" fillId="2" borderId="0" xfId="11" applyNumberFormat="1" applyFont="1" applyFill="1" applyAlignment="1">
      <alignment horizontal="center" wrapText="1"/>
    </xf>
    <xf numFmtId="0" fontId="36" fillId="2" borderId="0" xfId="11" applyFont="1" applyFill="1" applyAlignment="1">
      <alignment horizontal="center" wrapText="1"/>
    </xf>
    <xf numFmtId="0" fontId="24" fillId="2" borderId="0" xfId="7" applyFont="1" applyFill="1" applyBorder="1" applyAlignment="1">
      <alignment horizontal="center" wrapText="1"/>
    </xf>
    <xf numFmtId="14" fontId="36" fillId="2" borderId="0" xfId="0" applyNumberFormat="1" applyFont="1" applyFill="1" applyBorder="1" applyAlignment="1">
      <alignment horizontal="center"/>
    </xf>
    <xf numFmtId="168" fontId="36" fillId="2" borderId="0" xfId="11" applyNumberFormat="1" applyFont="1" applyFill="1"/>
    <xf numFmtId="10" fontId="37" fillId="2" borderId="0" xfId="13" applyNumberFormat="1" applyFont="1" applyFill="1"/>
    <xf numFmtId="168" fontId="24" fillId="2" borderId="0" xfId="7" applyNumberFormat="1" applyFont="1" applyFill="1" applyBorder="1"/>
    <xf numFmtId="14" fontId="36" fillId="2" borderId="0" xfId="11" applyNumberFormat="1" applyFont="1" applyFill="1"/>
    <xf numFmtId="14" fontId="36" fillId="2" borderId="0" xfId="0" applyNumberFormat="1" applyFont="1" applyFill="1" applyAlignment="1">
      <alignment horizontal="center"/>
    </xf>
    <xf numFmtId="49" fontId="36" fillId="2" borderId="0" xfId="0" applyNumberFormat="1" applyFont="1" applyFill="1" applyAlignment="1">
      <alignment horizontal="right"/>
    </xf>
    <xf numFmtId="0" fontId="36" fillId="2" borderId="0" xfId="0" applyFont="1" applyFill="1" applyAlignment="1">
      <alignment horizontal="center"/>
    </xf>
    <xf numFmtId="168" fontId="36" fillId="2" borderId="0" xfId="0" applyNumberFormat="1" applyFont="1" applyFill="1"/>
    <xf numFmtId="168" fontId="37" fillId="2" borderId="0" xfId="15" applyNumberFormat="1" applyFont="1" applyFill="1"/>
    <xf numFmtId="0" fontId="36" fillId="2" borderId="0" xfId="11" applyNumberFormat="1" applyFont="1" applyFill="1" applyAlignment="1">
      <alignment horizontal="center"/>
    </xf>
    <xf numFmtId="168" fontId="37" fillId="2" borderId="0" xfId="13" applyNumberFormat="1" applyFont="1" applyFill="1"/>
    <xf numFmtId="0" fontId="24" fillId="2" borderId="0" xfId="0" applyFont="1" applyFill="1" applyAlignment="1">
      <alignment horizontal="center"/>
    </xf>
    <xf numFmtId="0" fontId="24" fillId="2" borderId="0" xfId="0" applyFont="1" applyFill="1"/>
    <xf numFmtId="168" fontId="24" fillId="2" borderId="0" xfId="0" applyNumberFormat="1" applyFont="1" applyFill="1"/>
    <xf numFmtId="4" fontId="36" fillId="2" borderId="0" xfId="0" applyNumberFormat="1" applyFont="1" applyFill="1"/>
    <xf numFmtId="0" fontId="36" fillId="2" borderId="0" xfId="0" applyFont="1" applyFill="1" applyBorder="1"/>
    <xf numFmtId="168" fontId="36" fillId="2" borderId="0" xfId="0" applyNumberFormat="1" applyFont="1" applyFill="1" applyBorder="1"/>
    <xf numFmtId="4" fontId="36" fillId="2" borderId="0" xfId="0" applyNumberFormat="1" applyFont="1" applyFill="1" applyBorder="1"/>
    <xf numFmtId="0" fontId="0" fillId="2" borderId="0" xfId="0" applyFill="1" applyBorder="1"/>
    <xf numFmtId="0" fontId="36" fillId="2" borderId="0" xfId="0" applyFont="1" applyFill="1" applyBorder="1" applyAlignment="1">
      <alignment horizontal="center"/>
    </xf>
    <xf numFmtId="0" fontId="25" fillId="2" borderId="0" xfId="0" applyFont="1" applyFill="1" applyBorder="1"/>
    <xf numFmtId="0" fontId="1" fillId="2" borderId="0" xfId="0" applyFont="1" applyFill="1" applyBorder="1"/>
    <xf numFmtId="0" fontId="1" fillId="2" borderId="0" xfId="0" applyFont="1" applyFill="1" applyBorder="1" applyAlignment="1">
      <alignment horizontal="center"/>
    </xf>
    <xf numFmtId="4" fontId="1" fillId="2" borderId="0" xfId="0" applyNumberFormat="1" applyFont="1" applyFill="1" applyBorder="1"/>
    <xf numFmtId="4" fontId="25" fillId="2" borderId="0" xfId="0" applyNumberFormat="1" applyFont="1" applyFill="1" applyBorder="1"/>
    <xf numFmtId="0" fontId="38" fillId="2" borderId="0" xfId="7" applyFont="1" applyFill="1" applyAlignment="1">
      <alignment horizontal="center" wrapText="1"/>
    </xf>
    <xf numFmtId="0" fontId="39" fillId="2" borderId="0" xfId="11" applyFont="1" applyFill="1" applyAlignment="1">
      <alignment wrapText="1"/>
    </xf>
    <xf numFmtId="0" fontId="39" fillId="2" borderId="0" xfId="11" applyFont="1" applyFill="1" applyAlignment="1">
      <alignment horizontal="center" wrapText="1"/>
    </xf>
    <xf numFmtId="0" fontId="39" fillId="2" borderId="0" xfId="11" applyFont="1" applyFill="1" applyAlignment="1">
      <alignment horizontal="center"/>
    </xf>
    <xf numFmtId="168" fontId="36" fillId="2" borderId="0" xfId="0" applyNumberFormat="1" applyFont="1" applyFill="1" applyAlignment="1">
      <alignment horizontal="center"/>
    </xf>
    <xf numFmtId="0" fontId="37" fillId="2" borderId="0" xfId="11" applyFont="1" applyFill="1" applyAlignment="1">
      <alignment horizontal="center"/>
    </xf>
    <xf numFmtId="14" fontId="37" fillId="2" borderId="0" xfId="11" applyNumberFormat="1" applyFont="1" applyFill="1"/>
    <xf numFmtId="14" fontId="24" fillId="2" borderId="0" xfId="0" applyNumberFormat="1" applyFont="1" applyFill="1"/>
    <xf numFmtId="14" fontId="36" fillId="2" borderId="0" xfId="0" applyNumberFormat="1" applyFont="1" applyFill="1"/>
    <xf numFmtId="0" fontId="24" fillId="2" borderId="0" xfId="7" applyFont="1" applyFill="1"/>
    <xf numFmtId="0" fontId="36" fillId="0" borderId="0" xfId="0" applyFont="1" applyFill="1" applyBorder="1" applyAlignment="1">
      <alignment horizontal="right"/>
    </xf>
    <xf numFmtId="4" fontId="36" fillId="0" borderId="0" xfId="0" applyNumberFormat="1" applyFont="1" applyFill="1" applyBorder="1" applyAlignment="1">
      <alignment horizontal="right"/>
    </xf>
    <xf numFmtId="167" fontId="24" fillId="0" borderId="6" xfId="7" applyNumberFormat="1" applyFont="1" applyFill="1" applyBorder="1"/>
    <xf numFmtId="10" fontId="40" fillId="0" borderId="0" xfId="10" applyNumberFormat="1" applyFont="1" applyFill="1" applyBorder="1"/>
    <xf numFmtId="43" fontId="24" fillId="0" borderId="0" xfId="7" applyNumberFormat="1" applyFont="1" applyFill="1"/>
    <xf numFmtId="168" fontId="24" fillId="0" borderId="0" xfId="7" applyNumberFormat="1" applyFont="1" applyFill="1"/>
    <xf numFmtId="10" fontId="24" fillId="0" borderId="0" xfId="0" applyNumberFormat="1" applyFont="1"/>
    <xf numFmtId="167" fontId="24" fillId="0" borderId="0" xfId="1" quotePrefix="1" applyNumberFormat="1" applyFont="1" applyAlignment="1">
      <alignment horizontal="center"/>
    </xf>
    <xf numFmtId="0" fontId="24" fillId="0" borderId="0" xfId="7" applyFont="1" applyBorder="1"/>
    <xf numFmtId="0" fontId="24" fillId="0" borderId="0" xfId="7" applyFont="1" applyFill="1" applyBorder="1"/>
    <xf numFmtId="178" fontId="24" fillId="0" borderId="0" xfId="7" applyNumberFormat="1" applyFont="1" applyFill="1"/>
    <xf numFmtId="1" fontId="24" fillId="0" borderId="0" xfId="7" applyNumberFormat="1" applyFont="1" applyFill="1" applyBorder="1"/>
    <xf numFmtId="0" fontId="38" fillId="0" borderId="0" xfId="7" applyFont="1" applyFill="1" applyBorder="1"/>
    <xf numFmtId="10" fontId="37" fillId="0" borderId="0" xfId="13" applyNumberFormat="1" applyFont="1"/>
    <xf numFmtId="44" fontId="37" fillId="0" borderId="0" xfId="14" applyFont="1"/>
    <xf numFmtId="43" fontId="37" fillId="0" borderId="0" xfId="15" applyFont="1"/>
    <xf numFmtId="0" fontId="24" fillId="2" borderId="0" xfId="0" applyFont="1" applyFill="1" applyBorder="1"/>
    <xf numFmtId="0" fontId="52" fillId="0" borderId="0" xfId="0" applyFont="1" applyAlignment="1">
      <alignment horizontal="centerContinuous"/>
    </xf>
    <xf numFmtId="4" fontId="25" fillId="0" borderId="6" xfId="0" applyNumberFormat="1" applyFont="1" applyBorder="1"/>
    <xf numFmtId="4" fontId="25" fillId="0" borderId="35" xfId="0" applyNumberFormat="1" applyFont="1" applyBorder="1"/>
    <xf numFmtId="49" fontId="88" fillId="0" borderId="0" xfId="0" applyNumberFormat="1" applyFont="1" applyAlignment="1">
      <alignment wrapText="1"/>
    </xf>
    <xf numFmtId="49" fontId="88" fillId="0" borderId="0" xfId="0" applyNumberFormat="1" applyFont="1" applyAlignment="1">
      <alignment horizontal="center" wrapText="1"/>
    </xf>
    <xf numFmtId="4" fontId="87" fillId="0" borderId="0" xfId="0" applyNumberFormat="1" applyFont="1"/>
    <xf numFmtId="4" fontId="88" fillId="0" borderId="0" xfId="0" applyNumberFormat="1" applyFont="1"/>
    <xf numFmtId="4" fontId="88" fillId="0" borderId="3" xfId="0" applyNumberFormat="1" applyFont="1" applyBorder="1"/>
    <xf numFmtId="0" fontId="97" fillId="0" borderId="0" xfId="0" applyFont="1" applyAlignment="1">
      <alignment horizontal="centerContinuous"/>
    </xf>
    <xf numFmtId="0" fontId="98" fillId="0" borderId="0" xfId="0" applyFont="1" applyAlignment="1">
      <alignment horizontal="centerContinuous"/>
    </xf>
    <xf numFmtId="0" fontId="8" fillId="0" borderId="0" xfId="0" applyFont="1"/>
    <xf numFmtId="3" fontId="52" fillId="0" borderId="6" xfId="0" applyNumberFormat="1" applyFont="1" applyBorder="1"/>
    <xf numFmtId="0" fontId="52" fillId="0" borderId="0" xfId="0" applyFont="1" applyAlignment="1">
      <alignment horizontal="center"/>
    </xf>
    <xf numFmtId="3" fontId="52" fillId="0" borderId="0" xfId="0" applyNumberFormat="1" applyFont="1" applyAlignment="1">
      <alignment wrapText="1"/>
    </xf>
    <xf numFmtId="0" fontId="8" fillId="0" borderId="0" xfId="0" applyFont="1" applyAlignment="1">
      <alignment horizontal="centerContinuous"/>
    </xf>
    <xf numFmtId="0" fontId="52" fillId="0" borderId="17" xfId="0" applyFont="1" applyBorder="1" applyAlignment="1">
      <alignment horizontal="centerContinuous"/>
    </xf>
    <xf numFmtId="0" fontId="52" fillId="0" borderId="2" xfId="0" applyFont="1" applyBorder="1" applyAlignment="1">
      <alignment horizontal="centerContinuous"/>
    </xf>
    <xf numFmtId="3" fontId="52" fillId="0" borderId="16" xfId="0" applyNumberFormat="1" applyFont="1" applyBorder="1" applyAlignment="1">
      <alignment horizontal="centerContinuous"/>
    </xf>
    <xf numFmtId="0" fontId="52" fillId="0" borderId="16" xfId="0" applyFont="1" applyBorder="1" applyAlignment="1">
      <alignment horizontal="centerContinuous"/>
    </xf>
    <xf numFmtId="4" fontId="41" fillId="0" borderId="0" xfId="7" applyNumberFormat="1" applyFont="1"/>
    <xf numFmtId="4" fontId="0" fillId="0" borderId="0" xfId="0" applyNumberFormat="1"/>
    <xf numFmtId="0" fontId="25" fillId="0" borderId="0" xfId="0" applyFont="1" applyAlignment="1">
      <alignment horizont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1" fillId="0" borderId="0" xfId="0" applyFont="1" applyAlignment="1">
      <alignment horizontal="center" vertical="center" wrapText="1"/>
    </xf>
    <xf numFmtId="0" fontId="25" fillId="0" borderId="41" xfId="0" applyFont="1" applyBorder="1" applyAlignment="1">
      <alignment horizontal="center" wrapText="1"/>
    </xf>
    <xf numFmtId="0" fontId="25" fillId="0" borderId="42" xfId="0" applyFont="1" applyBorder="1" applyAlignment="1">
      <alignment vertical="center"/>
    </xf>
    <xf numFmtId="0" fontId="25" fillId="0" borderId="41" xfId="0" applyFont="1" applyBorder="1" applyAlignment="1">
      <alignment horizontal="center" vertical="center" wrapText="1"/>
    </xf>
    <xf numFmtId="0" fontId="25" fillId="0" borderId="42" xfId="0" applyFont="1" applyBorder="1" applyAlignment="1">
      <alignment wrapText="1"/>
    </xf>
    <xf numFmtId="0" fontId="25" fillId="0" borderId="42" xfId="0" applyFont="1" applyBorder="1"/>
    <xf numFmtId="0" fontId="25" fillId="0" borderId="41" xfId="0" applyFont="1" applyBorder="1" applyAlignment="1">
      <alignment wrapText="1"/>
    </xf>
    <xf numFmtId="0" fontId="25" fillId="0" borderId="42" xfId="0" applyFont="1" applyBorder="1" applyAlignment="1">
      <alignment horizontal="left" vertical="center" wrapText="1"/>
    </xf>
    <xf numFmtId="0" fontId="25" fillId="0" borderId="41" xfId="0" applyFont="1" applyBorder="1"/>
    <xf numFmtId="0" fontId="41" fillId="0" borderId="41" xfId="0" applyFont="1" applyBorder="1" applyAlignment="1">
      <alignment horizontal="center" wrapText="1"/>
    </xf>
    <xf numFmtId="0" fontId="41" fillId="0" borderId="41" xfId="0" applyFont="1" applyBorder="1" applyAlignment="1">
      <alignment horizontal="center" vertical="center" wrapText="1"/>
    </xf>
    <xf numFmtId="0" fontId="25" fillId="0" borderId="42" xfId="0" applyFont="1" applyBorder="1" applyAlignment="1">
      <alignment horizontal="left" vertical="center"/>
    </xf>
    <xf numFmtId="37" fontId="25" fillId="0" borderId="6" xfId="0" applyNumberFormat="1" applyFont="1" applyBorder="1"/>
    <xf numFmtId="0" fontId="25" fillId="0" borderId="0" xfId="0" applyFont="1" applyBorder="1"/>
    <xf numFmtId="43" fontId="25" fillId="0" borderId="0" xfId="1" applyFont="1" applyBorder="1"/>
    <xf numFmtId="43" fontId="25" fillId="0" borderId="0" xfId="0" applyNumberFormat="1" applyFont="1" applyBorder="1"/>
    <xf numFmtId="43" fontId="0" fillId="0" borderId="0" xfId="0" applyNumberFormat="1"/>
    <xf numFmtId="0" fontId="99" fillId="0" borderId="0" xfId="0" applyFont="1" applyAlignment="1">
      <alignment horizontal="centerContinuous" vertical="justify"/>
    </xf>
    <xf numFmtId="0" fontId="100" fillId="0" borderId="0" xfId="0" applyFont="1" applyAlignment="1">
      <alignment horizontal="centerContinuous" vertical="justify"/>
    </xf>
    <xf numFmtId="0" fontId="86" fillId="0" borderId="0" xfId="0" applyFont="1"/>
    <xf numFmtId="0" fontId="0" fillId="0" borderId="0" xfId="0" applyAlignment="1"/>
    <xf numFmtId="37" fontId="25" fillId="0" borderId="0" xfId="7" applyNumberFormat="1" applyFont="1" applyAlignment="1">
      <alignment horizontal="centerContinuous"/>
    </xf>
    <xf numFmtId="41" fontId="25" fillId="3" borderId="0" xfId="8" applyFont="1" applyAlignment="1">
      <alignment horizontal="centerContinuous"/>
    </xf>
    <xf numFmtId="0" fontId="25" fillId="0" borderId="0" xfId="7" applyFont="1" applyAlignment="1">
      <alignment horizontal="centerContinuous"/>
    </xf>
    <xf numFmtId="37" fontId="25" fillId="0" borderId="0" xfId="7" applyNumberFormat="1" applyFont="1"/>
    <xf numFmtId="37" fontId="25" fillId="0" borderId="0" xfId="7" applyNumberFormat="1" applyFont="1" applyAlignment="1">
      <alignment horizontal="center"/>
    </xf>
    <xf numFmtId="37" fontId="25" fillId="0" borderId="6" xfId="7" applyNumberFormat="1" applyFont="1" applyBorder="1" applyAlignment="1">
      <alignment horizontal="center"/>
    </xf>
    <xf numFmtId="37" fontId="25" fillId="0" borderId="0" xfId="7" applyNumberFormat="1" applyFont="1" applyAlignment="1">
      <alignment horizontal="left"/>
    </xf>
    <xf numFmtId="37" fontId="25" fillId="0" borderId="0" xfId="7" applyNumberFormat="1" applyFont="1" applyAlignment="1">
      <alignment horizontal="right"/>
    </xf>
    <xf numFmtId="39" fontId="25" fillId="0" borderId="0" xfId="7" applyNumberFormat="1" applyFont="1"/>
    <xf numFmtId="39" fontId="25" fillId="3" borderId="0" xfId="8" applyNumberFormat="1" applyFont="1" applyAlignment="1"/>
    <xf numFmtId="167" fontId="25" fillId="3" borderId="0" xfId="8" applyNumberFormat="1" applyFont="1" applyAlignment="1"/>
    <xf numFmtId="37" fontId="25" fillId="0" borderId="0" xfId="7" applyNumberFormat="1" applyFont="1" applyFill="1"/>
    <xf numFmtId="37" fontId="25" fillId="0" borderId="6" xfId="7" applyNumberFormat="1" applyFont="1" applyBorder="1"/>
    <xf numFmtId="167" fontId="25" fillId="3" borderId="6" xfId="8" applyNumberFormat="1" applyFont="1" applyBorder="1" applyAlignment="1"/>
    <xf numFmtId="0" fontId="25" fillId="0" borderId="0" xfId="7" applyFont="1"/>
    <xf numFmtId="37" fontId="22" fillId="0" borderId="0" xfId="7" applyNumberFormat="1" applyFont="1"/>
    <xf numFmtId="41" fontId="25" fillId="3" borderId="0" xfId="8" applyFont="1" applyAlignment="1"/>
    <xf numFmtId="37" fontId="22" fillId="0" borderId="0" xfId="7" applyNumberFormat="1" applyFont="1" applyAlignment="1">
      <alignment horizontal="centerContinuous"/>
    </xf>
    <xf numFmtId="0" fontId="22" fillId="0" borderId="0" xfId="7" applyFont="1" applyAlignment="1">
      <alignment horizontal="centerContinuous"/>
    </xf>
    <xf numFmtId="41" fontId="22" fillId="3" borderId="0" xfId="8" applyFont="1" applyAlignment="1">
      <alignment horizontal="centerContinuous"/>
    </xf>
    <xf numFmtId="37" fontId="41" fillId="0" borderId="0" xfId="7" applyNumberFormat="1" applyFont="1" applyFill="1" applyAlignment="1">
      <alignment horizontal="centerContinuous"/>
    </xf>
    <xf numFmtId="3" fontId="28" fillId="0" borderId="0" xfId="0" applyNumberFormat="1" applyFont="1"/>
    <xf numFmtId="37" fontId="41" fillId="0" borderId="35" xfId="7" applyNumberFormat="1" applyFont="1" applyBorder="1"/>
    <xf numFmtId="3" fontId="41" fillId="0" borderId="0" xfId="7" applyNumberFormat="1" applyFont="1"/>
    <xf numFmtId="0" fontId="52" fillId="0" borderId="41" xfId="0" applyFont="1" applyBorder="1" applyAlignment="1">
      <alignment horizontal="center" vertical="center" wrapText="1"/>
    </xf>
    <xf numFmtId="0" fontId="52" fillId="0" borderId="42" xfId="0" applyFont="1" applyBorder="1" applyAlignment="1">
      <alignment vertical="center"/>
    </xf>
    <xf numFmtId="0" fontId="52" fillId="0" borderId="41" xfId="0" applyFont="1" applyBorder="1" applyAlignment="1">
      <alignment horizontal="center" wrapText="1"/>
    </xf>
    <xf numFmtId="0" fontId="52" fillId="0" borderId="42" xfId="0" applyFont="1" applyBorder="1"/>
    <xf numFmtId="0" fontId="52" fillId="0" borderId="41" xfId="0" applyFont="1" applyBorder="1"/>
    <xf numFmtId="39" fontId="25" fillId="0" borderId="41" xfId="0" applyNumberFormat="1" applyFont="1" applyBorder="1" applyAlignment="1">
      <alignment horizontal="center" wrapText="1"/>
    </xf>
    <xf numFmtId="0" fontId="52" fillId="0" borderId="42" xfId="0" applyFont="1" applyBorder="1" applyAlignment="1">
      <alignment wrapText="1"/>
    </xf>
    <xf numFmtId="0" fontId="52" fillId="0" borderId="41" xfId="0" applyFont="1" applyBorder="1" applyAlignment="1">
      <alignment wrapText="1"/>
    </xf>
    <xf numFmtId="3" fontId="101" fillId="0" borderId="0" xfId="0" applyNumberFormat="1" applyFont="1" applyAlignment="1">
      <alignment horizontal="center" vertical="center"/>
    </xf>
    <xf numFmtId="3" fontId="101" fillId="0" borderId="0" xfId="0" applyNumberFormat="1" applyFont="1" applyAlignment="1">
      <alignment horizontal="center"/>
    </xf>
    <xf numFmtId="0" fontId="101" fillId="0" borderId="0" xfId="0" applyFont="1" applyAlignment="1">
      <alignment horizontal="center"/>
    </xf>
    <xf numFmtId="0" fontId="101" fillId="0" borderId="6" xfId="0" applyFont="1" applyBorder="1" applyAlignment="1">
      <alignment horizontal="center"/>
    </xf>
    <xf numFmtId="0" fontId="50" fillId="0" borderId="6" xfId="0" applyFont="1" applyBorder="1"/>
    <xf numFmtId="3" fontId="49" fillId="0" borderId="0" xfId="0" applyNumberFormat="1" applyFont="1"/>
    <xf numFmtId="0" fontId="18" fillId="0" borderId="43" xfId="0" applyFont="1" applyBorder="1" applyAlignment="1">
      <alignment horizontal="center" wrapText="1"/>
    </xf>
    <xf numFmtId="0" fontId="18" fillId="0" borderId="45" xfId="0" applyFont="1" applyFill="1" applyBorder="1" applyAlignment="1">
      <alignment horizontal="center" wrapText="1"/>
    </xf>
    <xf numFmtId="0" fontId="18" fillId="0" borderId="44" xfId="0" applyFont="1" applyBorder="1" applyAlignment="1">
      <alignment horizontal="center" wrapText="1"/>
    </xf>
    <xf numFmtId="0" fontId="58" fillId="11" borderId="31" xfId="0" applyNumberFormat="1" applyFont="1" applyFill="1" applyBorder="1" applyAlignment="1">
      <alignment horizontal="center"/>
    </xf>
    <xf numFmtId="0" fontId="54" fillId="11" borderId="0" xfId="0" applyNumberFormat="1" applyFont="1" applyFill="1" applyAlignment="1">
      <alignment horizontal="center"/>
    </xf>
    <xf numFmtId="0" fontId="0" fillId="0" borderId="17" xfId="0" applyNumberFormat="1" applyBorder="1" applyAlignment="1">
      <alignment horizontal="center"/>
    </xf>
    <xf numFmtId="0" fontId="0" fillId="0" borderId="2" xfId="0" applyNumberFormat="1" applyBorder="1" applyAlignment="1">
      <alignment horizontal="center"/>
    </xf>
    <xf numFmtId="0" fontId="0" fillId="0" borderId="16" xfId="0" applyNumberFormat="1" applyBorder="1" applyAlignment="1">
      <alignment horizontal="center"/>
    </xf>
    <xf numFmtId="0" fontId="58" fillId="11" borderId="0" xfId="0" applyNumberFormat="1" applyFont="1" applyFill="1" applyAlignment="1">
      <alignment horizontal="center"/>
    </xf>
    <xf numFmtId="0" fontId="58" fillId="11" borderId="0" xfId="0" applyNumberFormat="1" applyFont="1" applyFill="1" applyBorder="1" applyAlignment="1">
      <alignment horizontal="center"/>
    </xf>
    <xf numFmtId="0" fontId="58" fillId="11" borderId="29" xfId="0" applyNumberFormat="1" applyFont="1" applyFill="1" applyBorder="1" applyAlignment="1">
      <alignment horizontal="center"/>
    </xf>
    <xf numFmtId="166" fontId="6" fillId="2" borderId="10" xfId="6" applyNumberFormat="1" applyFont="1" applyFill="1" applyBorder="1" applyAlignment="1">
      <alignment horizontal="center" wrapText="1"/>
    </xf>
    <xf numFmtId="166" fontId="6" fillId="2" borderId="11" xfId="6" applyNumberFormat="1" applyFont="1" applyFill="1" applyBorder="1" applyAlignment="1">
      <alignment horizontal="center" wrapText="1"/>
    </xf>
    <xf numFmtId="0" fontId="6" fillId="2" borderId="9" xfId="4" applyFont="1" applyFill="1" applyBorder="1" applyAlignment="1">
      <alignment horizontal="center" wrapText="1"/>
    </xf>
    <xf numFmtId="9" fontId="8" fillId="2" borderId="0" xfId="2" applyFill="1" applyAlignment="1">
      <alignment horizontal="center"/>
    </xf>
    <xf numFmtId="166" fontId="6" fillId="2" borderId="6" xfId="6" applyNumberFormat="1" applyFont="1" applyFill="1" applyBorder="1" applyAlignment="1">
      <alignment horizontal="center" wrapText="1"/>
    </xf>
    <xf numFmtId="166" fontId="6" fillId="2" borderId="9" xfId="5" applyNumberFormat="1" applyFont="1" applyFill="1" applyBorder="1" applyAlignment="1">
      <alignment horizontal="center" wrapText="1"/>
    </xf>
    <xf numFmtId="166" fontId="6" fillId="2" borderId="12" xfId="5" applyNumberFormat="1" applyFont="1" applyFill="1" applyBorder="1" applyAlignment="1">
      <alignment horizontal="center" wrapText="1"/>
    </xf>
    <xf numFmtId="166" fontId="6" fillId="2" borderId="13" xfId="5" applyNumberFormat="1" applyFont="1" applyFill="1" applyBorder="1" applyAlignment="1">
      <alignment horizontal="center" wrapText="1"/>
    </xf>
    <xf numFmtId="0" fontId="90" fillId="0" borderId="0" xfId="0" applyFont="1" applyAlignment="1">
      <alignment horizontal="center"/>
    </xf>
    <xf numFmtId="0" fontId="90" fillId="0" borderId="0" xfId="0" applyFont="1" applyAlignment="1">
      <alignment horizontal="center" vertical="center" wrapText="1"/>
    </xf>
    <xf numFmtId="0" fontId="0" fillId="0" borderId="0" xfId="0" applyAlignment="1">
      <alignment horizontal="center" vertical="center" wrapText="1"/>
    </xf>
    <xf numFmtId="3" fontId="25" fillId="0" borderId="0" xfId="0" applyNumberFormat="1" applyFont="1" applyAlignment="1">
      <alignment horizontal="center" wrapText="1"/>
    </xf>
  </cellXfs>
  <cellStyles count="20">
    <cellStyle name="Accent5" xfId="17" builtinId="45"/>
    <cellStyle name="Bad" xfId="16" builtinId="27"/>
    <cellStyle name="Comma" xfId="1" builtinId="3"/>
    <cellStyle name="Comma 2" xfId="8" xr:uid="{22C0B63F-5790-492F-82D9-90FCC7C6C03C}"/>
    <cellStyle name="Comma 6" xfId="15" xr:uid="{EF90036D-2A97-45B4-8C6F-A0898D03493C}"/>
    <cellStyle name="Currency 2 3" xfId="6" xr:uid="{DA451AED-379D-4281-A0EB-BBCE67951DD1}"/>
    <cellStyle name="Currency 5" xfId="5" xr:uid="{FC0953FB-79CB-4CBB-A583-35EB3F20B2E8}"/>
    <cellStyle name="Currency 6" xfId="14" xr:uid="{6AB8365B-5CEC-4811-AC94-C59DA0EA9853}"/>
    <cellStyle name="Normal" xfId="0" builtinId="0"/>
    <cellStyle name="Normal 10" xfId="18" xr:uid="{43794DBC-4D26-4843-84F8-AFA7F940AD28}"/>
    <cellStyle name="Normal 2" xfId="12" xr:uid="{7DFC24B1-4519-4708-B6F4-A70A3A02027B}"/>
    <cellStyle name="Normal 21" xfId="19" xr:uid="{17333A0F-E354-4464-938D-174A8E04E935}"/>
    <cellStyle name="Normal 4" xfId="7" xr:uid="{2000F7BE-104D-4FD4-A63B-4E0A5A083F0A}"/>
    <cellStyle name="Normal 5" xfId="9" xr:uid="{2EDDF3EB-CE40-46E1-9290-CB53C9E0BFB0}"/>
    <cellStyle name="Normal 6" xfId="3" xr:uid="{0BBE08D8-7850-4F7D-8707-362259855AFE}"/>
    <cellStyle name="Normal 7" xfId="11" xr:uid="{F1464670-AC4C-4649-B4BF-3BF379AF9BCE}"/>
    <cellStyle name="Normal_DEPN2K" xfId="4" xr:uid="{D2970A63-B937-4DD9-96DF-C312B80F000E}"/>
    <cellStyle name="Percent" xfId="2" builtinId="5"/>
    <cellStyle name="Percent 2" xfId="10" xr:uid="{E46C6EF2-8F8B-420B-90D6-52133D09E155}"/>
    <cellStyle name="Percent 6" xfId="13" xr:uid="{8DF22EA3-ED9D-4C3D-86EF-BF16C05EEE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175260</xdr:colOff>
      <xdr:row>14</xdr:row>
      <xdr:rowOff>68580</xdr:rowOff>
    </xdr:from>
    <xdr:to>
      <xdr:col>7</xdr:col>
      <xdr:colOff>114300</xdr:colOff>
      <xdr:row>53</xdr:row>
      <xdr:rowOff>182880</xdr:rowOff>
    </xdr:to>
    <xdr:sp macro="" textlink="">
      <xdr:nvSpPr>
        <xdr:cNvPr id="45058" name="Object 2" hidden="1">
          <a:extLst>
            <a:ext uri="{63B3BB69-23CF-44E3-9099-C40C66FF867C}">
              <a14:compatExt xmlns:a14="http://schemas.microsoft.com/office/drawing/2010/main" spid="_x0000_s45058"/>
            </a:ext>
            <a:ext uri="{FF2B5EF4-FFF2-40B4-BE49-F238E27FC236}">
              <a16:creationId xmlns:a16="http://schemas.microsoft.com/office/drawing/2014/main" id="{00000000-0008-0000-1200-000002B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219075</xdr:colOff>
      <xdr:row>14</xdr:row>
      <xdr:rowOff>85725</xdr:rowOff>
    </xdr:from>
    <xdr:to>
      <xdr:col>7</xdr:col>
      <xdr:colOff>142875</xdr:colOff>
      <xdr:row>53</xdr:row>
      <xdr:rowOff>228600</xdr:rowOff>
    </xdr:to>
    <xdr:pic>
      <xdr:nvPicPr>
        <xdr:cNvPr id="2" name="Picture 2">
          <a:extLst>
            <a:ext uri="{FF2B5EF4-FFF2-40B4-BE49-F238E27FC236}">
              <a16:creationId xmlns:a16="http://schemas.microsoft.com/office/drawing/2014/main" id="{2699DB00-B030-43A5-A3F0-8BEF70211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752725"/>
          <a:ext cx="5810250" cy="75342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274320</xdr:colOff>
      <xdr:row>7</xdr:row>
      <xdr:rowOff>114300</xdr:rowOff>
    </xdr:from>
    <xdr:to>
      <xdr:col>7</xdr:col>
      <xdr:colOff>220980</xdr:colOff>
      <xdr:row>47</xdr:row>
      <xdr:rowOff>38100</xdr:rowOff>
    </xdr:to>
    <xdr:sp macro="" textlink="">
      <xdr:nvSpPr>
        <xdr:cNvPr id="46082" name="Object 2" hidden="1">
          <a:extLst>
            <a:ext uri="{63B3BB69-23CF-44E3-9099-C40C66FF867C}">
              <a14:compatExt xmlns:a14="http://schemas.microsoft.com/office/drawing/2010/main" spid="_x0000_s46082"/>
            </a:ext>
            <a:ext uri="{FF2B5EF4-FFF2-40B4-BE49-F238E27FC236}">
              <a16:creationId xmlns:a16="http://schemas.microsoft.com/office/drawing/2014/main" id="{00000000-0008-0000-1300-000002B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251460</xdr:colOff>
      <xdr:row>51</xdr:row>
      <xdr:rowOff>22860</xdr:rowOff>
    </xdr:from>
    <xdr:to>
      <xdr:col>7</xdr:col>
      <xdr:colOff>312420</xdr:colOff>
      <xdr:row>90</xdr:row>
      <xdr:rowOff>137160</xdr:rowOff>
    </xdr:to>
    <xdr:sp macro="" textlink="">
      <xdr:nvSpPr>
        <xdr:cNvPr id="46083" name="Object 3" hidden="1">
          <a:extLst>
            <a:ext uri="{63B3BB69-23CF-44E3-9099-C40C66FF867C}">
              <a14:compatExt xmlns:a14="http://schemas.microsoft.com/office/drawing/2010/main" spid="_x0000_s46083"/>
            </a:ext>
            <a:ext uri="{FF2B5EF4-FFF2-40B4-BE49-F238E27FC236}">
              <a16:creationId xmlns:a16="http://schemas.microsoft.com/office/drawing/2014/main" id="{00000000-0008-0000-1300-000003B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342900</xdr:colOff>
      <xdr:row>7</xdr:row>
      <xdr:rowOff>142875</xdr:rowOff>
    </xdr:from>
    <xdr:to>
      <xdr:col>7</xdr:col>
      <xdr:colOff>276225</xdr:colOff>
      <xdr:row>47</xdr:row>
      <xdr:rowOff>47625</xdr:rowOff>
    </xdr:to>
    <xdr:pic>
      <xdr:nvPicPr>
        <xdr:cNvPr id="2" name="Picture 2">
          <a:extLst>
            <a:ext uri="{FF2B5EF4-FFF2-40B4-BE49-F238E27FC236}">
              <a16:creationId xmlns:a16="http://schemas.microsoft.com/office/drawing/2014/main" id="{D48EC640-CF1B-4A3E-8E53-FB19A51DA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476375"/>
          <a:ext cx="5819775" cy="7524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0</xdr:col>
      <xdr:colOff>314325</xdr:colOff>
      <xdr:row>51</xdr:row>
      <xdr:rowOff>28575</xdr:rowOff>
    </xdr:from>
    <xdr:to>
      <xdr:col>7</xdr:col>
      <xdr:colOff>390525</xdr:colOff>
      <xdr:row>90</xdr:row>
      <xdr:rowOff>171450</xdr:rowOff>
    </xdr:to>
    <xdr:pic>
      <xdr:nvPicPr>
        <xdr:cNvPr id="3" name="Picture 3">
          <a:extLst>
            <a:ext uri="{FF2B5EF4-FFF2-40B4-BE49-F238E27FC236}">
              <a16:creationId xmlns:a16="http://schemas.microsoft.com/office/drawing/2014/main" id="{BD44B537-DBF4-40D3-9042-6AE9AEF3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9744075"/>
          <a:ext cx="5962650" cy="7572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365760</xdr:colOff>
      <xdr:row>7</xdr:row>
      <xdr:rowOff>152400</xdr:rowOff>
    </xdr:from>
    <xdr:to>
      <xdr:col>7</xdr:col>
      <xdr:colOff>38100</xdr:colOff>
      <xdr:row>47</xdr:row>
      <xdr:rowOff>76200</xdr:rowOff>
    </xdr:to>
    <xdr:sp macro="" textlink="">
      <xdr:nvSpPr>
        <xdr:cNvPr id="47105" name="Object 1" hidden="1">
          <a:extLst>
            <a:ext uri="{63B3BB69-23CF-44E3-9099-C40C66FF867C}">
              <a14:compatExt xmlns:a14="http://schemas.microsoft.com/office/drawing/2010/main"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388620</xdr:colOff>
      <xdr:row>50</xdr:row>
      <xdr:rowOff>144780</xdr:rowOff>
    </xdr:from>
    <xdr:to>
      <xdr:col>7</xdr:col>
      <xdr:colOff>30480</xdr:colOff>
      <xdr:row>90</xdr:row>
      <xdr:rowOff>68580</xdr:rowOff>
    </xdr:to>
    <xdr:sp macro="" textlink="">
      <xdr:nvSpPr>
        <xdr:cNvPr id="47106" name="Object 2" hidden="1">
          <a:extLst>
            <a:ext uri="{63B3BB69-23CF-44E3-9099-C40C66FF867C}">
              <a14:compatExt xmlns:a14="http://schemas.microsoft.com/office/drawing/2010/main"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457200</xdr:colOff>
      <xdr:row>7</xdr:row>
      <xdr:rowOff>190500</xdr:rowOff>
    </xdr:from>
    <xdr:to>
      <xdr:col>7</xdr:col>
      <xdr:colOff>47625</xdr:colOff>
      <xdr:row>47</xdr:row>
      <xdr:rowOff>95250</xdr:rowOff>
    </xdr:to>
    <xdr:pic>
      <xdr:nvPicPr>
        <xdr:cNvPr id="2" name="Picture 1">
          <a:extLst>
            <a:ext uri="{FF2B5EF4-FFF2-40B4-BE49-F238E27FC236}">
              <a16:creationId xmlns:a16="http://schemas.microsoft.com/office/drawing/2014/main" id="{788E1FA2-1FAD-4849-9E5B-395D3E501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1524000"/>
          <a:ext cx="5476875" cy="7524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0</xdr:col>
      <xdr:colOff>485775</xdr:colOff>
      <xdr:row>50</xdr:row>
      <xdr:rowOff>180975</xdr:rowOff>
    </xdr:from>
    <xdr:to>
      <xdr:col>7</xdr:col>
      <xdr:colOff>38100</xdr:colOff>
      <xdr:row>90</xdr:row>
      <xdr:rowOff>85725</xdr:rowOff>
    </xdr:to>
    <xdr:pic>
      <xdr:nvPicPr>
        <xdr:cNvPr id="3" name="Picture 2">
          <a:extLst>
            <a:ext uri="{FF2B5EF4-FFF2-40B4-BE49-F238E27FC236}">
              <a16:creationId xmlns:a16="http://schemas.microsoft.com/office/drawing/2014/main" id="{B6CE1B73-8718-4DA1-88BC-953836338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9705975"/>
          <a:ext cx="5438775" cy="7524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35</xdr:row>
      <xdr:rowOff>30480</xdr:rowOff>
    </xdr:from>
    <xdr:to>
      <xdr:col>1</xdr:col>
      <xdr:colOff>563880</xdr:colOff>
      <xdr:row>76</xdr:row>
      <xdr:rowOff>68580</xdr:rowOff>
    </xdr:to>
    <xdr:sp macro="" textlink="">
      <xdr:nvSpPr>
        <xdr:cNvPr id="73729" name="Object 1" hidden="1">
          <a:extLst>
            <a:ext uri="{63B3BB69-23CF-44E3-9099-C40C66FF867C}">
              <a14:compatExt xmlns:a14="http://schemas.microsoft.com/office/drawing/2010/main" spid="_x0000_s73729"/>
            </a:ext>
            <a:ext uri="{FF2B5EF4-FFF2-40B4-BE49-F238E27FC236}">
              <a16:creationId xmlns:a16="http://schemas.microsoft.com/office/drawing/2014/main" id="{00000000-0008-0000-2600-00000120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35</xdr:row>
      <xdr:rowOff>38100</xdr:rowOff>
    </xdr:from>
    <xdr:to>
      <xdr:col>1</xdr:col>
      <xdr:colOff>704850</xdr:colOff>
      <xdr:row>76</xdr:row>
      <xdr:rowOff>85725</xdr:rowOff>
    </xdr:to>
    <xdr:pic>
      <xdr:nvPicPr>
        <xdr:cNvPr id="2" name="Picture 1">
          <a:extLst>
            <a:ext uri="{FF2B5EF4-FFF2-40B4-BE49-F238E27FC236}">
              <a16:creationId xmlns:a16="http://schemas.microsoft.com/office/drawing/2014/main" id="{D62BC2DD-F691-47DA-9B08-7BC0D274F5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24975"/>
          <a:ext cx="7458075" cy="792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365760</xdr:colOff>
      <xdr:row>30</xdr:row>
      <xdr:rowOff>83820</xdr:rowOff>
    </xdr:from>
    <xdr:to>
      <xdr:col>8</xdr:col>
      <xdr:colOff>899160</xdr:colOff>
      <xdr:row>68</xdr:row>
      <xdr:rowOff>106680</xdr:rowOff>
    </xdr:to>
    <xdr:sp macro="" textlink="">
      <xdr:nvSpPr>
        <xdr:cNvPr id="150529" name="Object 1" hidden="1">
          <a:extLst>
            <a:ext uri="{63B3BB69-23CF-44E3-9099-C40C66FF867C}">
              <a14:compatExt xmlns:a14="http://schemas.microsoft.com/office/drawing/2010/main" spid="_x0000_s150529"/>
            </a:ext>
            <a:ext uri="{FF2B5EF4-FFF2-40B4-BE49-F238E27FC236}">
              <a16:creationId xmlns:a16="http://schemas.microsoft.com/office/drawing/2014/main" id="{00000000-0008-0000-2B00-0000014C02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457200</xdr:colOff>
      <xdr:row>30</xdr:row>
      <xdr:rowOff>104775</xdr:rowOff>
    </xdr:from>
    <xdr:to>
      <xdr:col>8</xdr:col>
      <xdr:colOff>1123950</xdr:colOff>
      <xdr:row>68</xdr:row>
      <xdr:rowOff>133350</xdr:rowOff>
    </xdr:to>
    <xdr:pic>
      <xdr:nvPicPr>
        <xdr:cNvPr id="2" name="Picture 1">
          <a:extLst>
            <a:ext uri="{FF2B5EF4-FFF2-40B4-BE49-F238E27FC236}">
              <a16:creationId xmlns:a16="http://schemas.microsoft.com/office/drawing/2014/main" id="{CD555DC3-BC41-4732-A7D9-4D7E88EE7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6667500"/>
          <a:ext cx="5962650" cy="7553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20Forma%2012-31-18%2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eldon/AppData/Local/Microsoft/Windows/Temporary%20Internet%20Files/Content.Outlook/SVV3EWZG/Payroll%20-%20Cassie%205-1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lient%20Data/Rubatino%20Refuse%20Removal,%20Inc/2018%20Rate%20Case%20Not%20Filed/Client%20Pro%20Forma%20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Consolidated"/>
      <sheetName val="LG Refuse"/>
      <sheetName val="LG Recycling"/>
      <sheetName val="LG Yardwaste"/>
      <sheetName val="Balance Sheet 12-31-18"/>
      <sheetName val="12 Month P&amp;L"/>
      <sheetName val="Pro Forma"/>
      <sheetName val="Restating Entries"/>
      <sheetName val="Pro Forma Entries "/>
      <sheetName val="Allocations"/>
      <sheetName val="Regulatory Depreciation "/>
      <sheetName val="Fuel Cost 12-18"/>
      <sheetName val="Payroll Hours"/>
      <sheetName val="Garbage Payroll"/>
      <sheetName val="Recycling Payroll"/>
      <sheetName val="Payroll Summary"/>
      <sheetName val="Health &amp; Welfare"/>
      <sheetName val="Pension Recycle"/>
      <sheetName val="Pension Garbage"/>
      <sheetName val="Pension Admin"/>
      <sheetName val="Disposal"/>
      <sheetName val="Revenue Summary"/>
      <sheetName val="Residential Everett"/>
      <sheetName val="Commercial Everett"/>
      <sheetName val="Residential Mukilteo"/>
      <sheetName val="Commercial Mukilteo"/>
      <sheetName val="Commercial Recycling"/>
      <sheetName val="Customer Summary"/>
      <sheetName val="Mukilteo Utility Franchise Tax"/>
      <sheetName val="Everett Utility-B&amp;O"/>
      <sheetName val="Washington Service B&amp;O"/>
      <sheetName val="Rents"/>
      <sheetName val="Dues"/>
      <sheetName val="Public Relations"/>
      <sheetName val="TruckCare Pension"/>
      <sheetName val="Regulatory Fees"/>
      <sheetName val="Recycle Revenue"/>
      <sheetName val="Truck Mileage"/>
      <sheetName val="Rate Case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8">
          <cell r="C38">
            <v>55757.359999999993</v>
          </cell>
        </row>
      </sheetData>
      <sheetData sheetId="14">
        <row r="4">
          <cell r="C4">
            <v>438.81</v>
          </cell>
        </row>
        <row r="5">
          <cell r="C5">
            <v>1174.25</v>
          </cell>
        </row>
        <row r="6">
          <cell r="C6">
            <v>731.5</v>
          </cell>
        </row>
        <row r="7">
          <cell r="C7">
            <v>1018.49</v>
          </cell>
        </row>
        <row r="8">
          <cell r="C8">
            <v>2230.5</v>
          </cell>
        </row>
        <row r="9">
          <cell r="C9">
            <v>1329.36</v>
          </cell>
        </row>
        <row r="10">
          <cell r="C10">
            <v>375</v>
          </cell>
        </row>
        <row r="11">
          <cell r="C11">
            <v>1908</v>
          </cell>
        </row>
        <row r="12">
          <cell r="C12">
            <v>2557</v>
          </cell>
        </row>
        <row r="13">
          <cell r="C13">
            <v>311.5</v>
          </cell>
        </row>
        <row r="14">
          <cell r="C14">
            <v>710.1</v>
          </cell>
        </row>
        <row r="15">
          <cell r="C15">
            <v>193.7</v>
          </cell>
        </row>
        <row r="16">
          <cell r="C16">
            <v>265</v>
          </cell>
        </row>
        <row r="17">
          <cell r="C17">
            <v>925</v>
          </cell>
        </row>
        <row r="18">
          <cell r="C18">
            <v>218.5</v>
          </cell>
        </row>
        <row r="19">
          <cell r="C19">
            <v>1679.5</v>
          </cell>
        </row>
        <row r="20">
          <cell r="C20">
            <v>2192</v>
          </cell>
        </row>
        <row r="21">
          <cell r="C21">
            <v>1849</v>
          </cell>
        </row>
        <row r="22">
          <cell r="C22">
            <v>33</v>
          </cell>
        </row>
        <row r="23">
          <cell r="C23">
            <v>1755.19</v>
          </cell>
        </row>
        <row r="24">
          <cell r="C24">
            <v>109</v>
          </cell>
        </row>
        <row r="25">
          <cell r="C25">
            <v>2096</v>
          </cell>
        </row>
        <row r="26">
          <cell r="C26">
            <v>2018.5</v>
          </cell>
        </row>
        <row r="27">
          <cell r="C27">
            <v>985</v>
          </cell>
        </row>
        <row r="28">
          <cell r="C28">
            <v>1497</v>
          </cell>
        </row>
        <row r="29">
          <cell r="C29">
            <v>96</v>
          </cell>
        </row>
        <row r="30">
          <cell r="C30">
            <v>58.5</v>
          </cell>
        </row>
        <row r="31">
          <cell r="C31">
            <v>2029</v>
          </cell>
        </row>
        <row r="32">
          <cell r="C32">
            <v>2320.5</v>
          </cell>
        </row>
        <row r="33">
          <cell r="C33">
            <v>731.5</v>
          </cell>
        </row>
        <row r="34">
          <cell r="C34">
            <v>1420.2</v>
          </cell>
        </row>
        <row r="35">
          <cell r="C35">
            <v>482</v>
          </cell>
        </row>
        <row r="36">
          <cell r="C36">
            <v>31.86</v>
          </cell>
        </row>
        <row r="43">
          <cell r="C43"/>
        </row>
      </sheetData>
      <sheetData sheetId="15">
        <row r="56">
          <cell r="C56">
            <v>16442.3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bage Payroll"/>
      <sheetName val="Recycling Payroll"/>
      <sheetName val="All Payroll"/>
      <sheetName val="Sheet1"/>
      <sheetName val="Fuel"/>
    </sheetNames>
    <sheetDataSet>
      <sheetData sheetId="0">
        <row r="4">
          <cell r="D4">
            <v>23044.77</v>
          </cell>
        </row>
        <row r="5">
          <cell r="D5">
            <v>67978.210000000006</v>
          </cell>
        </row>
        <row r="6">
          <cell r="D6">
            <v>58536.805500000002</v>
          </cell>
        </row>
        <row r="7">
          <cell r="D7">
            <v>68829.3</v>
          </cell>
        </row>
        <row r="8">
          <cell r="D8">
            <v>61960.45</v>
          </cell>
        </row>
        <row r="9">
          <cell r="D9">
            <v>66984.399999999994</v>
          </cell>
        </row>
        <row r="10">
          <cell r="D10">
            <v>68823.740000000005</v>
          </cell>
        </row>
        <row r="11">
          <cell r="D11">
            <v>69162.31</v>
          </cell>
        </row>
        <row r="12">
          <cell r="D12">
            <v>67435.5</v>
          </cell>
        </row>
        <row r="13">
          <cell r="D13">
            <v>61934.472000000002</v>
          </cell>
        </row>
        <row r="14">
          <cell r="D14">
            <v>65387.176000000007</v>
          </cell>
        </row>
        <row r="15">
          <cell r="D15">
            <v>63863.928000000007</v>
          </cell>
        </row>
        <row r="16">
          <cell r="D16">
            <v>53892.064000000006</v>
          </cell>
        </row>
        <row r="17">
          <cell r="D17">
            <v>67179.600000000006</v>
          </cell>
        </row>
        <row r="18">
          <cell r="D18">
            <v>51717.760000000002</v>
          </cell>
        </row>
        <row r="19">
          <cell r="D19">
            <v>18266.810000000001</v>
          </cell>
        </row>
        <row r="20">
          <cell r="D20">
            <v>23515.325000000001</v>
          </cell>
        </row>
        <row r="21">
          <cell r="D21">
            <v>30377.505000000001</v>
          </cell>
        </row>
        <row r="23">
          <cell r="D23">
            <v>73157.279999999999</v>
          </cell>
        </row>
        <row r="24">
          <cell r="D24">
            <v>74631.11</v>
          </cell>
        </row>
        <row r="25">
          <cell r="D25">
            <v>81048.58</v>
          </cell>
        </row>
        <row r="26">
          <cell r="D26">
            <v>72927.240000000005</v>
          </cell>
        </row>
        <row r="27">
          <cell r="D27">
            <v>92074.54</v>
          </cell>
        </row>
        <row r="28">
          <cell r="D28">
            <v>7390.59</v>
          </cell>
        </row>
        <row r="29">
          <cell r="D29">
            <v>10330.0245</v>
          </cell>
        </row>
        <row r="30">
          <cell r="D30">
            <v>41141.993999999999</v>
          </cell>
        </row>
        <row r="31">
          <cell r="D31">
            <v>71367.75</v>
          </cell>
        </row>
        <row r="32">
          <cell r="D32">
            <v>78112.77</v>
          </cell>
        </row>
        <row r="33">
          <cell r="D33">
            <v>79545.23</v>
          </cell>
        </row>
        <row r="34">
          <cell r="D34">
            <v>15965.982000000002</v>
          </cell>
        </row>
        <row r="35">
          <cell r="D35">
            <v>16346.794000000002</v>
          </cell>
        </row>
        <row r="36">
          <cell r="D36">
            <v>13473.016000000001</v>
          </cell>
        </row>
        <row r="38">
          <cell r="D38">
            <v>1722958.1960000002</v>
          </cell>
        </row>
      </sheetData>
      <sheetData sheetId="1">
        <row r="4">
          <cell r="D4">
            <v>10438.968000000001</v>
          </cell>
        </row>
        <row r="5">
          <cell r="D5">
            <v>30377.505000000001</v>
          </cell>
        </row>
        <row r="6">
          <cell r="D6">
            <v>18495.474999999999</v>
          </cell>
        </row>
        <row r="7">
          <cell r="D7">
            <v>27427.996000000003</v>
          </cell>
        </row>
        <row r="8">
          <cell r="D8">
            <v>56381.869999999995</v>
          </cell>
        </row>
        <row r="9">
          <cell r="D9">
            <v>32683.47</v>
          </cell>
        </row>
        <row r="10">
          <cell r="D10">
            <v>9578.4599999999991</v>
          </cell>
        </row>
        <row r="11">
          <cell r="D11">
            <v>52171.99</v>
          </cell>
        </row>
        <row r="12">
          <cell r="D12">
            <v>73345.789999999994</v>
          </cell>
        </row>
        <row r="13">
          <cell r="D13">
            <v>8210.19</v>
          </cell>
        </row>
        <row r="14">
          <cell r="D14">
            <v>19665.5</v>
          </cell>
        </row>
        <row r="15">
          <cell r="D15">
            <v>6881.6080000000002</v>
          </cell>
        </row>
        <row r="16">
          <cell r="D16">
            <v>9766.68</v>
          </cell>
        </row>
        <row r="17">
          <cell r="D17">
            <v>21974.639999999999</v>
          </cell>
        </row>
        <row r="18">
          <cell r="D18">
            <v>5135.0600000000004</v>
          </cell>
        </row>
        <row r="19">
          <cell r="D19">
            <v>40524.239999999998</v>
          </cell>
        </row>
        <row r="20">
          <cell r="D20">
            <v>52843.13</v>
          </cell>
        </row>
        <row r="21">
          <cell r="D21">
            <v>43826.77</v>
          </cell>
        </row>
        <row r="22">
          <cell r="D22">
            <v>725.28</v>
          </cell>
        </row>
        <row r="23">
          <cell r="D23">
            <v>41755.872000000003</v>
          </cell>
        </row>
        <row r="24">
          <cell r="D24">
            <v>2570.86</v>
          </cell>
        </row>
        <row r="25">
          <cell r="D25">
            <v>49558.09</v>
          </cell>
        </row>
        <row r="26">
          <cell r="D26">
            <v>47701.45</v>
          </cell>
        </row>
        <row r="27">
          <cell r="D27">
            <v>23515.325000000001</v>
          </cell>
        </row>
        <row r="28">
          <cell r="D28">
            <v>18266.810000000001</v>
          </cell>
        </row>
        <row r="29">
          <cell r="D29">
            <v>2834.33</v>
          </cell>
        </row>
        <row r="30">
          <cell r="D30">
            <v>1365.53</v>
          </cell>
        </row>
        <row r="31">
          <cell r="D31">
            <v>52188.44</v>
          </cell>
        </row>
        <row r="32">
          <cell r="D32">
            <v>60684.45</v>
          </cell>
        </row>
        <row r="33">
          <cell r="D33">
            <v>18495.474999999999</v>
          </cell>
        </row>
        <row r="34">
          <cell r="D34">
            <v>39331</v>
          </cell>
        </row>
        <row r="35">
          <cell r="D35">
            <v>11612.71</v>
          </cell>
        </row>
        <row r="39">
          <cell r="D39">
            <v>891742.0839999998</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Monthly P&amp;L  - QB"/>
      <sheetName val="Alert"/>
      <sheetName val="Balance Sheet"/>
      <sheetName val="Pro Forma"/>
      <sheetName val="Lurito 2018 V5.0a"/>
      <sheetName val="Restating Adjustments"/>
      <sheetName val="Pro Forma Adjustments"/>
      <sheetName val="Allocation Matrix"/>
      <sheetName val="Residential Customer Count"/>
      <sheetName val="Commercial Customer Count"/>
      <sheetName val="Garbage Payroll"/>
      <sheetName val="Recycling Payroll"/>
      <sheetName val="All Payroll"/>
      <sheetName val="Fuel"/>
      <sheetName val="Depreciation"/>
      <sheetName val="Disposal Costs"/>
      <sheetName val="Sheet1"/>
    </sheetNames>
    <sheetDataSet>
      <sheetData sheetId="0"/>
      <sheetData sheetId="1"/>
      <sheetData sheetId="2">
        <row r="6">
          <cell r="AH6"/>
        </row>
        <row r="7">
          <cell r="AH7"/>
        </row>
        <row r="11">
          <cell r="AH11"/>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325B-31D2-423D-B73B-B705CE4E4747}">
  <dimension ref="A1:A47"/>
  <sheetViews>
    <sheetView topLeftCell="A13" workbookViewId="0">
      <selection activeCell="A38" sqref="A38"/>
    </sheetView>
  </sheetViews>
  <sheetFormatPr defaultRowHeight="15"/>
  <cols>
    <col min="1" max="1" width="26.6640625" bestFit="1" customWidth="1"/>
  </cols>
  <sheetData>
    <row r="1" spans="1:1">
      <c r="A1" s="785" t="s">
        <v>16</v>
      </c>
    </row>
    <row r="2" spans="1:1">
      <c r="A2" s="785" t="s">
        <v>1574</v>
      </c>
    </row>
    <row r="4" spans="1:1">
      <c r="A4" s="785" t="s">
        <v>1575</v>
      </c>
    </row>
    <row r="5" spans="1:1">
      <c r="A5" s="785" t="s">
        <v>1576</v>
      </c>
    </row>
    <row r="6" spans="1:1">
      <c r="A6" s="785" t="s">
        <v>1577</v>
      </c>
    </row>
    <row r="7" spans="1:1">
      <c r="A7" s="785" t="s">
        <v>1615</v>
      </c>
    </row>
    <row r="8" spans="1:1">
      <c r="A8" s="785" t="s">
        <v>1578</v>
      </c>
    </row>
    <row r="9" spans="1:1">
      <c r="A9" s="785" t="s">
        <v>1579</v>
      </c>
    </row>
    <row r="10" spans="1:1">
      <c r="A10" s="785" t="s">
        <v>1580</v>
      </c>
    </row>
    <row r="11" spans="1:1">
      <c r="A11" s="785" t="s">
        <v>1279</v>
      </c>
    </row>
    <row r="12" spans="1:1">
      <c r="A12" s="785" t="s">
        <v>1581</v>
      </c>
    </row>
    <row r="13" spans="1:1">
      <c r="A13" s="785" t="s">
        <v>1280</v>
      </c>
    </row>
    <row r="14" spans="1:1">
      <c r="A14" s="785" t="s">
        <v>1501</v>
      </c>
    </row>
    <row r="15" spans="1:1">
      <c r="A15" s="785" t="s">
        <v>1582</v>
      </c>
    </row>
    <row r="16" spans="1:1">
      <c r="A16" s="785" t="s">
        <v>1589</v>
      </c>
    </row>
    <row r="17" spans="1:1">
      <c r="A17" s="785" t="s">
        <v>1590</v>
      </c>
    </row>
    <row r="18" spans="1:1">
      <c r="A18" s="785" t="s">
        <v>1386</v>
      </c>
    </row>
    <row r="19" spans="1:1">
      <c r="A19" s="785" t="s">
        <v>1591</v>
      </c>
    </row>
    <row r="20" spans="1:1">
      <c r="A20" s="785" t="s">
        <v>1592</v>
      </c>
    </row>
    <row r="21" spans="1:1">
      <c r="A21" s="785" t="s">
        <v>1593</v>
      </c>
    </row>
    <row r="22" spans="1:1">
      <c r="A22" s="785" t="s">
        <v>1126</v>
      </c>
    </row>
    <row r="23" spans="1:1">
      <c r="A23" s="785" t="s">
        <v>1594</v>
      </c>
    </row>
    <row r="24" spans="1:1">
      <c r="A24" s="785" t="s">
        <v>1595</v>
      </c>
    </row>
    <row r="25" spans="1:1">
      <c r="A25" s="785" t="s">
        <v>1596</v>
      </c>
    </row>
    <row r="26" spans="1:1">
      <c r="A26" s="785" t="s">
        <v>1597</v>
      </c>
    </row>
    <row r="27" spans="1:1">
      <c r="A27" s="785" t="s">
        <v>1358</v>
      </c>
    </row>
    <row r="28" spans="1:1">
      <c r="A28" s="785" t="s">
        <v>1598</v>
      </c>
    </row>
    <row r="29" spans="1:1">
      <c r="A29" s="785" t="s">
        <v>1599</v>
      </c>
    </row>
    <row r="30" spans="1:1">
      <c r="A30" s="785" t="s">
        <v>1600</v>
      </c>
    </row>
    <row r="31" spans="1:1">
      <c r="A31" s="785" t="s">
        <v>1601</v>
      </c>
    </row>
    <row r="32" spans="1:1">
      <c r="A32" s="785" t="s">
        <v>1602</v>
      </c>
    </row>
    <row r="33" spans="1:1">
      <c r="A33" s="785" t="s">
        <v>1603</v>
      </c>
    </row>
    <row r="34" spans="1:1">
      <c r="A34" s="785" t="s">
        <v>751</v>
      </c>
    </row>
    <row r="35" spans="1:1">
      <c r="A35" s="785" t="s">
        <v>1604</v>
      </c>
    </row>
    <row r="36" spans="1:1">
      <c r="A36" s="785" t="s">
        <v>1605</v>
      </c>
    </row>
    <row r="37" spans="1:1">
      <c r="A37" s="785" t="s">
        <v>1606</v>
      </c>
    </row>
    <row r="38" spans="1:1">
      <c r="A38" s="785" t="s">
        <v>1607</v>
      </c>
    </row>
    <row r="39" spans="1:1">
      <c r="A39" s="785" t="s">
        <v>1608</v>
      </c>
    </row>
    <row r="40" spans="1:1">
      <c r="A40" s="785" t="s">
        <v>445</v>
      </c>
    </row>
    <row r="41" spans="1:1">
      <c r="A41" s="785" t="s">
        <v>1609</v>
      </c>
    </row>
    <row r="42" spans="1:1">
      <c r="A42" s="785" t="s">
        <v>1616</v>
      </c>
    </row>
    <row r="43" spans="1:1">
      <c r="A43" s="785" t="s">
        <v>1610</v>
      </c>
    </row>
    <row r="44" spans="1:1">
      <c r="A44" s="785" t="s">
        <v>1611</v>
      </c>
    </row>
    <row r="45" spans="1:1">
      <c r="A45" s="785" t="s">
        <v>1612</v>
      </c>
    </row>
    <row r="46" spans="1:1">
      <c r="A46" s="785" t="s">
        <v>1613</v>
      </c>
    </row>
    <row r="47" spans="1:1">
      <c r="A47" s="785" t="s">
        <v>1614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FD75-F051-4DC2-8FD6-B091B17B5FCA}">
  <dimension ref="A1:E33"/>
  <sheetViews>
    <sheetView topLeftCell="A19" workbookViewId="0">
      <selection activeCell="B26" sqref="B26"/>
    </sheetView>
  </sheetViews>
  <sheetFormatPr defaultRowHeight="15"/>
  <cols>
    <col min="1" max="1" width="27.33203125" customWidth="1"/>
    <col min="2" max="2" width="84.21875" customWidth="1"/>
  </cols>
  <sheetData>
    <row r="1" spans="1:5" ht="15.75">
      <c r="A1" s="27" t="s">
        <v>16</v>
      </c>
    </row>
    <row r="2" spans="1:5" ht="15.75">
      <c r="A2" s="27" t="s">
        <v>1499</v>
      </c>
    </row>
    <row r="3" spans="1:5" ht="15.75">
      <c r="A3" s="27" t="s">
        <v>416</v>
      </c>
    </row>
    <row r="6" spans="1:5" ht="30">
      <c r="A6" s="800" t="s">
        <v>1483</v>
      </c>
      <c r="B6" s="801" t="s">
        <v>1478</v>
      </c>
      <c r="C6" s="89"/>
      <c r="D6" s="89"/>
      <c r="E6" s="89"/>
    </row>
    <row r="7" spans="1:5" ht="15.75">
      <c r="A7" s="796"/>
      <c r="B7" s="581"/>
      <c r="C7" s="89"/>
      <c r="D7" s="89"/>
      <c r="E7" s="89"/>
    </row>
    <row r="8" spans="1:5" ht="45">
      <c r="A8" s="802" t="s">
        <v>1484</v>
      </c>
      <c r="B8" s="803" t="s">
        <v>1495</v>
      </c>
      <c r="C8" s="89"/>
      <c r="D8" s="89"/>
      <c r="E8" s="89"/>
    </row>
    <row r="9" spans="1:5" ht="15.75">
      <c r="A9" s="797"/>
      <c r="B9" s="576"/>
      <c r="C9" s="89"/>
      <c r="D9" s="89"/>
      <c r="E9" s="89"/>
    </row>
    <row r="10" spans="1:5" ht="30">
      <c r="A10" s="800" t="s">
        <v>1480</v>
      </c>
      <c r="B10" s="801" t="s">
        <v>1481</v>
      </c>
      <c r="C10" s="89"/>
      <c r="D10" s="89"/>
      <c r="E10" s="89"/>
    </row>
    <row r="11" spans="1:5" ht="15.75">
      <c r="A11" s="796"/>
      <c r="B11" s="581"/>
      <c r="C11" s="89"/>
      <c r="D11" s="89"/>
      <c r="E11" s="89"/>
    </row>
    <row r="12" spans="1:5" ht="15.75">
      <c r="A12" s="800" t="s">
        <v>1482</v>
      </c>
      <c r="B12" s="804" t="s">
        <v>1485</v>
      </c>
      <c r="C12" s="89"/>
      <c r="D12" s="89"/>
      <c r="E12" s="89"/>
    </row>
    <row r="13" spans="1:5" ht="15.75">
      <c r="A13" s="796"/>
      <c r="B13" s="89"/>
      <c r="C13" s="89"/>
      <c r="D13" s="89"/>
      <c r="E13" s="89"/>
    </row>
    <row r="14" spans="1:5" ht="45">
      <c r="A14" s="805" t="s">
        <v>1486</v>
      </c>
      <c r="B14" s="806" t="s">
        <v>1496</v>
      </c>
      <c r="C14" s="89"/>
      <c r="D14" s="89"/>
      <c r="E14" s="89"/>
    </row>
    <row r="15" spans="1:5" ht="15.75">
      <c r="A15" s="576"/>
      <c r="B15" s="798"/>
      <c r="C15" s="89"/>
      <c r="D15" s="89"/>
      <c r="E15" s="89"/>
    </row>
    <row r="16" spans="1:5" ht="15.75">
      <c r="A16" s="807" t="s">
        <v>1487</v>
      </c>
      <c r="B16" s="804" t="s">
        <v>1488</v>
      </c>
      <c r="C16" s="89"/>
      <c r="D16" s="89"/>
      <c r="E16" s="89"/>
    </row>
    <row r="17" spans="1:5" ht="15.75">
      <c r="A17" s="89"/>
      <c r="B17" s="89"/>
      <c r="C17" s="89"/>
      <c r="D17" s="89"/>
      <c r="E17" s="89"/>
    </row>
    <row r="18" spans="1:5" ht="15.75">
      <c r="A18" s="808" t="s">
        <v>1497</v>
      </c>
      <c r="B18" s="804" t="s">
        <v>1570</v>
      </c>
      <c r="C18" s="89"/>
      <c r="D18" s="89"/>
      <c r="E18" s="89"/>
    </row>
    <row r="19" spans="1:5" ht="15.75">
      <c r="A19" s="255"/>
      <c r="B19" s="89"/>
      <c r="C19" s="89"/>
      <c r="D19" s="89"/>
      <c r="E19" s="89"/>
    </row>
    <row r="20" spans="1:5" ht="24.75">
      <c r="A20" s="808" t="s">
        <v>1490</v>
      </c>
      <c r="B20" s="801" t="s">
        <v>1571</v>
      </c>
      <c r="C20" s="89"/>
      <c r="D20" s="89"/>
      <c r="E20" s="89"/>
    </row>
    <row r="21" spans="1:5" ht="15.75">
      <c r="A21" s="255"/>
      <c r="B21" s="581"/>
      <c r="C21" s="89"/>
      <c r="D21" s="89"/>
      <c r="E21" s="89"/>
    </row>
    <row r="22" spans="1:5" ht="15.75">
      <c r="A22" s="808" t="s">
        <v>1491</v>
      </c>
      <c r="B22" s="804" t="s">
        <v>1492</v>
      </c>
      <c r="C22" s="89"/>
      <c r="D22" s="89"/>
      <c r="E22" s="89"/>
    </row>
    <row r="23" spans="1:5" ht="15.75">
      <c r="A23" s="255"/>
      <c r="B23" s="89"/>
      <c r="C23" s="89"/>
      <c r="D23" s="89"/>
      <c r="E23" s="89"/>
    </row>
    <row r="24" spans="1:5" ht="30.6" customHeight="1">
      <c r="A24" s="808" t="s">
        <v>1493</v>
      </c>
      <c r="B24" s="801" t="s">
        <v>1494</v>
      </c>
      <c r="C24" s="89"/>
      <c r="D24" s="89"/>
      <c r="E24" s="89"/>
    </row>
    <row r="25" spans="1:5" ht="15.75">
      <c r="A25" s="255"/>
      <c r="B25" s="581"/>
      <c r="C25" s="89"/>
      <c r="D25" s="89"/>
      <c r="E25" s="89"/>
    </row>
    <row r="26" spans="1:5" ht="105">
      <c r="A26" s="809" t="s">
        <v>1498</v>
      </c>
      <c r="B26" s="803" t="s">
        <v>1572</v>
      </c>
      <c r="C26" s="89"/>
      <c r="D26" s="89"/>
      <c r="E26" s="89"/>
    </row>
    <row r="27" spans="1:5" ht="15.75">
      <c r="A27" s="799"/>
      <c r="B27" s="576"/>
      <c r="C27" s="89"/>
      <c r="D27" s="89"/>
      <c r="E27" s="89"/>
    </row>
    <row r="28" spans="1:5" ht="24.75">
      <c r="A28" s="808" t="s">
        <v>1500</v>
      </c>
      <c r="B28" s="810" t="s">
        <v>1563</v>
      </c>
      <c r="C28" s="89"/>
      <c r="D28" s="89"/>
      <c r="E28" s="89"/>
    </row>
    <row r="29" spans="1:5" ht="15.75">
      <c r="A29" s="89"/>
      <c r="B29" s="89"/>
      <c r="C29" s="89"/>
      <c r="D29" s="89"/>
      <c r="E29" s="89"/>
    </row>
    <row r="30" spans="1:5" ht="15.75">
      <c r="A30" s="89"/>
      <c r="B30" s="89"/>
      <c r="C30" s="89"/>
      <c r="D30" s="89"/>
      <c r="E30" s="89"/>
    </row>
    <row r="31" spans="1:5" ht="15.75">
      <c r="A31" s="89"/>
      <c r="B31" s="89"/>
      <c r="C31" s="89"/>
      <c r="D31" s="89"/>
      <c r="E31" s="89"/>
    </row>
    <row r="32" spans="1:5" ht="15.75">
      <c r="A32" s="89"/>
      <c r="B32" s="89"/>
      <c r="C32" s="89"/>
      <c r="D32" s="89"/>
      <c r="E32" s="89"/>
    </row>
    <row r="33" spans="1:5" ht="15.75">
      <c r="A33" s="89"/>
      <c r="B33" s="89"/>
      <c r="C33" s="89"/>
      <c r="D33" s="89"/>
      <c r="E33" s="89"/>
    </row>
  </sheetData>
  <pageMargins left="0.25" right="0.25" top="0.75" bottom="0.75" header="0.3" footer="0.3"/>
  <pageSetup orientation="landscape" r:id="rId1"/>
  <headerFooter>
    <oddFooter>&amp;C&amp;A&amp;RPage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9103E-1ED7-48DD-AD78-E56285CC1604}">
  <sheetPr>
    <pageSetUpPr fitToPage="1"/>
  </sheetPr>
  <dimension ref="A1:S96"/>
  <sheetViews>
    <sheetView workbookViewId="0">
      <pane ySplit="5" topLeftCell="A19" activePane="bottomLeft" state="frozen"/>
      <selection pane="bottomLeft" activeCell="J74" sqref="J74"/>
    </sheetView>
  </sheetViews>
  <sheetFormatPr defaultRowHeight="15"/>
  <cols>
    <col min="1" max="1" width="27.33203125" customWidth="1"/>
  </cols>
  <sheetData>
    <row r="1" spans="1:19" ht="15.75">
      <c r="A1" s="28" t="s">
        <v>16</v>
      </c>
      <c r="B1" s="29"/>
      <c r="C1" s="29"/>
      <c r="D1" s="29"/>
      <c r="E1" s="29"/>
      <c r="F1" s="29"/>
      <c r="G1" s="29"/>
      <c r="H1" s="29"/>
      <c r="I1" s="29"/>
      <c r="J1" s="29"/>
      <c r="K1" s="29"/>
      <c r="L1" s="29"/>
    </row>
    <row r="2" spans="1:19" ht="15.75">
      <c r="A2" s="28" t="s">
        <v>1280</v>
      </c>
      <c r="B2" s="29"/>
      <c r="C2" s="29"/>
      <c r="D2" s="29"/>
      <c r="E2" s="29"/>
      <c r="F2" s="29"/>
      <c r="G2" s="29"/>
      <c r="H2" s="29"/>
      <c r="I2" s="29"/>
      <c r="J2" s="29"/>
      <c r="K2" s="29"/>
      <c r="L2" s="29"/>
    </row>
    <row r="3" spans="1:19" ht="15.75">
      <c r="A3" s="28" t="s">
        <v>416</v>
      </c>
      <c r="B3" s="29"/>
      <c r="C3" s="29"/>
      <c r="D3" s="29"/>
      <c r="E3" s="29"/>
      <c r="F3" s="29"/>
      <c r="G3" s="29"/>
      <c r="H3" s="29"/>
      <c r="I3" s="29"/>
      <c r="J3" s="29"/>
      <c r="K3" s="29"/>
      <c r="L3" s="29"/>
    </row>
    <row r="5" spans="1:19" ht="90">
      <c r="A5" s="575"/>
      <c r="B5" s="255" t="s">
        <v>1502</v>
      </c>
      <c r="C5" s="255" t="s">
        <v>1503</v>
      </c>
      <c r="D5" s="255" t="s">
        <v>1504</v>
      </c>
      <c r="E5" s="597" t="s">
        <v>1505</v>
      </c>
      <c r="F5" s="597" t="s">
        <v>1506</v>
      </c>
      <c r="G5" s="597" t="s">
        <v>1507</v>
      </c>
      <c r="H5" s="597" t="s">
        <v>1514</v>
      </c>
      <c r="I5" s="597" t="s">
        <v>1516</v>
      </c>
      <c r="J5" s="597" t="s">
        <v>1556</v>
      </c>
      <c r="K5" s="597" t="s">
        <v>1560</v>
      </c>
      <c r="L5" s="575" t="s">
        <v>648</v>
      </c>
      <c r="M5" s="575"/>
      <c r="N5" s="575"/>
      <c r="O5" s="575"/>
      <c r="P5" s="575"/>
      <c r="Q5" s="575"/>
      <c r="R5" s="575"/>
      <c r="S5" s="575"/>
    </row>
    <row r="6" spans="1:19" ht="15.75">
      <c r="A6" s="585" t="s">
        <v>1</v>
      </c>
      <c r="B6" s="575"/>
      <c r="C6" s="575"/>
      <c r="D6" s="575"/>
      <c r="E6" s="575"/>
      <c r="F6" s="575"/>
      <c r="G6" s="575"/>
      <c r="H6" s="575"/>
      <c r="I6" s="575"/>
      <c r="J6" s="575"/>
      <c r="K6" s="575"/>
      <c r="L6" s="575"/>
      <c r="M6" s="575"/>
      <c r="N6" s="575"/>
      <c r="O6" s="575"/>
      <c r="P6" s="575"/>
      <c r="Q6" s="575"/>
      <c r="R6" s="575"/>
      <c r="S6" s="575"/>
    </row>
    <row r="7" spans="1:19" ht="15.75">
      <c r="A7" s="586" t="s">
        <v>420</v>
      </c>
      <c r="B7" s="553"/>
      <c r="C7" s="553"/>
      <c r="D7" s="553"/>
      <c r="E7" s="553"/>
      <c r="F7" s="553"/>
      <c r="G7" s="553"/>
      <c r="H7" s="553"/>
      <c r="I7" s="553"/>
      <c r="J7" s="553">
        <f>-'City of Mukilteo Contract Loss'!I7</f>
        <v>-63264</v>
      </c>
      <c r="K7" s="553"/>
      <c r="L7" s="553">
        <f>SUM(B7:K7)</f>
        <v>-63264</v>
      </c>
      <c r="M7" s="553"/>
      <c r="N7" s="575"/>
      <c r="O7" s="575"/>
      <c r="P7" s="575"/>
      <c r="Q7" s="575"/>
      <c r="R7" s="575"/>
      <c r="S7" s="575"/>
    </row>
    <row r="8" spans="1:19" ht="15.75">
      <c r="A8" s="586" t="s">
        <v>421</v>
      </c>
      <c r="B8" s="553"/>
      <c r="C8" s="553"/>
      <c r="D8" s="553"/>
      <c r="E8" s="553"/>
      <c r="F8" s="553"/>
      <c r="G8" s="553"/>
      <c r="H8" s="553"/>
      <c r="I8" s="553"/>
      <c r="J8" s="553">
        <f>-'City of Mukilteo Contract Loss'!I10</f>
        <v>-18301</v>
      </c>
      <c r="K8" s="553"/>
      <c r="L8" s="553">
        <f t="shared" ref="L8:L60" si="0">SUM(B8:K8)</f>
        <v>-18301</v>
      </c>
      <c r="M8" s="553"/>
      <c r="N8" s="575"/>
      <c r="O8" s="575"/>
      <c r="P8" s="575"/>
      <c r="Q8" s="575"/>
      <c r="R8" s="575"/>
      <c r="S8" s="575"/>
    </row>
    <row r="9" spans="1:19" ht="15.75">
      <c r="A9" s="586" t="s">
        <v>422</v>
      </c>
      <c r="B9" s="553"/>
      <c r="C9" s="553"/>
      <c r="D9" s="553"/>
      <c r="E9" s="553"/>
      <c r="F9" s="553"/>
      <c r="G9" s="553"/>
      <c r="H9" s="553"/>
      <c r="I9" s="553"/>
      <c r="J9" s="553">
        <f>-'City of Mukilteo Contract Loss'!I11</f>
        <v>-3680</v>
      </c>
      <c r="K9" s="553"/>
      <c r="L9" s="553">
        <f t="shared" si="0"/>
        <v>-3680</v>
      </c>
      <c r="M9" s="553"/>
      <c r="N9" s="575"/>
      <c r="O9" s="575"/>
      <c r="P9" s="575"/>
      <c r="Q9" s="575"/>
      <c r="R9" s="575"/>
      <c r="S9" s="575"/>
    </row>
    <row r="10" spans="1:19" ht="15.75">
      <c r="A10" s="587" t="s">
        <v>423</v>
      </c>
      <c r="B10" s="553"/>
      <c r="C10" s="553"/>
      <c r="D10" s="553"/>
      <c r="E10" s="553"/>
      <c r="F10" s="553"/>
      <c r="G10" s="553"/>
      <c r="H10" s="553"/>
      <c r="I10" s="553"/>
      <c r="J10" s="553"/>
      <c r="K10" s="553"/>
      <c r="L10" s="553">
        <f t="shared" si="0"/>
        <v>0</v>
      </c>
      <c r="M10" s="553"/>
      <c r="N10" s="575"/>
      <c r="O10" s="575"/>
      <c r="P10" s="575"/>
      <c r="Q10" s="575"/>
      <c r="R10" s="575"/>
      <c r="S10" s="575"/>
    </row>
    <row r="11" spans="1:19" ht="15.75">
      <c r="A11" s="586" t="s">
        <v>424</v>
      </c>
      <c r="B11" s="553"/>
      <c r="C11" s="553"/>
      <c r="D11" s="553"/>
      <c r="E11" s="553"/>
      <c r="F11" s="553"/>
      <c r="G11" s="553"/>
      <c r="H11" s="553"/>
      <c r="I11" s="553"/>
      <c r="J11" s="553">
        <f>-'City of Mukilteo Contract Loss'!I8</f>
        <v>-26282</v>
      </c>
      <c r="K11" s="553"/>
      <c r="L11" s="553">
        <f t="shared" si="0"/>
        <v>-26282</v>
      </c>
      <c r="M11" s="553"/>
      <c r="N11" s="575"/>
      <c r="O11" s="575"/>
      <c r="P11" s="575"/>
      <c r="Q11" s="575"/>
      <c r="R11" s="575"/>
      <c r="S11" s="575"/>
    </row>
    <row r="12" spans="1:19" ht="15.75">
      <c r="A12" s="586" t="s">
        <v>425</v>
      </c>
      <c r="B12" s="553"/>
      <c r="C12" s="553"/>
      <c r="D12" s="553"/>
      <c r="E12" s="553"/>
      <c r="F12" s="553"/>
      <c r="G12" s="553"/>
      <c r="H12" s="553"/>
      <c r="I12" s="553"/>
      <c r="J12" s="553"/>
      <c r="K12" s="553"/>
      <c r="L12" s="553">
        <f t="shared" si="0"/>
        <v>0</v>
      </c>
      <c r="M12" s="553"/>
      <c r="N12" s="575"/>
      <c r="O12" s="575"/>
      <c r="P12" s="575"/>
      <c r="Q12" s="575"/>
      <c r="R12" s="575"/>
      <c r="S12" s="575"/>
    </row>
    <row r="13" spans="1:19" ht="15.75">
      <c r="A13" s="586" t="s">
        <v>426</v>
      </c>
      <c r="B13" s="553"/>
      <c r="C13" s="553"/>
      <c r="D13" s="553"/>
      <c r="E13" s="553"/>
      <c r="F13" s="553"/>
      <c r="G13" s="553"/>
      <c r="H13" s="553"/>
      <c r="I13" s="553"/>
      <c r="J13" s="553"/>
      <c r="K13" s="553"/>
      <c r="L13" s="553">
        <f t="shared" si="0"/>
        <v>0</v>
      </c>
      <c r="M13" s="553"/>
      <c r="N13" s="575"/>
      <c r="O13" s="575"/>
      <c r="P13" s="575"/>
      <c r="Q13" s="575"/>
      <c r="R13" s="575"/>
      <c r="S13" s="575"/>
    </row>
    <row r="14" spans="1:19" ht="15.75">
      <c r="A14" s="586" t="s">
        <v>427</v>
      </c>
      <c r="B14" s="553"/>
      <c r="C14" s="553"/>
      <c r="D14" s="553"/>
      <c r="E14" s="553"/>
      <c r="F14" s="553"/>
      <c r="G14" s="553"/>
      <c r="H14" s="553"/>
      <c r="I14" s="553"/>
      <c r="J14" s="553">
        <f>-'City of Mukilteo Contract Loss'!I9</f>
        <v>-23227</v>
      </c>
      <c r="K14" s="553"/>
      <c r="L14" s="553">
        <f t="shared" si="0"/>
        <v>-23227</v>
      </c>
      <c r="M14" s="553"/>
      <c r="N14" s="575"/>
      <c r="O14" s="575"/>
      <c r="P14" s="575"/>
      <c r="Q14" s="575"/>
      <c r="R14" s="575"/>
      <c r="S14" s="575"/>
    </row>
    <row r="15" spans="1:19" ht="15.75">
      <c r="A15" s="586" t="s">
        <v>428</v>
      </c>
      <c r="B15" s="553"/>
      <c r="C15" s="553"/>
      <c r="D15" s="553"/>
      <c r="E15" s="553"/>
      <c r="F15" s="553"/>
      <c r="G15" s="553"/>
      <c r="H15" s="553"/>
      <c r="I15" s="553"/>
      <c r="J15" s="553"/>
      <c r="K15" s="553"/>
      <c r="L15" s="553">
        <f t="shared" si="0"/>
        <v>0</v>
      </c>
      <c r="M15" s="553"/>
      <c r="N15" s="575"/>
      <c r="O15" s="575"/>
      <c r="P15" s="575"/>
      <c r="Q15" s="575"/>
      <c r="R15" s="575"/>
      <c r="S15" s="575"/>
    </row>
    <row r="16" spans="1:19" ht="15.75">
      <c r="A16" s="586" t="s">
        <v>429</v>
      </c>
      <c r="B16" s="553"/>
      <c r="C16" s="553"/>
      <c r="D16" s="553"/>
      <c r="E16" s="553"/>
      <c r="F16" s="553"/>
      <c r="G16" s="553"/>
      <c r="H16" s="553"/>
      <c r="I16" s="553"/>
      <c r="J16" s="553"/>
      <c r="K16" s="553"/>
      <c r="L16" s="553">
        <f t="shared" si="0"/>
        <v>0</v>
      </c>
      <c r="M16" s="553"/>
      <c r="N16" s="575"/>
      <c r="O16" s="575"/>
      <c r="P16" s="575"/>
      <c r="Q16" s="575"/>
      <c r="R16" s="575"/>
      <c r="S16" s="575"/>
    </row>
    <row r="17" spans="1:19" ht="15.75">
      <c r="A17" s="586" t="s">
        <v>430</v>
      </c>
      <c r="B17" s="553"/>
      <c r="C17" s="553"/>
      <c r="D17" s="553"/>
      <c r="E17" s="553"/>
      <c r="F17" s="553"/>
      <c r="G17" s="553"/>
      <c r="H17" s="553"/>
      <c r="I17" s="553"/>
      <c r="J17" s="553"/>
      <c r="K17" s="553"/>
      <c r="L17" s="553">
        <f t="shared" si="0"/>
        <v>0</v>
      </c>
      <c r="M17" s="553"/>
      <c r="N17" s="575"/>
      <c r="O17" s="575"/>
      <c r="P17" s="575"/>
      <c r="Q17" s="575"/>
      <c r="R17" s="575"/>
      <c r="S17" s="575"/>
    </row>
    <row r="18" spans="1:19" ht="15.75">
      <c r="A18" s="586" t="s">
        <v>431</v>
      </c>
      <c r="B18" s="553"/>
      <c r="C18" s="553"/>
      <c r="D18" s="553"/>
      <c r="E18" s="553"/>
      <c r="F18" s="553"/>
      <c r="G18" s="553"/>
      <c r="H18" s="553"/>
      <c r="I18" s="553"/>
      <c r="J18" s="553"/>
      <c r="K18" s="553"/>
      <c r="L18" s="553">
        <f t="shared" si="0"/>
        <v>0</v>
      </c>
      <c r="M18" s="553"/>
      <c r="N18" s="575"/>
      <c r="O18" s="575"/>
      <c r="P18" s="575"/>
      <c r="Q18" s="575"/>
      <c r="R18" s="575"/>
      <c r="S18" s="575"/>
    </row>
    <row r="19" spans="1:19" ht="15.75">
      <c r="A19" s="586" t="s">
        <v>971</v>
      </c>
      <c r="B19" s="553"/>
      <c r="C19" s="553"/>
      <c r="D19" s="553"/>
      <c r="E19" s="553"/>
      <c r="F19" s="553"/>
      <c r="G19" s="553"/>
      <c r="H19" s="553"/>
      <c r="I19" s="553"/>
      <c r="J19" s="553"/>
      <c r="K19" s="553"/>
      <c r="L19" s="553">
        <f t="shared" si="0"/>
        <v>0</v>
      </c>
      <c r="M19" s="553"/>
      <c r="N19" s="575"/>
      <c r="O19" s="575"/>
      <c r="P19" s="575"/>
      <c r="Q19" s="575"/>
      <c r="R19" s="575"/>
      <c r="S19" s="575"/>
    </row>
    <row r="20" spans="1:19" ht="15.75">
      <c r="A20" s="586" t="s">
        <v>433</v>
      </c>
      <c r="B20" s="627"/>
      <c r="C20" s="627"/>
      <c r="D20" s="627"/>
      <c r="E20" s="627"/>
      <c r="F20" s="627"/>
      <c r="G20" s="627"/>
      <c r="H20" s="627"/>
      <c r="I20" s="627"/>
      <c r="J20" s="627"/>
      <c r="K20" s="627"/>
      <c r="L20" s="627">
        <f t="shared" si="0"/>
        <v>0</v>
      </c>
      <c r="M20" s="553"/>
      <c r="N20" s="575"/>
      <c r="O20" s="575"/>
      <c r="P20" s="575"/>
      <c r="Q20" s="575"/>
      <c r="R20" s="575"/>
      <c r="S20" s="575"/>
    </row>
    <row r="21" spans="1:19" ht="15.75">
      <c r="A21" s="588" t="s">
        <v>434</v>
      </c>
      <c r="B21" s="553">
        <f>SUM(B7:B20)</f>
        <v>0</v>
      </c>
      <c r="C21" s="553">
        <f t="shared" ref="C21:L21" si="1">SUM(C7:C20)</f>
        <v>0</v>
      </c>
      <c r="D21" s="553">
        <f t="shared" si="1"/>
        <v>0</v>
      </c>
      <c r="E21" s="553">
        <f t="shared" si="1"/>
        <v>0</v>
      </c>
      <c r="F21" s="553">
        <f t="shared" si="1"/>
        <v>0</v>
      </c>
      <c r="G21" s="553">
        <f t="shared" si="1"/>
        <v>0</v>
      </c>
      <c r="H21" s="553">
        <f t="shared" si="1"/>
        <v>0</v>
      </c>
      <c r="I21" s="553">
        <f t="shared" si="1"/>
        <v>0</v>
      </c>
      <c r="J21" s="553">
        <f t="shared" si="1"/>
        <v>-134754</v>
      </c>
      <c r="K21" s="553">
        <f t="shared" si="1"/>
        <v>0</v>
      </c>
      <c r="L21" s="553">
        <f t="shared" si="1"/>
        <v>-134754</v>
      </c>
      <c r="M21" s="553"/>
      <c r="N21" s="575"/>
      <c r="O21" s="575"/>
      <c r="P21" s="575"/>
      <c r="Q21" s="575"/>
      <c r="R21" s="575"/>
      <c r="S21" s="575"/>
    </row>
    <row r="22" spans="1:19" ht="15.75">
      <c r="A22" s="585" t="s">
        <v>2</v>
      </c>
      <c r="B22" s="553"/>
      <c r="C22" s="553"/>
      <c r="D22" s="553"/>
      <c r="E22" s="553"/>
      <c r="F22" s="553"/>
      <c r="G22" s="553"/>
      <c r="H22" s="553"/>
      <c r="I22" s="553"/>
      <c r="J22" s="553"/>
      <c r="K22" s="553"/>
      <c r="L22" s="553">
        <f t="shared" si="0"/>
        <v>0</v>
      </c>
      <c r="M22" s="553"/>
      <c r="N22" s="575"/>
      <c r="O22" s="575"/>
      <c r="P22" s="575"/>
      <c r="Q22" s="575"/>
      <c r="R22" s="575"/>
      <c r="S22" s="575"/>
    </row>
    <row r="23" spans="1:19" ht="15.75">
      <c r="A23" s="586" t="s">
        <v>972</v>
      </c>
      <c r="B23" s="553"/>
      <c r="C23" s="553"/>
      <c r="D23" s="553"/>
      <c r="E23" s="553"/>
      <c r="F23" s="553"/>
      <c r="G23" s="553"/>
      <c r="H23" s="553"/>
      <c r="I23" s="553"/>
      <c r="J23" s="553"/>
      <c r="K23" s="553">
        <f>+'TruckCare Pension'!B21</f>
        <v>216259.4</v>
      </c>
      <c r="L23" s="553">
        <f t="shared" si="0"/>
        <v>216259.4</v>
      </c>
      <c r="M23" s="553"/>
      <c r="N23" s="575"/>
      <c r="O23" s="575"/>
      <c r="P23" s="575"/>
      <c r="Q23" s="575"/>
      <c r="R23" s="575"/>
      <c r="S23" s="575"/>
    </row>
    <row r="24" spans="1:19" ht="15.75">
      <c r="A24" s="586" t="s">
        <v>436</v>
      </c>
      <c r="B24" s="553"/>
      <c r="C24" s="553"/>
      <c r="D24" s="553"/>
      <c r="E24" s="553"/>
      <c r="F24" s="553"/>
      <c r="G24" s="553"/>
      <c r="H24" s="553"/>
      <c r="I24" s="553"/>
      <c r="J24" s="553"/>
      <c r="K24" s="553"/>
      <c r="L24" s="553">
        <f t="shared" si="0"/>
        <v>0</v>
      </c>
      <c r="M24" s="553"/>
      <c r="N24" s="575"/>
      <c r="O24" s="575"/>
      <c r="P24" s="575"/>
      <c r="Q24" s="575"/>
      <c r="R24" s="575"/>
      <c r="S24" s="575"/>
    </row>
    <row r="25" spans="1:19" ht="15.75">
      <c r="A25" s="586" t="s">
        <v>437</v>
      </c>
      <c r="B25" s="553"/>
      <c r="C25" s="553"/>
      <c r="D25" s="553"/>
      <c r="E25" s="553"/>
      <c r="F25" s="553"/>
      <c r="G25" s="553"/>
      <c r="H25" s="553"/>
      <c r="I25" s="553"/>
      <c r="J25" s="553"/>
      <c r="K25" s="553"/>
      <c r="L25" s="553">
        <f t="shared" si="0"/>
        <v>0</v>
      </c>
      <c r="M25" s="553"/>
      <c r="N25" s="575"/>
      <c r="O25" s="575"/>
      <c r="P25" s="575"/>
      <c r="Q25" s="575"/>
      <c r="R25" s="575"/>
      <c r="S25" s="575"/>
    </row>
    <row r="26" spans="1:19" ht="15.75">
      <c r="A26" s="586" t="s">
        <v>438</v>
      </c>
      <c r="B26" s="553"/>
      <c r="C26" s="553"/>
      <c r="D26" s="553"/>
      <c r="E26" s="553"/>
      <c r="F26" s="553"/>
      <c r="G26" s="553"/>
      <c r="H26" s="553"/>
      <c r="I26" s="553"/>
      <c r="J26" s="553"/>
      <c r="K26" s="553"/>
      <c r="L26" s="553">
        <f t="shared" si="0"/>
        <v>0</v>
      </c>
      <c r="M26" s="553"/>
      <c r="N26" s="575"/>
      <c r="O26" s="575"/>
      <c r="P26" s="575"/>
      <c r="Q26" s="575"/>
      <c r="R26" s="575"/>
      <c r="S26" s="575"/>
    </row>
    <row r="27" spans="1:19" ht="15.75">
      <c r="A27" s="586" t="s">
        <v>439</v>
      </c>
      <c r="B27" s="553">
        <f>+'Garbage Payroll'!N38-'Garbage Payroll'!D38</f>
        <v>-13313.540900000604</v>
      </c>
      <c r="C27" s="553">
        <f>+'Recycling Payroll'!L39-'Recycling Payroll'!D39</f>
        <v>52354.810600000201</v>
      </c>
      <c r="D27" s="553"/>
      <c r="E27" s="553"/>
      <c r="F27" s="553"/>
      <c r="G27" s="553"/>
      <c r="H27" s="553"/>
      <c r="I27" s="553"/>
      <c r="J27" s="553">
        <f>-'City of Mukilteo Contract Loss'!P23</f>
        <v>-45620.563999999998</v>
      </c>
      <c r="K27" s="553"/>
      <c r="L27" s="553">
        <f t="shared" si="0"/>
        <v>-6579.2943000004016</v>
      </c>
      <c r="M27" s="553"/>
      <c r="N27" s="575"/>
      <c r="O27" s="575"/>
      <c r="P27" s="575"/>
      <c r="Q27" s="575"/>
      <c r="R27" s="575"/>
      <c r="S27" s="575"/>
    </row>
    <row r="28" spans="1:19" ht="15.75">
      <c r="A28" s="586" t="s">
        <v>440</v>
      </c>
      <c r="B28" s="553"/>
      <c r="C28" s="553"/>
      <c r="D28" s="553"/>
      <c r="E28" s="553"/>
      <c r="F28" s="553"/>
      <c r="G28" s="553"/>
      <c r="H28" s="553"/>
      <c r="I28" s="553"/>
      <c r="J28" s="553"/>
      <c r="K28" s="553"/>
      <c r="L28" s="553">
        <f t="shared" si="0"/>
        <v>0</v>
      </c>
      <c r="M28" s="553"/>
      <c r="N28" s="575"/>
      <c r="O28" s="575"/>
      <c r="P28" s="575"/>
      <c r="Q28" s="575"/>
      <c r="R28" s="575"/>
      <c r="S28" s="575"/>
    </row>
    <row r="29" spans="1:19" ht="15.75">
      <c r="A29" s="589" t="s">
        <v>441</v>
      </c>
      <c r="B29" s="553"/>
      <c r="C29" s="553"/>
      <c r="D29" s="553"/>
      <c r="E29" s="553"/>
      <c r="F29" s="553"/>
      <c r="G29" s="553"/>
      <c r="H29" s="553"/>
      <c r="I29" s="553"/>
      <c r="J29" s="553"/>
      <c r="K29" s="553"/>
      <c r="L29" s="553">
        <f t="shared" si="0"/>
        <v>0</v>
      </c>
      <c r="M29" s="553"/>
      <c r="N29" s="575"/>
      <c r="O29" s="575"/>
      <c r="P29" s="575"/>
      <c r="Q29" s="575"/>
      <c r="R29" s="575"/>
      <c r="S29" s="575"/>
    </row>
    <row r="30" spans="1:19" ht="15.75">
      <c r="A30" s="589" t="s">
        <v>442</v>
      </c>
      <c r="B30" s="553"/>
      <c r="C30" s="553"/>
      <c r="D30" s="553"/>
      <c r="E30" s="553"/>
      <c r="F30" s="553"/>
      <c r="G30" s="553"/>
      <c r="H30" s="553"/>
      <c r="I30" s="553"/>
      <c r="J30" s="553"/>
      <c r="K30" s="553"/>
      <c r="L30" s="553">
        <f t="shared" si="0"/>
        <v>0</v>
      </c>
      <c r="M30" s="553"/>
      <c r="N30" s="575"/>
      <c r="O30" s="575"/>
      <c r="P30" s="575"/>
      <c r="Q30" s="575"/>
      <c r="R30" s="575"/>
      <c r="S30" s="575"/>
    </row>
    <row r="31" spans="1:19" ht="15.75">
      <c r="A31" s="587" t="s">
        <v>443</v>
      </c>
      <c r="B31" s="553"/>
      <c r="C31" s="553"/>
      <c r="D31" s="553"/>
      <c r="E31" s="553"/>
      <c r="F31" s="553"/>
      <c r="G31" s="553"/>
      <c r="H31" s="553"/>
      <c r="I31" s="553"/>
      <c r="J31" s="553"/>
      <c r="K31" s="553"/>
      <c r="L31" s="553">
        <f t="shared" si="0"/>
        <v>0</v>
      </c>
      <c r="M31" s="553"/>
      <c r="N31" s="575"/>
      <c r="O31" s="575"/>
      <c r="P31" s="575"/>
      <c r="Q31" s="575"/>
      <c r="R31" s="575"/>
      <c r="S31" s="575"/>
    </row>
    <row r="32" spans="1:19" ht="15.75">
      <c r="A32" s="589" t="s">
        <v>444</v>
      </c>
      <c r="B32" s="553"/>
      <c r="C32" s="553"/>
      <c r="D32" s="553"/>
      <c r="E32" s="553"/>
      <c r="F32" s="553"/>
      <c r="G32" s="553"/>
      <c r="H32" s="553">
        <f>+Disposal!C186</f>
        <v>4487.5695999999998</v>
      </c>
      <c r="I32" s="553"/>
      <c r="J32" s="553"/>
      <c r="K32" s="553"/>
      <c r="L32" s="553">
        <f t="shared" si="0"/>
        <v>4487.5695999999998</v>
      </c>
      <c r="M32" s="553"/>
      <c r="N32" s="575"/>
      <c r="O32" s="575"/>
      <c r="P32" s="575"/>
      <c r="Q32" s="575"/>
      <c r="R32" s="575"/>
      <c r="S32" s="575"/>
    </row>
    <row r="33" spans="1:19" ht="15.75">
      <c r="A33" s="38" t="s">
        <v>1344</v>
      </c>
      <c r="B33" s="553"/>
      <c r="C33" s="553"/>
      <c r="D33" s="553"/>
      <c r="E33" s="553"/>
      <c r="F33" s="553"/>
      <c r="G33" s="553">
        <f>+'Health &amp; Welfare'!$H$9+'Health &amp; Welfare'!$H$11</f>
        <v>26116.799999999945</v>
      </c>
      <c r="H33" s="553"/>
      <c r="I33" s="553"/>
      <c r="J33" s="553"/>
      <c r="K33" s="553"/>
      <c r="L33" s="553">
        <f t="shared" si="0"/>
        <v>26116.799999999945</v>
      </c>
      <c r="M33" s="553"/>
      <c r="N33" s="553"/>
      <c r="O33" s="553"/>
      <c r="P33" s="553"/>
      <c r="Q33" s="553"/>
      <c r="R33" s="553"/>
      <c r="S33" s="553"/>
    </row>
    <row r="34" spans="1:19" ht="15.75">
      <c r="A34" s="589" t="s">
        <v>445</v>
      </c>
      <c r="B34" s="553"/>
      <c r="C34" s="553"/>
      <c r="D34" s="553"/>
      <c r="E34" s="553"/>
      <c r="F34" s="553"/>
      <c r="G34" s="553"/>
      <c r="H34" s="553"/>
      <c r="I34" s="553"/>
      <c r="J34" s="553"/>
      <c r="K34" s="553"/>
      <c r="L34" s="553">
        <f t="shared" si="0"/>
        <v>0</v>
      </c>
      <c r="M34" s="553"/>
      <c r="N34" s="553"/>
      <c r="O34" s="553"/>
      <c r="P34" s="553"/>
      <c r="Q34" s="553"/>
      <c r="R34" s="553"/>
      <c r="S34" s="553"/>
    </row>
    <row r="35" spans="1:19" ht="15.75">
      <c r="A35" s="589" t="s">
        <v>480</v>
      </c>
      <c r="B35" s="553"/>
      <c r="C35" s="553"/>
      <c r="D35" s="553"/>
      <c r="E35" s="553"/>
      <c r="F35" s="553"/>
      <c r="G35" s="553"/>
      <c r="H35" s="553"/>
      <c r="I35" s="553"/>
      <c r="J35" s="553"/>
      <c r="K35" s="553"/>
      <c r="L35" s="553">
        <f t="shared" si="0"/>
        <v>0</v>
      </c>
      <c r="M35" s="553"/>
      <c r="N35" s="553"/>
      <c r="O35" s="553"/>
      <c r="P35" s="553"/>
      <c r="Q35" s="553"/>
      <c r="R35" s="553"/>
      <c r="S35" s="553"/>
    </row>
    <row r="36" spans="1:19" ht="15.75">
      <c r="A36" s="589" t="s">
        <v>446</v>
      </c>
      <c r="B36" s="553"/>
      <c r="C36" s="553"/>
      <c r="D36" s="553"/>
      <c r="E36" s="553"/>
      <c r="F36" s="553"/>
      <c r="G36" s="553"/>
      <c r="H36" s="553"/>
      <c r="I36" s="553"/>
      <c r="J36" s="553"/>
      <c r="K36" s="553"/>
      <c r="L36" s="553">
        <f t="shared" si="0"/>
        <v>0</v>
      </c>
      <c r="M36" s="553"/>
      <c r="N36" s="553"/>
      <c r="O36" s="553"/>
      <c r="P36" s="553"/>
      <c r="Q36" s="553"/>
      <c r="R36" s="553"/>
      <c r="S36" s="553"/>
    </row>
    <row r="37" spans="1:19" ht="15.75">
      <c r="A37" s="589" t="s">
        <v>447</v>
      </c>
      <c r="B37" s="553"/>
      <c r="C37" s="553"/>
      <c r="D37" s="553"/>
      <c r="E37" s="553"/>
      <c r="F37" s="553"/>
      <c r="G37" s="553"/>
      <c r="H37" s="553"/>
      <c r="I37" s="553"/>
      <c r="J37" s="553"/>
      <c r="K37" s="553"/>
      <c r="L37" s="553">
        <f t="shared" si="0"/>
        <v>0</v>
      </c>
      <c r="M37" s="553"/>
      <c r="N37" s="553"/>
      <c r="O37" s="553"/>
      <c r="P37" s="553"/>
      <c r="Q37" s="553"/>
      <c r="R37" s="553"/>
      <c r="S37" s="553"/>
    </row>
    <row r="38" spans="1:19" ht="15.75">
      <c r="A38" s="589" t="s">
        <v>448</v>
      </c>
      <c r="B38" s="553"/>
      <c r="C38" s="553"/>
      <c r="D38" s="553"/>
      <c r="E38" s="553"/>
      <c r="F38" s="553"/>
      <c r="G38" s="553"/>
      <c r="H38" s="553"/>
      <c r="I38" s="553"/>
      <c r="J38" s="553"/>
      <c r="K38" s="553"/>
      <c r="L38" s="553">
        <f t="shared" si="0"/>
        <v>0</v>
      </c>
      <c r="M38" s="553"/>
      <c r="N38" s="553"/>
      <c r="O38" s="553"/>
      <c r="P38" s="553"/>
      <c r="Q38" s="553"/>
      <c r="R38" s="553"/>
      <c r="S38" s="553"/>
    </row>
    <row r="39" spans="1:19" ht="15.75">
      <c r="A39" s="589" t="s">
        <v>449</v>
      </c>
      <c r="B39" s="553"/>
      <c r="C39" s="553"/>
      <c r="D39" s="553"/>
      <c r="E39" s="553"/>
      <c r="F39" s="553"/>
      <c r="G39" s="553"/>
      <c r="H39" s="553"/>
      <c r="I39" s="553"/>
      <c r="J39" s="553"/>
      <c r="K39" s="553"/>
      <c r="L39" s="553">
        <f t="shared" si="0"/>
        <v>0</v>
      </c>
      <c r="M39" s="553"/>
      <c r="N39" s="553"/>
      <c r="O39" s="553"/>
      <c r="P39" s="553"/>
      <c r="Q39" s="553"/>
      <c r="R39" s="553"/>
      <c r="S39" s="553"/>
    </row>
    <row r="40" spans="1:19" ht="15.75">
      <c r="A40" s="589" t="s">
        <v>450</v>
      </c>
      <c r="B40" s="553"/>
      <c r="C40" s="553"/>
      <c r="D40" s="553"/>
      <c r="E40" s="553"/>
      <c r="F40" s="553"/>
      <c r="G40" s="553"/>
      <c r="H40" s="553"/>
      <c r="I40" s="553"/>
      <c r="J40" s="553"/>
      <c r="K40" s="553"/>
      <c r="L40" s="553">
        <f t="shared" si="0"/>
        <v>0</v>
      </c>
      <c r="M40" s="553"/>
      <c r="N40" s="553"/>
      <c r="O40" s="553"/>
      <c r="P40" s="553"/>
      <c r="Q40" s="553"/>
      <c r="R40" s="553"/>
      <c r="S40" s="553"/>
    </row>
    <row r="41" spans="1:19" ht="15.75">
      <c r="A41" s="589" t="s">
        <v>451</v>
      </c>
      <c r="B41" s="553"/>
      <c r="C41" s="553"/>
      <c r="D41" s="553"/>
      <c r="E41" s="553"/>
      <c r="F41" s="553"/>
      <c r="G41" s="553"/>
      <c r="H41" s="553"/>
      <c r="I41" s="553"/>
      <c r="J41" s="553"/>
      <c r="K41" s="553"/>
      <c r="L41" s="553">
        <f t="shared" si="0"/>
        <v>0</v>
      </c>
      <c r="M41" s="553"/>
      <c r="N41" s="553"/>
      <c r="O41" s="553"/>
      <c r="P41" s="553"/>
      <c r="Q41" s="553"/>
      <c r="R41" s="553"/>
      <c r="S41" s="553"/>
    </row>
    <row r="42" spans="1:19" ht="15.75">
      <c r="A42" s="589" t="s">
        <v>452</v>
      </c>
      <c r="B42" s="553"/>
      <c r="C42" s="553"/>
      <c r="D42" s="553">
        <f>+'Payroll Summary'!M44-'Payroll Summary'!D44</f>
        <v>2030.0000000000291</v>
      </c>
      <c r="E42" s="553"/>
      <c r="F42" s="553"/>
      <c r="G42" s="553"/>
      <c r="H42" s="553"/>
      <c r="I42" s="553"/>
      <c r="J42" s="553"/>
      <c r="K42" s="553"/>
      <c r="L42" s="553">
        <f t="shared" si="0"/>
        <v>2030.0000000000291</v>
      </c>
      <c r="M42" s="553"/>
      <c r="N42" s="553"/>
      <c r="O42" s="553"/>
      <c r="P42" s="553"/>
      <c r="Q42" s="553"/>
      <c r="R42" s="553"/>
      <c r="S42" s="553"/>
    </row>
    <row r="43" spans="1:19" ht="15.75">
      <c r="A43" s="589" t="s">
        <v>453</v>
      </c>
      <c r="B43" s="553"/>
      <c r="C43" s="553"/>
      <c r="D43" s="553">
        <f>+'Payroll Summary'!M56-'Payroll Summary'!D56</f>
        <v>-983.46000000002095</v>
      </c>
      <c r="E43" s="553"/>
      <c r="F43" s="553"/>
      <c r="G43" s="553"/>
      <c r="H43" s="553"/>
      <c r="I43" s="553"/>
      <c r="J43" s="553"/>
      <c r="K43" s="553"/>
      <c r="L43" s="553">
        <f t="shared" si="0"/>
        <v>-983.46000000002095</v>
      </c>
      <c r="M43" s="553"/>
      <c r="N43" s="553"/>
      <c r="O43" s="553"/>
      <c r="P43" s="553"/>
      <c r="Q43" s="553"/>
      <c r="R43" s="553"/>
      <c r="S43" s="553"/>
    </row>
    <row r="44" spans="1:19" ht="15.75">
      <c r="A44" s="589" t="s">
        <v>454</v>
      </c>
      <c r="B44" s="553"/>
      <c r="C44" s="553"/>
      <c r="D44" s="553"/>
      <c r="E44" s="553"/>
      <c r="F44" s="553"/>
      <c r="G44" s="553"/>
      <c r="H44" s="553"/>
      <c r="I44" s="553">
        <f>+'Rate Case Costs'!E37</f>
        <v>9351.9</v>
      </c>
      <c r="J44" s="553"/>
      <c r="K44" s="553"/>
      <c r="L44" s="553">
        <f t="shared" si="0"/>
        <v>9351.9</v>
      </c>
      <c r="M44" s="553"/>
      <c r="N44" s="553"/>
      <c r="O44" s="553"/>
      <c r="P44" s="553"/>
      <c r="Q44" s="553"/>
      <c r="R44" s="553"/>
      <c r="S44" s="553"/>
    </row>
    <row r="45" spans="1:19" ht="15.75">
      <c r="A45" s="589" t="s">
        <v>455</v>
      </c>
      <c r="B45" s="553"/>
      <c r="C45" s="553"/>
      <c r="D45" s="553"/>
      <c r="E45" s="553"/>
      <c r="F45" s="553"/>
      <c r="G45" s="553"/>
      <c r="H45" s="553"/>
      <c r="I45" s="553"/>
      <c r="J45" s="553"/>
      <c r="K45" s="553"/>
      <c r="L45" s="553">
        <f t="shared" si="0"/>
        <v>0</v>
      </c>
      <c r="M45" s="553"/>
      <c r="N45" s="553"/>
      <c r="O45" s="553"/>
      <c r="P45" s="553"/>
      <c r="Q45" s="553"/>
      <c r="R45" s="553"/>
      <c r="S45" s="553"/>
    </row>
    <row r="46" spans="1:19" ht="15.75">
      <c r="A46" s="589" t="s">
        <v>456</v>
      </c>
      <c r="B46" s="553"/>
      <c r="C46" s="553"/>
      <c r="D46" s="553"/>
      <c r="E46" s="553"/>
      <c r="F46" s="553"/>
      <c r="G46" s="553"/>
      <c r="H46" s="553"/>
      <c r="I46" s="553">
        <f>+'Rate Case Costs'!E25</f>
        <v>19402.165000000001</v>
      </c>
      <c r="J46" s="553"/>
      <c r="K46" s="553"/>
      <c r="L46" s="553">
        <f t="shared" si="0"/>
        <v>19402.165000000001</v>
      </c>
      <c r="M46" s="553"/>
      <c r="N46" s="553"/>
      <c r="O46" s="553"/>
      <c r="P46" s="553"/>
      <c r="Q46" s="553"/>
      <c r="R46" s="553"/>
      <c r="S46" s="553"/>
    </row>
    <row r="47" spans="1:19" ht="15.75">
      <c r="A47" s="589" t="s">
        <v>481</v>
      </c>
      <c r="B47" s="553"/>
      <c r="C47" s="553"/>
      <c r="D47" s="553"/>
      <c r="E47" s="553"/>
      <c r="F47" s="553"/>
      <c r="G47" s="553"/>
      <c r="H47" s="553"/>
      <c r="I47" s="553"/>
      <c r="J47" s="553"/>
      <c r="K47" s="553"/>
      <c r="L47" s="553">
        <f t="shared" si="0"/>
        <v>0</v>
      </c>
      <c r="M47" s="553"/>
      <c r="N47" s="553"/>
      <c r="O47" s="553"/>
      <c r="P47" s="553"/>
      <c r="Q47" s="553"/>
      <c r="R47" s="553"/>
      <c r="S47" s="553"/>
    </row>
    <row r="48" spans="1:19" ht="15.75">
      <c r="A48" s="589" t="s">
        <v>457</v>
      </c>
      <c r="B48" s="553"/>
      <c r="C48" s="553"/>
      <c r="D48" s="553"/>
      <c r="E48" s="553"/>
      <c r="F48" s="553">
        <f>+'Pension Admin Ledger'!W14</f>
        <v>2135.7379999999976</v>
      </c>
      <c r="G48" s="553"/>
      <c r="H48" s="553"/>
      <c r="I48" s="553"/>
      <c r="J48" s="553"/>
      <c r="K48" s="553"/>
      <c r="L48" s="553">
        <f t="shared" si="0"/>
        <v>2135.7379999999976</v>
      </c>
      <c r="M48" s="553"/>
      <c r="N48" s="553"/>
      <c r="O48" s="553"/>
      <c r="P48" s="553"/>
      <c r="Q48" s="553"/>
      <c r="R48" s="553"/>
      <c r="S48" s="553"/>
    </row>
    <row r="49" spans="1:19" ht="15.75">
      <c r="A49" s="586" t="s">
        <v>458</v>
      </c>
      <c r="B49" s="553"/>
      <c r="C49" s="553"/>
      <c r="D49" s="553"/>
      <c r="E49" s="553"/>
      <c r="F49" s="553"/>
      <c r="G49" s="553">
        <f>+'Health &amp; Welfare'!$H$12</f>
        <v>4972.7999999999956</v>
      </c>
      <c r="H49" s="553"/>
      <c r="I49" s="553"/>
      <c r="J49" s="553"/>
      <c r="K49" s="553"/>
      <c r="L49" s="553">
        <f t="shared" si="0"/>
        <v>4972.7999999999956</v>
      </c>
      <c r="M49" s="553"/>
      <c r="N49" s="553"/>
      <c r="O49" s="553"/>
      <c r="P49" s="553"/>
      <c r="Q49" s="553"/>
      <c r="R49" s="553"/>
      <c r="S49" s="553"/>
    </row>
    <row r="50" spans="1:19" ht="15.75">
      <c r="A50" s="589" t="s">
        <v>459</v>
      </c>
      <c r="B50" s="553"/>
      <c r="C50" s="553"/>
      <c r="D50" s="553"/>
      <c r="E50" s="553">
        <f>+'Pension Recycle'!H7+'Pension Garbage'!H7</f>
        <v>32528.839799999994</v>
      </c>
      <c r="F50" s="553"/>
      <c r="G50" s="553"/>
      <c r="H50" s="553"/>
      <c r="I50" s="553"/>
      <c r="J50" s="553"/>
      <c r="K50" s="553"/>
      <c r="L50" s="553">
        <f t="shared" si="0"/>
        <v>32528.839799999994</v>
      </c>
      <c r="M50" s="553"/>
      <c r="N50" s="553"/>
      <c r="O50" s="553"/>
      <c r="P50" s="553"/>
      <c r="Q50" s="553"/>
      <c r="R50" s="553"/>
      <c r="S50" s="553"/>
    </row>
    <row r="51" spans="1:19" ht="15.75">
      <c r="A51" s="589" t="s">
        <v>460</v>
      </c>
      <c r="B51" s="553"/>
      <c r="C51" s="553"/>
      <c r="D51" s="553"/>
      <c r="E51" s="553"/>
      <c r="F51" s="553"/>
      <c r="G51" s="553"/>
      <c r="H51" s="553"/>
      <c r="I51" s="553"/>
      <c r="J51" s="553"/>
      <c r="K51" s="553"/>
      <c r="L51" s="553">
        <f t="shared" si="0"/>
        <v>0</v>
      </c>
      <c r="M51" s="553"/>
      <c r="N51" s="553"/>
      <c r="O51" s="553"/>
      <c r="P51" s="553"/>
      <c r="Q51" s="553"/>
      <c r="R51" s="553"/>
      <c r="S51" s="553"/>
    </row>
    <row r="52" spans="1:19" ht="15.75">
      <c r="A52" s="589" t="s">
        <v>461</v>
      </c>
      <c r="B52" s="553"/>
      <c r="C52" s="553"/>
      <c r="D52" s="553"/>
      <c r="E52" s="553"/>
      <c r="F52" s="553"/>
      <c r="G52" s="553"/>
      <c r="H52" s="553"/>
      <c r="I52" s="553"/>
      <c r="J52" s="553"/>
      <c r="K52" s="553"/>
      <c r="L52" s="553">
        <f t="shared" si="0"/>
        <v>0</v>
      </c>
      <c r="M52" s="553"/>
      <c r="N52" s="553"/>
      <c r="O52" s="553"/>
      <c r="P52" s="553"/>
      <c r="Q52" s="553"/>
      <c r="R52" s="553"/>
      <c r="S52" s="553"/>
    </row>
    <row r="53" spans="1:19" ht="15.75">
      <c r="A53" s="589" t="s">
        <v>462</v>
      </c>
      <c r="B53" s="553"/>
      <c r="C53" s="553"/>
      <c r="D53" s="553"/>
      <c r="E53" s="553"/>
      <c r="F53" s="553"/>
      <c r="G53" s="553"/>
      <c r="H53" s="553"/>
      <c r="I53" s="553"/>
      <c r="J53" s="553"/>
      <c r="K53" s="553"/>
      <c r="L53" s="553">
        <f t="shared" si="0"/>
        <v>0</v>
      </c>
      <c r="M53" s="553"/>
      <c r="N53" s="553"/>
      <c r="O53" s="553"/>
      <c r="P53" s="553"/>
      <c r="Q53" s="553"/>
      <c r="R53" s="553"/>
      <c r="S53" s="553"/>
    </row>
    <row r="54" spans="1:19" ht="15.75">
      <c r="A54" s="589" t="s">
        <v>463</v>
      </c>
      <c r="B54" s="553"/>
      <c r="C54" s="553"/>
      <c r="D54" s="553"/>
      <c r="E54" s="553"/>
      <c r="F54" s="553"/>
      <c r="G54" s="553"/>
      <c r="H54" s="553"/>
      <c r="I54" s="553"/>
      <c r="J54" s="553"/>
      <c r="K54" s="553"/>
      <c r="L54" s="553">
        <f t="shared" si="0"/>
        <v>0</v>
      </c>
      <c r="M54" s="553"/>
      <c r="N54" s="553"/>
      <c r="O54" s="553"/>
      <c r="P54" s="553"/>
      <c r="Q54" s="553"/>
      <c r="R54" s="553"/>
      <c r="S54" s="553"/>
    </row>
    <row r="55" spans="1:19" ht="15.75">
      <c r="A55" s="587" t="s">
        <v>464</v>
      </c>
      <c r="B55" s="553"/>
      <c r="C55" s="553"/>
      <c r="D55" s="553"/>
      <c r="E55" s="553"/>
      <c r="F55" s="553"/>
      <c r="G55" s="553"/>
      <c r="H55" s="553"/>
      <c r="I55" s="553"/>
      <c r="J55" s="553"/>
      <c r="K55" s="553"/>
      <c r="L55" s="553">
        <f t="shared" si="0"/>
        <v>0</v>
      </c>
      <c r="M55" s="553"/>
      <c r="N55" s="553"/>
      <c r="O55" s="553"/>
      <c r="P55" s="553"/>
      <c r="Q55" s="553"/>
      <c r="R55" s="553"/>
      <c r="S55" s="553"/>
    </row>
    <row r="56" spans="1:19" ht="15.75">
      <c r="A56" s="587" t="s">
        <v>479</v>
      </c>
      <c r="B56" s="553"/>
      <c r="C56" s="553"/>
      <c r="D56" s="553"/>
      <c r="E56" s="553"/>
      <c r="F56" s="553"/>
      <c r="G56" s="553"/>
      <c r="H56" s="553"/>
      <c r="I56" s="553"/>
      <c r="J56" s="553"/>
      <c r="K56" s="553"/>
      <c r="L56" s="553">
        <f t="shared" si="0"/>
        <v>0</v>
      </c>
      <c r="M56" s="553"/>
      <c r="N56" s="553"/>
      <c r="O56" s="553"/>
      <c r="P56" s="553"/>
      <c r="Q56" s="553"/>
      <c r="R56" s="553"/>
      <c r="S56" s="553"/>
    </row>
    <row r="57" spans="1:19" ht="15.75">
      <c r="A57" s="589" t="s">
        <v>465</v>
      </c>
      <c r="B57" s="553"/>
      <c r="C57" s="553"/>
      <c r="D57" s="553"/>
      <c r="E57" s="553"/>
      <c r="F57" s="553"/>
      <c r="G57" s="553"/>
      <c r="H57" s="553"/>
      <c r="I57" s="553"/>
      <c r="J57" s="553"/>
      <c r="K57" s="553"/>
      <c r="L57" s="553">
        <f t="shared" si="0"/>
        <v>0</v>
      </c>
      <c r="M57" s="553"/>
      <c r="N57" s="553"/>
      <c r="O57" s="553"/>
      <c r="P57" s="553"/>
      <c r="Q57" s="553"/>
      <c r="R57" s="553"/>
      <c r="S57" s="553"/>
    </row>
    <row r="58" spans="1:19" ht="15.75">
      <c r="A58" s="589" t="s">
        <v>466</v>
      </c>
      <c r="B58" s="553"/>
      <c r="C58" s="553"/>
      <c r="D58" s="553"/>
      <c r="E58" s="553"/>
      <c r="F58" s="553"/>
      <c r="G58" s="553"/>
      <c r="H58" s="553"/>
      <c r="I58" s="553"/>
      <c r="J58" s="553"/>
      <c r="K58" s="553"/>
      <c r="L58" s="553">
        <f t="shared" si="0"/>
        <v>0</v>
      </c>
      <c r="M58" s="553"/>
      <c r="N58" s="553"/>
      <c r="O58" s="553"/>
      <c r="P58" s="553"/>
      <c r="Q58" s="553"/>
      <c r="R58" s="553"/>
      <c r="S58" s="553"/>
    </row>
    <row r="59" spans="1:19" ht="15.75">
      <c r="A59" s="589" t="s">
        <v>467</v>
      </c>
      <c r="B59" s="553"/>
      <c r="C59" s="553"/>
      <c r="D59" s="553"/>
      <c r="E59" s="553"/>
      <c r="F59" s="553"/>
      <c r="G59" s="553"/>
      <c r="H59" s="553"/>
      <c r="I59" s="553"/>
      <c r="J59" s="553"/>
      <c r="K59" s="553"/>
      <c r="L59" s="553">
        <f t="shared" si="0"/>
        <v>0</v>
      </c>
      <c r="M59" s="553"/>
      <c r="N59" s="553"/>
      <c r="O59" s="553"/>
      <c r="P59" s="553"/>
      <c r="Q59" s="553"/>
      <c r="R59" s="553"/>
      <c r="S59" s="553"/>
    </row>
    <row r="60" spans="1:19" ht="15.75">
      <c r="A60" s="589" t="s">
        <v>468</v>
      </c>
      <c r="B60" s="627"/>
      <c r="C60" s="627"/>
      <c r="D60" s="627"/>
      <c r="E60" s="627"/>
      <c r="F60" s="627"/>
      <c r="G60" s="627"/>
      <c r="H60" s="627"/>
      <c r="I60" s="627"/>
      <c r="J60" s="627"/>
      <c r="K60" s="627"/>
      <c r="L60" s="553">
        <f t="shared" si="0"/>
        <v>0</v>
      </c>
      <c r="M60" s="553"/>
      <c r="N60" s="553"/>
      <c r="O60" s="553"/>
      <c r="P60" s="553"/>
      <c r="Q60" s="553"/>
      <c r="R60" s="553"/>
      <c r="S60" s="553"/>
    </row>
    <row r="61" spans="1:19" ht="15.75">
      <c r="A61" s="589" t="s">
        <v>469</v>
      </c>
      <c r="B61" s="628">
        <f>SUM(B23:B60)</f>
        <v>-13313.540900000604</v>
      </c>
      <c r="C61" s="628">
        <f t="shared" ref="C61:L61" si="2">SUM(C23:C60)</f>
        <v>52354.810600000201</v>
      </c>
      <c r="D61" s="628">
        <f t="shared" si="2"/>
        <v>1046.5400000000081</v>
      </c>
      <c r="E61" s="628">
        <f t="shared" si="2"/>
        <v>32528.839799999994</v>
      </c>
      <c r="F61" s="628">
        <f t="shared" si="2"/>
        <v>2135.7379999999976</v>
      </c>
      <c r="G61" s="628">
        <f t="shared" si="2"/>
        <v>31089.59999999994</v>
      </c>
      <c r="H61" s="628">
        <f t="shared" si="2"/>
        <v>4487.5695999999998</v>
      </c>
      <c r="I61" s="628">
        <f t="shared" si="2"/>
        <v>28754.065000000002</v>
      </c>
      <c r="J61" s="628">
        <f t="shared" si="2"/>
        <v>-45620.563999999998</v>
      </c>
      <c r="K61" s="628">
        <f t="shared" si="2"/>
        <v>216259.4</v>
      </c>
      <c r="L61" s="628">
        <f t="shared" si="2"/>
        <v>309722.45809999952</v>
      </c>
      <c r="M61" s="553"/>
      <c r="N61" s="553"/>
      <c r="O61" s="553"/>
      <c r="P61" s="553"/>
      <c r="Q61" s="553"/>
      <c r="R61" s="553"/>
      <c r="S61" s="553"/>
    </row>
    <row r="62" spans="1:19" ht="15.75">
      <c r="A62" s="589" t="s">
        <v>470</v>
      </c>
      <c r="B62" s="553">
        <f>+B21+B61</f>
        <v>-13313.540900000604</v>
      </c>
      <c r="C62" s="553">
        <f t="shared" ref="C62:K62" si="3">+C21+C61</f>
        <v>52354.810600000201</v>
      </c>
      <c r="D62" s="553">
        <f t="shared" si="3"/>
        <v>1046.5400000000081</v>
      </c>
      <c r="E62" s="553">
        <f t="shared" si="3"/>
        <v>32528.839799999994</v>
      </c>
      <c r="F62" s="553">
        <f t="shared" si="3"/>
        <v>2135.7379999999976</v>
      </c>
      <c r="G62" s="553">
        <f t="shared" si="3"/>
        <v>31089.59999999994</v>
      </c>
      <c r="H62" s="553">
        <f t="shared" si="3"/>
        <v>4487.5695999999998</v>
      </c>
      <c r="I62" s="553">
        <f t="shared" si="3"/>
        <v>28754.065000000002</v>
      </c>
      <c r="J62" s="553">
        <f>+J21-J61</f>
        <v>-89133.436000000002</v>
      </c>
      <c r="K62" s="553">
        <f t="shared" si="3"/>
        <v>216259.4</v>
      </c>
      <c r="L62" s="553">
        <f>+L21-L61</f>
        <v>-444476.45809999952</v>
      </c>
      <c r="M62" s="553">
        <f>SUM(B62:K62)</f>
        <v>266209.58609999949</v>
      </c>
      <c r="N62" s="553"/>
      <c r="O62" s="553"/>
      <c r="P62" s="553"/>
      <c r="Q62" s="553"/>
      <c r="R62" s="553"/>
      <c r="S62" s="553"/>
    </row>
    <row r="63" spans="1:19" ht="15.75">
      <c r="A63" s="589"/>
      <c r="B63" s="553"/>
      <c r="C63" s="553"/>
      <c r="D63" s="553"/>
      <c r="E63" s="553"/>
      <c r="F63" s="553"/>
      <c r="G63" s="553"/>
      <c r="H63" s="553"/>
      <c r="I63" s="553"/>
      <c r="J63" s="553"/>
      <c r="K63" s="553"/>
      <c r="L63" s="553"/>
      <c r="M63" s="553"/>
      <c r="N63" s="553"/>
      <c r="O63" s="553"/>
      <c r="P63" s="553"/>
      <c r="Q63" s="553"/>
      <c r="R63" s="553"/>
      <c r="S63" s="553"/>
    </row>
    <row r="64" spans="1:19" ht="15.75">
      <c r="A64" s="589" t="s">
        <v>471</v>
      </c>
      <c r="B64" s="553"/>
      <c r="C64" s="553"/>
      <c r="D64" s="553"/>
      <c r="E64" s="553"/>
      <c r="F64" s="553"/>
      <c r="G64" s="553"/>
      <c r="H64" s="553"/>
      <c r="I64" s="553"/>
      <c r="J64" s="553"/>
      <c r="K64" s="553"/>
      <c r="L64" s="553"/>
      <c r="M64" s="553"/>
      <c r="N64" s="553"/>
      <c r="O64" s="553"/>
      <c r="P64" s="553"/>
      <c r="Q64" s="553"/>
      <c r="R64" s="553"/>
      <c r="S64" s="553"/>
    </row>
    <row r="65" spans="1:19" ht="15.75">
      <c r="A65" s="589" t="s">
        <v>472</v>
      </c>
      <c r="B65" s="553"/>
      <c r="C65" s="553"/>
      <c r="D65" s="553"/>
      <c r="E65" s="553"/>
      <c r="F65" s="553"/>
      <c r="G65" s="553"/>
      <c r="H65" s="553"/>
      <c r="I65" s="553"/>
      <c r="J65" s="553"/>
      <c r="K65" s="553"/>
      <c r="L65" s="553"/>
      <c r="M65" s="553"/>
      <c r="N65" s="553"/>
      <c r="O65" s="553"/>
      <c r="P65" s="553"/>
      <c r="Q65" s="553"/>
      <c r="R65" s="553"/>
      <c r="S65" s="553"/>
    </row>
    <row r="66" spans="1:19" ht="15.75">
      <c r="A66" s="589" t="s">
        <v>473</v>
      </c>
      <c r="B66" s="553"/>
      <c r="C66" s="553"/>
      <c r="D66" s="553"/>
      <c r="E66" s="553"/>
      <c r="F66" s="553"/>
      <c r="G66" s="553"/>
      <c r="H66" s="553"/>
      <c r="I66" s="553"/>
      <c r="J66" s="553"/>
      <c r="K66" s="553"/>
      <c r="L66" s="553"/>
      <c r="M66" s="553"/>
      <c r="N66" s="553"/>
      <c r="O66" s="553"/>
      <c r="P66" s="553"/>
      <c r="Q66" s="553"/>
      <c r="R66" s="553"/>
      <c r="S66" s="553"/>
    </row>
    <row r="67" spans="1:19" ht="15.75">
      <c r="A67" s="589" t="s">
        <v>474</v>
      </c>
      <c r="B67" s="553"/>
      <c r="C67" s="553"/>
      <c r="D67" s="553"/>
      <c r="E67" s="553"/>
      <c r="F67" s="553"/>
      <c r="G67" s="553"/>
      <c r="H67" s="553"/>
      <c r="I67" s="553"/>
      <c r="J67" s="553"/>
      <c r="K67" s="553"/>
      <c r="L67" s="553"/>
      <c r="M67" s="553"/>
      <c r="N67" s="553"/>
      <c r="O67" s="553"/>
      <c r="P67" s="553"/>
      <c r="Q67" s="553"/>
      <c r="R67" s="553"/>
      <c r="S67" s="553"/>
    </row>
    <row r="68" spans="1:19" ht="15.75">
      <c r="A68" s="589" t="s">
        <v>475</v>
      </c>
      <c r="B68" s="553"/>
      <c r="C68" s="553"/>
      <c r="D68" s="553"/>
      <c r="E68" s="553"/>
      <c r="F68" s="553"/>
      <c r="G68" s="553"/>
      <c r="H68" s="553"/>
      <c r="I68" s="553"/>
      <c r="J68" s="553"/>
      <c r="K68" s="553"/>
      <c r="L68" s="553"/>
      <c r="M68" s="553"/>
      <c r="N68" s="553"/>
      <c r="O68" s="553"/>
      <c r="P68" s="553"/>
      <c r="Q68" s="553"/>
      <c r="R68" s="553"/>
      <c r="S68" s="553"/>
    </row>
    <row r="69" spans="1:19" ht="15.75">
      <c r="A69" s="589" t="s">
        <v>476</v>
      </c>
      <c r="B69" s="627"/>
      <c r="C69" s="627"/>
      <c r="D69" s="627"/>
      <c r="E69" s="627"/>
      <c r="F69" s="627"/>
      <c r="G69" s="627"/>
      <c r="H69" s="627"/>
      <c r="I69" s="627"/>
      <c r="J69" s="627"/>
      <c r="K69" s="627"/>
      <c r="L69" s="627"/>
      <c r="M69" s="553"/>
      <c r="N69" s="553"/>
      <c r="O69" s="553"/>
      <c r="P69" s="553"/>
      <c r="Q69" s="553"/>
      <c r="R69" s="553"/>
      <c r="S69" s="553"/>
    </row>
    <row r="70" spans="1:19" ht="15.75">
      <c r="A70" s="589" t="s">
        <v>477</v>
      </c>
      <c r="B70" s="628"/>
      <c r="C70" s="628"/>
      <c r="D70" s="628"/>
      <c r="E70" s="628"/>
      <c r="F70" s="628"/>
      <c r="G70" s="628"/>
      <c r="H70" s="628"/>
      <c r="I70" s="628"/>
      <c r="J70" s="628"/>
      <c r="K70" s="628"/>
      <c r="L70" s="628"/>
      <c r="M70" s="553"/>
      <c r="N70" s="553"/>
      <c r="O70" s="553"/>
      <c r="P70" s="553"/>
      <c r="Q70" s="553"/>
      <c r="R70" s="553"/>
      <c r="S70" s="553"/>
    </row>
    <row r="71" spans="1:19" ht="15.75">
      <c r="A71" s="589"/>
      <c r="B71" s="553"/>
      <c r="C71" s="553"/>
      <c r="D71" s="553"/>
      <c r="E71" s="553"/>
      <c r="F71" s="553"/>
      <c r="G71" s="553"/>
      <c r="H71" s="553"/>
      <c r="I71" s="553"/>
      <c r="J71" s="553"/>
      <c r="K71" s="553"/>
      <c r="L71" s="553"/>
      <c r="M71" s="553"/>
      <c r="N71" s="553"/>
      <c r="O71" s="553"/>
      <c r="P71" s="553"/>
      <c r="Q71" s="553"/>
      <c r="R71" s="553"/>
      <c r="S71" s="553"/>
    </row>
    <row r="72" spans="1:19" ht="15.75">
      <c r="A72" s="589" t="s">
        <v>112</v>
      </c>
      <c r="B72" s="553"/>
      <c r="C72" s="553"/>
      <c r="D72" s="553"/>
      <c r="E72" s="553"/>
      <c r="F72" s="553"/>
      <c r="G72" s="553"/>
      <c r="H72" s="553"/>
      <c r="I72" s="553"/>
      <c r="J72" s="553"/>
      <c r="K72" s="553"/>
      <c r="L72" s="553"/>
      <c r="M72" s="553"/>
      <c r="N72" s="553"/>
      <c r="O72" s="553"/>
      <c r="P72" s="553"/>
      <c r="Q72" s="553"/>
      <c r="R72" s="553"/>
      <c r="S72" s="553"/>
    </row>
    <row r="73" spans="1:19" ht="15.75">
      <c r="A73" s="589"/>
      <c r="B73" s="553"/>
      <c r="C73" s="553"/>
      <c r="D73" s="553"/>
      <c r="E73" s="553"/>
      <c r="F73" s="553"/>
      <c r="G73" s="553"/>
      <c r="H73" s="553"/>
      <c r="I73" s="553"/>
      <c r="J73" s="553"/>
      <c r="K73" s="553"/>
      <c r="L73" s="553"/>
      <c r="M73" s="553"/>
      <c r="N73" s="553"/>
      <c r="O73" s="553"/>
      <c r="P73" s="553"/>
      <c r="Q73" s="553"/>
      <c r="R73" s="553"/>
      <c r="S73" s="553"/>
    </row>
    <row r="74" spans="1:19" ht="15.75">
      <c r="A74" s="589"/>
      <c r="B74" s="553"/>
      <c r="C74" s="553"/>
      <c r="D74" s="553"/>
      <c r="E74" s="553"/>
      <c r="F74" s="553"/>
      <c r="G74" s="553"/>
      <c r="H74" s="553"/>
      <c r="I74" s="553"/>
      <c r="J74" s="553"/>
      <c r="K74" s="553"/>
      <c r="L74" s="553"/>
      <c r="M74" s="553"/>
      <c r="N74" s="553"/>
      <c r="O74" s="553"/>
      <c r="P74" s="553"/>
      <c r="Q74" s="553"/>
      <c r="R74" s="553"/>
      <c r="S74" s="553"/>
    </row>
    <row r="75" spans="1:19" ht="15.75">
      <c r="A75" s="589" t="s">
        <v>478</v>
      </c>
      <c r="B75" s="553"/>
      <c r="C75" s="553"/>
      <c r="D75" s="553"/>
      <c r="E75" s="553"/>
      <c r="F75" s="553"/>
      <c r="G75" s="553"/>
      <c r="H75" s="553"/>
      <c r="I75" s="553"/>
      <c r="J75" s="553"/>
      <c r="K75" s="553"/>
      <c r="L75" s="553"/>
      <c r="M75" s="553"/>
      <c r="N75" s="553"/>
      <c r="O75" s="553"/>
      <c r="P75" s="553"/>
      <c r="Q75" s="553"/>
      <c r="R75" s="553"/>
      <c r="S75" s="553"/>
    </row>
    <row r="76" spans="1:19" ht="15.75">
      <c r="A76" s="575"/>
      <c r="B76" s="553"/>
      <c r="C76" s="553"/>
      <c r="D76" s="553"/>
      <c r="E76" s="553"/>
      <c r="F76" s="553"/>
      <c r="G76" s="553"/>
      <c r="H76" s="553"/>
      <c r="I76" s="553"/>
      <c r="J76" s="553"/>
      <c r="K76" s="553"/>
      <c r="L76" s="553"/>
      <c r="M76" s="553"/>
      <c r="N76" s="553"/>
      <c r="O76" s="553"/>
      <c r="P76" s="553"/>
      <c r="Q76" s="553"/>
      <c r="R76" s="553"/>
      <c r="S76" s="553"/>
    </row>
    <row r="77" spans="1:19">
      <c r="B77" s="598"/>
      <c r="C77" s="598"/>
      <c r="D77" s="598"/>
      <c r="E77" s="598"/>
      <c r="F77" s="598"/>
      <c r="G77" s="598"/>
      <c r="H77" s="598"/>
      <c r="I77" s="598"/>
      <c r="J77" s="598"/>
      <c r="K77" s="598"/>
      <c r="L77" s="598"/>
      <c r="M77" s="598"/>
      <c r="N77" s="598"/>
      <c r="O77" s="598"/>
      <c r="P77" s="598"/>
      <c r="Q77" s="598"/>
      <c r="R77" s="598"/>
      <c r="S77" s="598"/>
    </row>
    <row r="78" spans="1:19">
      <c r="B78" s="598"/>
      <c r="C78" s="598"/>
      <c r="D78" s="598"/>
      <c r="E78" s="598"/>
      <c r="F78" s="598"/>
      <c r="G78" s="598"/>
      <c r="H78" s="598"/>
      <c r="I78" s="598"/>
      <c r="J78" s="598"/>
      <c r="K78" s="598"/>
      <c r="L78" s="598"/>
      <c r="M78" s="598"/>
      <c r="N78" s="598"/>
      <c r="O78" s="598"/>
      <c r="P78" s="598"/>
      <c r="Q78" s="598"/>
      <c r="R78" s="598"/>
      <c r="S78" s="598"/>
    </row>
    <row r="79" spans="1:19">
      <c r="B79" s="598"/>
      <c r="C79" s="598"/>
      <c r="D79" s="598"/>
      <c r="E79" s="598"/>
      <c r="F79" s="598"/>
      <c r="G79" s="598"/>
      <c r="H79" s="598"/>
      <c r="I79" s="598"/>
      <c r="J79" s="598"/>
      <c r="K79" s="598"/>
      <c r="L79" s="598"/>
      <c r="M79" s="598"/>
      <c r="N79" s="598"/>
      <c r="O79" s="598"/>
      <c r="P79" s="598"/>
      <c r="Q79" s="598"/>
      <c r="R79" s="598"/>
      <c r="S79" s="598"/>
    </row>
    <row r="80" spans="1:19">
      <c r="B80" s="598"/>
      <c r="C80" s="598"/>
      <c r="D80" s="598"/>
      <c r="E80" s="598"/>
      <c r="F80" s="598"/>
      <c r="G80" s="598"/>
      <c r="H80" s="598"/>
      <c r="I80" s="598"/>
      <c r="J80" s="598"/>
      <c r="K80" s="598"/>
      <c r="L80" s="598"/>
      <c r="M80" s="598"/>
      <c r="N80" s="598"/>
      <c r="O80" s="598"/>
      <c r="P80" s="598"/>
      <c r="Q80" s="598"/>
      <c r="R80" s="598"/>
      <c r="S80" s="598"/>
    </row>
    <row r="81" spans="2:19">
      <c r="B81" s="598"/>
      <c r="C81" s="598"/>
      <c r="D81" s="598"/>
      <c r="E81" s="598"/>
      <c r="F81" s="598"/>
      <c r="G81" s="598"/>
      <c r="H81" s="598"/>
      <c r="I81" s="598"/>
      <c r="J81" s="598"/>
      <c r="K81" s="598"/>
      <c r="L81" s="598"/>
      <c r="M81" s="598"/>
      <c r="N81" s="598"/>
      <c r="O81" s="598"/>
      <c r="P81" s="598"/>
      <c r="Q81" s="598"/>
      <c r="R81" s="598"/>
      <c r="S81" s="598"/>
    </row>
    <row r="82" spans="2:19">
      <c r="B82" s="598"/>
      <c r="C82" s="598"/>
      <c r="D82" s="598"/>
      <c r="E82" s="598"/>
      <c r="F82" s="598"/>
      <c r="G82" s="598"/>
      <c r="H82" s="598"/>
      <c r="I82" s="598"/>
      <c r="J82" s="598"/>
      <c r="K82" s="598"/>
      <c r="L82" s="598"/>
      <c r="M82" s="598"/>
      <c r="N82" s="598"/>
      <c r="O82" s="598"/>
      <c r="P82" s="598"/>
      <c r="Q82" s="598"/>
      <c r="R82" s="598"/>
      <c r="S82" s="598"/>
    </row>
    <row r="83" spans="2:19">
      <c r="B83" s="598"/>
      <c r="C83" s="598"/>
      <c r="D83" s="598"/>
      <c r="E83" s="598"/>
      <c r="F83" s="598"/>
      <c r="G83" s="598"/>
      <c r="H83" s="598"/>
      <c r="I83" s="598"/>
      <c r="J83" s="598"/>
      <c r="K83" s="598"/>
      <c r="L83" s="598"/>
      <c r="M83" s="598"/>
      <c r="N83" s="598"/>
      <c r="O83" s="598"/>
      <c r="P83" s="598"/>
      <c r="Q83" s="598"/>
      <c r="R83" s="598"/>
      <c r="S83" s="598"/>
    </row>
    <row r="84" spans="2:19">
      <c r="B84" s="598"/>
      <c r="C84" s="598"/>
      <c r="D84" s="598"/>
      <c r="E84" s="598"/>
      <c r="F84" s="598"/>
      <c r="G84" s="598"/>
      <c r="H84" s="598"/>
      <c r="I84" s="598"/>
      <c r="J84" s="598"/>
      <c r="K84" s="598"/>
      <c r="L84" s="598"/>
      <c r="M84" s="598"/>
      <c r="N84" s="598"/>
      <c r="O84" s="598"/>
      <c r="P84" s="598"/>
      <c r="Q84" s="598"/>
      <c r="R84" s="598"/>
      <c r="S84" s="598"/>
    </row>
    <row r="85" spans="2:19">
      <c r="B85" s="598"/>
      <c r="C85" s="598"/>
      <c r="D85" s="598"/>
      <c r="E85" s="598"/>
      <c r="F85" s="598"/>
      <c r="G85" s="598"/>
      <c r="H85" s="598"/>
      <c r="I85" s="598"/>
      <c r="J85" s="598"/>
      <c r="K85" s="598"/>
      <c r="L85" s="598"/>
      <c r="M85" s="598"/>
      <c r="N85" s="598"/>
      <c r="O85" s="598"/>
      <c r="P85" s="598"/>
      <c r="Q85" s="598"/>
      <c r="R85" s="598"/>
      <c r="S85" s="598"/>
    </row>
    <row r="86" spans="2:19">
      <c r="B86" s="598"/>
      <c r="C86" s="598"/>
      <c r="D86" s="598"/>
      <c r="E86" s="598"/>
      <c r="F86" s="598"/>
      <c r="G86" s="598"/>
      <c r="H86" s="598"/>
      <c r="I86" s="598"/>
      <c r="J86" s="598"/>
      <c r="K86" s="598"/>
      <c r="L86" s="598"/>
      <c r="M86" s="598"/>
      <c r="N86" s="598"/>
      <c r="O86" s="598"/>
      <c r="P86" s="598"/>
      <c r="Q86" s="598"/>
      <c r="R86" s="598"/>
      <c r="S86" s="598"/>
    </row>
    <row r="87" spans="2:19">
      <c r="B87" s="598"/>
      <c r="C87" s="598"/>
      <c r="D87" s="598"/>
      <c r="E87" s="598"/>
      <c r="F87" s="598"/>
      <c r="G87" s="598"/>
      <c r="H87" s="598"/>
      <c r="I87" s="598"/>
      <c r="J87" s="598"/>
      <c r="K87" s="598"/>
      <c r="L87" s="598"/>
      <c r="M87" s="598"/>
      <c r="N87" s="598"/>
      <c r="O87" s="598"/>
      <c r="P87" s="598"/>
      <c r="Q87" s="598"/>
      <c r="R87" s="598"/>
      <c r="S87" s="598"/>
    </row>
    <row r="88" spans="2:19">
      <c r="B88" s="598"/>
      <c r="C88" s="598"/>
      <c r="D88" s="598"/>
      <c r="E88" s="598"/>
      <c r="F88" s="598"/>
      <c r="G88" s="598"/>
      <c r="H88" s="598"/>
      <c r="I88" s="598"/>
      <c r="J88" s="598"/>
      <c r="K88" s="598"/>
      <c r="L88" s="598"/>
      <c r="M88" s="598"/>
      <c r="N88" s="598"/>
      <c r="O88" s="598"/>
      <c r="P88" s="598"/>
      <c r="Q88" s="598"/>
      <c r="R88" s="598"/>
      <c r="S88" s="598"/>
    </row>
    <row r="89" spans="2:19">
      <c r="B89" s="598"/>
      <c r="C89" s="598"/>
      <c r="D89" s="598"/>
      <c r="E89" s="598"/>
      <c r="F89" s="598"/>
      <c r="G89" s="598"/>
      <c r="H89" s="598"/>
      <c r="I89" s="598"/>
      <c r="J89" s="598"/>
      <c r="K89" s="598"/>
      <c r="L89" s="598"/>
      <c r="M89" s="598"/>
      <c r="N89" s="598"/>
      <c r="O89" s="598"/>
      <c r="P89" s="598"/>
      <c r="Q89" s="598"/>
      <c r="R89" s="598"/>
      <c r="S89" s="598"/>
    </row>
    <row r="90" spans="2:19">
      <c r="B90" s="598"/>
      <c r="C90" s="598"/>
      <c r="D90" s="598"/>
      <c r="E90" s="598"/>
      <c r="F90" s="598"/>
      <c r="G90" s="598"/>
      <c r="H90" s="598"/>
      <c r="I90" s="598"/>
      <c r="J90" s="598"/>
      <c r="K90" s="598"/>
      <c r="L90" s="598"/>
      <c r="M90" s="598"/>
      <c r="N90" s="598"/>
      <c r="O90" s="598"/>
      <c r="P90" s="598"/>
      <c r="Q90" s="598"/>
      <c r="R90" s="598"/>
      <c r="S90" s="598"/>
    </row>
    <row r="91" spans="2:19">
      <c r="B91" s="598"/>
      <c r="C91" s="598"/>
      <c r="D91" s="598"/>
      <c r="E91" s="598"/>
      <c r="F91" s="598"/>
      <c r="G91" s="598"/>
      <c r="H91" s="598"/>
      <c r="I91" s="598"/>
      <c r="J91" s="598"/>
      <c r="K91" s="598"/>
      <c r="L91" s="598"/>
      <c r="M91" s="598"/>
      <c r="N91" s="598"/>
      <c r="O91" s="598"/>
      <c r="P91" s="598"/>
      <c r="Q91" s="598"/>
      <c r="R91" s="598"/>
      <c r="S91" s="598"/>
    </row>
    <row r="92" spans="2:19">
      <c r="B92" s="598"/>
      <c r="C92" s="598"/>
      <c r="D92" s="598"/>
      <c r="E92" s="598"/>
      <c r="F92" s="598"/>
      <c r="G92" s="598"/>
      <c r="H92" s="598"/>
      <c r="I92" s="598"/>
      <c r="J92" s="598"/>
      <c r="K92" s="598"/>
      <c r="L92" s="598"/>
      <c r="M92" s="598"/>
      <c r="N92" s="598"/>
      <c r="O92" s="598"/>
      <c r="P92" s="598"/>
      <c r="Q92" s="598"/>
      <c r="R92" s="598"/>
      <c r="S92" s="598"/>
    </row>
    <row r="93" spans="2:19">
      <c r="B93" s="598"/>
      <c r="C93" s="598"/>
      <c r="D93" s="598"/>
      <c r="E93" s="598"/>
      <c r="F93" s="598"/>
      <c r="G93" s="598"/>
      <c r="H93" s="598"/>
      <c r="I93" s="598"/>
      <c r="J93" s="598"/>
      <c r="K93" s="598"/>
      <c r="L93" s="598"/>
      <c r="M93" s="598"/>
      <c r="N93" s="598"/>
      <c r="O93" s="598"/>
      <c r="P93" s="598"/>
      <c r="Q93" s="598"/>
      <c r="R93" s="598"/>
      <c r="S93" s="598"/>
    </row>
    <row r="94" spans="2:19">
      <c r="B94" s="598"/>
      <c r="C94" s="598"/>
      <c r="D94" s="598"/>
      <c r="E94" s="598"/>
      <c r="F94" s="598"/>
      <c r="G94" s="598"/>
      <c r="H94" s="598"/>
      <c r="I94" s="598"/>
      <c r="J94" s="598"/>
      <c r="K94" s="598"/>
      <c r="L94" s="598"/>
      <c r="M94" s="598"/>
      <c r="N94" s="598"/>
      <c r="O94" s="598"/>
      <c r="P94" s="598"/>
      <c r="Q94" s="598"/>
      <c r="R94" s="598"/>
      <c r="S94" s="598"/>
    </row>
    <row r="95" spans="2:19">
      <c r="B95" s="598"/>
      <c r="C95" s="598"/>
      <c r="D95" s="598"/>
      <c r="E95" s="598"/>
      <c r="F95" s="598"/>
      <c r="G95" s="598"/>
      <c r="H95" s="598"/>
      <c r="I95" s="598"/>
      <c r="J95" s="598"/>
      <c r="K95" s="598"/>
      <c r="L95" s="598"/>
      <c r="M95" s="598"/>
      <c r="N95" s="598"/>
      <c r="O95" s="598"/>
      <c r="P95" s="598"/>
      <c r="Q95" s="598"/>
      <c r="R95" s="598"/>
      <c r="S95" s="598"/>
    </row>
    <row r="96" spans="2:19">
      <c r="B96" s="598"/>
      <c r="C96" s="598"/>
      <c r="D96" s="598"/>
      <c r="E96" s="598"/>
      <c r="F96" s="598"/>
      <c r="G96" s="598"/>
      <c r="H96" s="598"/>
      <c r="I96" s="598"/>
      <c r="J96" s="598"/>
      <c r="K96" s="598"/>
      <c r="L96" s="598"/>
      <c r="M96" s="598"/>
      <c r="N96" s="598"/>
      <c r="O96" s="598"/>
      <c r="P96" s="598"/>
      <c r="Q96" s="598"/>
      <c r="R96" s="598"/>
      <c r="S96" s="598"/>
    </row>
  </sheetData>
  <pageMargins left="0.2" right="0.2" top="0.75" bottom="0.75" header="0.3" footer="0.3"/>
  <pageSetup scale="91" fitToHeight="0"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8FC0-4E8E-4952-849F-C3F5EB799931}">
  <sheetPr>
    <pageSetUpPr fitToPage="1"/>
  </sheetPr>
  <dimension ref="A1:E43"/>
  <sheetViews>
    <sheetView topLeftCell="A13" workbookViewId="0">
      <selection activeCell="B25" sqref="B25"/>
    </sheetView>
  </sheetViews>
  <sheetFormatPr defaultRowHeight="15"/>
  <cols>
    <col min="1" max="1" width="27.33203125" customWidth="1"/>
    <col min="2" max="2" width="86.21875" customWidth="1"/>
  </cols>
  <sheetData>
    <row r="1" spans="1:5" ht="15.75">
      <c r="A1" s="27" t="s">
        <v>16</v>
      </c>
    </row>
    <row r="2" spans="1:5" ht="15.75">
      <c r="A2" s="27" t="s">
        <v>1501</v>
      </c>
    </row>
    <row r="3" spans="1:5" ht="15.75">
      <c r="A3" s="27" t="s">
        <v>416</v>
      </c>
    </row>
    <row r="4" spans="1:5" ht="15.75">
      <c r="A4" s="516"/>
      <c r="B4" s="516"/>
      <c r="C4" s="516"/>
      <c r="D4" s="516"/>
      <c r="E4" s="516"/>
    </row>
    <row r="5" spans="1:5" ht="15.75">
      <c r="A5" s="516"/>
      <c r="B5" s="516"/>
      <c r="C5" s="516"/>
      <c r="D5" s="516"/>
      <c r="E5" s="516"/>
    </row>
    <row r="6" spans="1:5" ht="15.75">
      <c r="A6" s="516"/>
      <c r="B6" s="516"/>
      <c r="C6" s="516"/>
      <c r="D6" s="516"/>
      <c r="E6" s="516"/>
    </row>
    <row r="7" spans="1:5" ht="31.5">
      <c r="A7" s="844" t="s">
        <v>1502</v>
      </c>
      <c r="B7" s="845" t="s">
        <v>1509</v>
      </c>
      <c r="C7" s="516"/>
      <c r="D7" s="516"/>
      <c r="E7" s="516"/>
    </row>
    <row r="8" spans="1:5" ht="15.75">
      <c r="A8" s="516"/>
      <c r="B8" s="516"/>
      <c r="C8" s="516"/>
      <c r="D8" s="516"/>
      <c r="E8" s="516"/>
    </row>
    <row r="9" spans="1:5" ht="31.5">
      <c r="A9" s="846" t="s">
        <v>1503</v>
      </c>
      <c r="B9" s="845" t="s">
        <v>1510</v>
      </c>
      <c r="C9" s="516"/>
      <c r="D9" s="516"/>
      <c r="E9" s="516"/>
    </row>
    <row r="10" spans="1:5" ht="15.75">
      <c r="A10" s="516"/>
      <c r="B10" s="516"/>
      <c r="C10" s="516"/>
      <c r="D10" s="516"/>
      <c r="E10" s="516"/>
    </row>
    <row r="11" spans="1:5" ht="15.75">
      <c r="A11" s="846" t="s">
        <v>1504</v>
      </c>
      <c r="B11" s="847" t="s">
        <v>1511</v>
      </c>
      <c r="C11" s="516"/>
      <c r="D11" s="516"/>
      <c r="E11" s="516"/>
    </row>
    <row r="12" spans="1:5" ht="15.75">
      <c r="A12" s="516"/>
      <c r="B12" s="516"/>
      <c r="C12" s="516"/>
      <c r="D12" s="516"/>
      <c r="E12" s="516"/>
    </row>
    <row r="13" spans="1:5" ht="15.75">
      <c r="A13" s="848" t="s">
        <v>1505</v>
      </c>
      <c r="B13" s="847" t="s">
        <v>1512</v>
      </c>
      <c r="C13" s="516"/>
      <c r="D13" s="516"/>
      <c r="E13" s="516"/>
    </row>
    <row r="14" spans="1:5" ht="15.75">
      <c r="A14" s="516"/>
      <c r="B14" s="516"/>
      <c r="C14" s="516"/>
      <c r="D14" s="516"/>
      <c r="E14" s="516"/>
    </row>
    <row r="15" spans="1:5" ht="15.75">
      <c r="A15" s="849" t="s">
        <v>1506</v>
      </c>
      <c r="B15" s="847" t="s">
        <v>1513</v>
      </c>
      <c r="C15" s="516"/>
      <c r="D15" s="516"/>
      <c r="E15" s="516"/>
    </row>
    <row r="16" spans="1:5" ht="15.75">
      <c r="A16" s="516"/>
      <c r="B16" s="516"/>
      <c r="C16" s="516"/>
      <c r="D16" s="516"/>
      <c r="E16" s="516"/>
    </row>
    <row r="17" spans="1:5" ht="15.75">
      <c r="A17" s="849" t="s">
        <v>1507</v>
      </c>
      <c r="B17" s="847" t="s">
        <v>1508</v>
      </c>
      <c r="C17" s="516"/>
      <c r="D17" s="516"/>
      <c r="E17" s="516"/>
    </row>
    <row r="18" spans="1:5" ht="15.75">
      <c r="A18" s="516"/>
      <c r="B18" s="516"/>
      <c r="C18" s="516"/>
      <c r="D18" s="516"/>
      <c r="E18" s="516"/>
    </row>
    <row r="19" spans="1:5" ht="15.75">
      <c r="A19" s="849" t="s">
        <v>1514</v>
      </c>
      <c r="B19" s="847" t="s">
        <v>1515</v>
      </c>
      <c r="C19" s="516"/>
      <c r="D19" s="516"/>
      <c r="E19" s="516"/>
    </row>
    <row r="20" spans="1:5" ht="15.75">
      <c r="A20" s="516"/>
      <c r="B20" s="516"/>
      <c r="C20" s="516"/>
      <c r="D20" s="516"/>
      <c r="E20" s="516"/>
    </row>
    <row r="21" spans="1:5" ht="30">
      <c r="A21" s="849" t="s">
        <v>1516</v>
      </c>
      <c r="B21" s="847" t="s">
        <v>1517</v>
      </c>
      <c r="C21" s="516"/>
      <c r="D21" s="516"/>
      <c r="E21" s="516"/>
    </row>
    <row r="22" spans="1:5" ht="15.75">
      <c r="A22" s="516"/>
      <c r="B22" s="516"/>
      <c r="C22" s="516"/>
      <c r="D22" s="516"/>
      <c r="E22" s="516"/>
    </row>
    <row r="23" spans="1:5" ht="63">
      <c r="A23" s="849" t="s">
        <v>1556</v>
      </c>
      <c r="B23" s="850" t="s">
        <v>1573</v>
      </c>
      <c r="C23" s="516"/>
      <c r="D23" s="516"/>
      <c r="E23" s="516"/>
    </row>
    <row r="24" spans="1:5" ht="15.75">
      <c r="A24" s="516"/>
      <c r="B24" s="516"/>
      <c r="C24" s="516"/>
      <c r="D24" s="516"/>
      <c r="E24" s="516"/>
    </row>
    <row r="25" spans="1:5" ht="31.5">
      <c r="A25" s="851" t="s">
        <v>1561</v>
      </c>
      <c r="B25" s="847" t="s">
        <v>1562</v>
      </c>
      <c r="C25" s="516"/>
      <c r="D25" s="516"/>
      <c r="E25" s="516"/>
    </row>
    <row r="26" spans="1:5" ht="15.75">
      <c r="A26" s="516"/>
      <c r="B26" s="516"/>
      <c r="C26" s="516"/>
      <c r="D26" s="516"/>
      <c r="E26" s="516"/>
    </row>
    <row r="27" spans="1:5" ht="15.75">
      <c r="A27" s="516"/>
      <c r="B27" s="516"/>
      <c r="C27" s="516"/>
      <c r="D27" s="516"/>
      <c r="E27" s="516"/>
    </row>
    <row r="28" spans="1:5" ht="15.75">
      <c r="A28" s="516"/>
      <c r="B28" s="516"/>
      <c r="C28" s="516"/>
      <c r="D28" s="516"/>
      <c r="E28" s="516"/>
    </row>
    <row r="29" spans="1:5" ht="15.75">
      <c r="A29" s="516"/>
      <c r="B29" s="516"/>
      <c r="C29" s="516"/>
      <c r="D29" s="516"/>
      <c r="E29" s="516"/>
    </row>
    <row r="30" spans="1:5" ht="15.75">
      <c r="A30" s="516"/>
      <c r="B30" s="516"/>
      <c r="C30" s="516"/>
      <c r="D30" s="516"/>
      <c r="E30" s="516"/>
    </row>
    <row r="31" spans="1:5" ht="15.75">
      <c r="A31" s="516"/>
      <c r="B31" s="516"/>
      <c r="C31" s="516"/>
      <c r="D31" s="516"/>
      <c r="E31" s="516"/>
    </row>
    <row r="32" spans="1:5" ht="15.75">
      <c r="A32" s="516"/>
      <c r="B32" s="516"/>
      <c r="C32" s="516"/>
      <c r="D32" s="516"/>
      <c r="E32" s="516"/>
    </row>
    <row r="33" spans="1:5" ht="15.75">
      <c r="A33" s="516"/>
      <c r="B33" s="516"/>
      <c r="C33" s="516"/>
      <c r="D33" s="516"/>
      <c r="E33" s="516"/>
    </row>
    <row r="34" spans="1:5" ht="15.75">
      <c r="A34" s="516"/>
      <c r="B34" s="516"/>
      <c r="C34" s="516"/>
      <c r="D34" s="516"/>
      <c r="E34" s="516"/>
    </row>
    <row r="35" spans="1:5" ht="15.75">
      <c r="A35" s="516"/>
      <c r="B35" s="516"/>
      <c r="C35" s="516"/>
      <c r="D35" s="516"/>
      <c r="E35" s="516"/>
    </row>
    <row r="36" spans="1:5" ht="15.75">
      <c r="A36" s="516"/>
      <c r="B36" s="516"/>
      <c r="C36" s="516"/>
      <c r="D36" s="516"/>
      <c r="E36" s="516"/>
    </row>
    <row r="37" spans="1:5" ht="15.75">
      <c r="A37" s="516"/>
      <c r="B37" s="516"/>
      <c r="C37" s="516"/>
      <c r="D37" s="516"/>
      <c r="E37" s="516"/>
    </row>
    <row r="38" spans="1:5" ht="15.75">
      <c r="A38" s="516"/>
      <c r="B38" s="516"/>
      <c r="C38" s="516"/>
      <c r="D38" s="516"/>
      <c r="E38" s="516"/>
    </row>
    <row r="39" spans="1:5" ht="15.75">
      <c r="A39" s="516"/>
      <c r="B39" s="516"/>
      <c r="C39" s="516"/>
      <c r="D39" s="516"/>
      <c r="E39" s="516"/>
    </row>
    <row r="40" spans="1:5" ht="15.75">
      <c r="A40" s="516"/>
      <c r="B40" s="516"/>
      <c r="C40" s="516"/>
      <c r="D40" s="516"/>
      <c r="E40" s="516"/>
    </row>
    <row r="41" spans="1:5" ht="15.75">
      <c r="A41" s="516"/>
      <c r="B41" s="516"/>
      <c r="C41" s="516"/>
      <c r="D41" s="516"/>
      <c r="E41" s="516"/>
    </row>
    <row r="42" spans="1:5" ht="15.75">
      <c r="A42" s="516"/>
      <c r="B42" s="516"/>
      <c r="C42" s="516"/>
      <c r="D42" s="516"/>
      <c r="E42" s="516"/>
    </row>
    <row r="43" spans="1:5" ht="15.75">
      <c r="A43" s="516"/>
      <c r="B43" s="516"/>
      <c r="C43" s="516"/>
      <c r="D43" s="516"/>
      <c r="E43" s="516"/>
    </row>
  </sheetData>
  <pageMargins left="0.2" right="0.2" top="0.75" bottom="0.75" header="0.3" footer="0.3"/>
  <pageSetup scale="99" fitToHeight="0" orientation="landscape"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1ADF-03D4-4FBC-9C2A-62CBB2E989CA}">
  <sheetPr>
    <pageSetUpPr fitToPage="1"/>
  </sheetPr>
  <dimension ref="A1:N84"/>
  <sheetViews>
    <sheetView workbookViewId="0">
      <pane ySplit="6" topLeftCell="A7" activePane="bottomLeft" state="frozen"/>
      <selection pane="bottomLeft" activeCell="H31" sqref="H31"/>
    </sheetView>
  </sheetViews>
  <sheetFormatPr defaultRowHeight="15"/>
  <cols>
    <col min="1" max="1" width="27.33203125" customWidth="1"/>
    <col min="3" max="3" width="9.44140625" bestFit="1" customWidth="1"/>
    <col min="4" max="4" width="9.6640625" customWidth="1"/>
    <col min="5" max="5" width="8.5546875" bestFit="1" customWidth="1"/>
    <col min="6" max="6" width="9" bestFit="1" customWidth="1"/>
    <col min="7" max="7" width="9" customWidth="1"/>
    <col min="8" max="9" width="11" bestFit="1" customWidth="1"/>
  </cols>
  <sheetData>
    <row r="1" spans="1:14" ht="15.75">
      <c r="A1" s="28" t="s">
        <v>16</v>
      </c>
      <c r="B1" s="29"/>
      <c r="C1" s="29"/>
      <c r="D1" s="29"/>
      <c r="E1" s="29"/>
      <c r="F1" s="29"/>
      <c r="G1" s="29"/>
      <c r="H1" s="29"/>
      <c r="I1" s="819"/>
      <c r="J1" s="29"/>
      <c r="K1" s="29"/>
      <c r="L1" s="29"/>
      <c r="M1" s="29"/>
      <c r="N1" s="29"/>
    </row>
    <row r="2" spans="1:14" ht="15.75">
      <c r="A2" s="28" t="s">
        <v>1394</v>
      </c>
      <c r="B2" s="29"/>
      <c r="C2" s="29"/>
      <c r="D2" s="29"/>
      <c r="E2" s="29"/>
      <c r="F2" s="29"/>
      <c r="G2" s="29"/>
      <c r="H2" s="29"/>
      <c r="I2" s="819"/>
      <c r="J2" s="29"/>
      <c r="K2" s="29"/>
      <c r="L2" s="29"/>
      <c r="M2" s="29"/>
      <c r="N2" s="29"/>
    </row>
    <row r="3" spans="1:14" ht="15.75">
      <c r="A3" s="28" t="s">
        <v>416</v>
      </c>
      <c r="B3" s="29"/>
      <c r="C3" s="29"/>
      <c r="D3" s="29"/>
      <c r="E3" s="29"/>
      <c r="F3" s="29"/>
      <c r="G3" s="29"/>
      <c r="H3" s="29"/>
      <c r="I3" s="819"/>
      <c r="J3" s="29"/>
      <c r="K3" s="29"/>
      <c r="L3" s="29"/>
      <c r="M3" s="29"/>
      <c r="N3" s="29"/>
    </row>
    <row r="4" spans="1:14" ht="15.75">
      <c r="A4" s="630"/>
      <c r="B4" s="630"/>
      <c r="C4" s="630"/>
      <c r="D4" s="630"/>
      <c r="E4" s="630"/>
      <c r="F4" s="630"/>
      <c r="G4" s="630"/>
      <c r="H4" s="630"/>
      <c r="I4" s="630"/>
      <c r="J4" s="630"/>
      <c r="K4" s="630"/>
      <c r="L4" s="630"/>
      <c r="M4" s="630"/>
      <c r="N4" s="630"/>
    </row>
    <row r="5" spans="1:14" ht="15.75">
      <c r="A5" s="553"/>
      <c r="B5" s="553"/>
      <c r="D5" s="553" t="s">
        <v>1359</v>
      </c>
      <c r="E5" s="553" t="s">
        <v>1361</v>
      </c>
      <c r="F5" s="553" t="s">
        <v>754</v>
      </c>
      <c r="G5" s="553" t="s">
        <v>662</v>
      </c>
      <c r="H5" s="553" t="s">
        <v>664</v>
      </c>
      <c r="I5" s="553" t="s">
        <v>747</v>
      </c>
      <c r="J5" s="553"/>
      <c r="K5" s="553"/>
      <c r="L5" s="553"/>
      <c r="M5" s="553"/>
      <c r="N5" s="553"/>
    </row>
    <row r="6" spans="1:14" ht="15.75">
      <c r="A6" s="631" t="s">
        <v>1</v>
      </c>
      <c r="B6" s="553"/>
      <c r="D6" s="553" t="s">
        <v>512</v>
      </c>
      <c r="E6" s="553" t="s">
        <v>1360</v>
      </c>
      <c r="F6" s="553" t="s">
        <v>990</v>
      </c>
      <c r="G6" s="553"/>
      <c r="H6" s="553" t="s">
        <v>990</v>
      </c>
      <c r="I6" s="553"/>
      <c r="J6" s="553"/>
      <c r="K6" s="553"/>
      <c r="L6" s="553"/>
      <c r="M6" s="553"/>
      <c r="N6" s="553"/>
    </row>
    <row r="7" spans="1:14" ht="15.75">
      <c r="A7" s="632" t="s">
        <v>420</v>
      </c>
      <c r="B7" s="553">
        <f>+'Pro Forma'!F7</f>
        <v>3399780.3600000003</v>
      </c>
      <c r="C7" s="553"/>
      <c r="D7" s="553">
        <f>+B7</f>
        <v>3399780.3600000003</v>
      </c>
      <c r="E7" s="553"/>
      <c r="F7" s="553"/>
      <c r="G7" s="553"/>
      <c r="H7" s="553"/>
      <c r="I7" s="553"/>
      <c r="J7" s="553"/>
      <c r="K7" s="553"/>
      <c r="L7" s="553"/>
      <c r="M7" s="553"/>
      <c r="N7" s="553">
        <f>+B7-SUM(D7:I7)</f>
        <v>0</v>
      </c>
    </row>
    <row r="8" spans="1:14" ht="15.75">
      <c r="A8" s="632" t="s">
        <v>421</v>
      </c>
      <c r="B8" s="553">
        <f>+'Pro Forma'!F8</f>
        <v>4123499.066310002</v>
      </c>
      <c r="C8" s="553"/>
      <c r="D8" s="553">
        <f>+B8</f>
        <v>4123499.066310002</v>
      </c>
      <c r="E8" s="553"/>
      <c r="F8" s="553"/>
      <c r="G8" s="553"/>
      <c r="H8" s="553"/>
      <c r="I8" s="553"/>
      <c r="J8" s="553"/>
      <c r="K8" s="553"/>
      <c r="L8" s="553"/>
      <c r="M8" s="553"/>
      <c r="N8" s="553">
        <f t="shared" ref="N8:N70" si="0">+B8-SUM(D8:I8)</f>
        <v>0</v>
      </c>
    </row>
    <row r="9" spans="1:14" ht="15.75">
      <c r="A9" s="632" t="s">
        <v>422</v>
      </c>
      <c r="B9" s="553">
        <f>+'Pro Forma'!F9</f>
        <v>1552227.3600000003</v>
      </c>
      <c r="C9" s="553"/>
      <c r="D9" s="553">
        <f>+B9</f>
        <v>1552227.3600000003</v>
      </c>
      <c r="E9" s="553"/>
      <c r="F9" s="553"/>
      <c r="G9" s="553"/>
      <c r="H9" s="553"/>
      <c r="I9" s="553"/>
      <c r="J9" s="553"/>
      <c r="K9" s="553"/>
      <c r="L9" s="553"/>
      <c r="M9" s="553"/>
      <c r="N9" s="553">
        <f t="shared" si="0"/>
        <v>0</v>
      </c>
    </row>
    <row r="10" spans="1:14" ht="15.75">
      <c r="A10" s="633" t="s">
        <v>423</v>
      </c>
      <c r="B10" s="553">
        <f>+'Pro Forma'!F10</f>
        <v>3741651.2299999995</v>
      </c>
      <c r="C10" s="553"/>
      <c r="D10" s="553">
        <f>+B10</f>
        <v>3741651.2299999995</v>
      </c>
      <c r="E10" s="553"/>
      <c r="F10" s="553"/>
      <c r="G10" s="553"/>
      <c r="H10" s="553"/>
      <c r="I10" s="553"/>
      <c r="J10" s="553"/>
      <c r="K10" s="553"/>
      <c r="L10" s="553"/>
      <c r="M10" s="553"/>
      <c r="N10" s="553">
        <f t="shared" si="0"/>
        <v>0</v>
      </c>
    </row>
    <row r="11" spans="1:14" ht="15.75">
      <c r="A11" s="632" t="s">
        <v>424</v>
      </c>
      <c r="B11" s="553">
        <f>+'Pro Forma'!F11</f>
        <v>1369178.31</v>
      </c>
      <c r="C11" s="553"/>
      <c r="D11" s="553"/>
      <c r="E11" s="553"/>
      <c r="F11" s="553">
        <f>+B11</f>
        <v>1369178.31</v>
      </c>
      <c r="G11" s="553"/>
      <c r="H11" s="553"/>
      <c r="I11" s="553"/>
      <c r="J11" s="553"/>
      <c r="K11" s="553"/>
      <c r="L11" s="553"/>
      <c r="M11" s="553"/>
      <c r="N11" s="553">
        <f t="shared" si="0"/>
        <v>0</v>
      </c>
    </row>
    <row r="12" spans="1:14" ht="15.75">
      <c r="A12" s="632" t="s">
        <v>425</v>
      </c>
      <c r="B12" s="553">
        <f>+'Pro Forma'!F12</f>
        <v>815142.77913687634</v>
      </c>
      <c r="C12" s="553"/>
      <c r="D12" s="553"/>
      <c r="E12" s="553"/>
      <c r="F12" s="553"/>
      <c r="G12" s="553"/>
      <c r="H12" s="553">
        <f>+B12</f>
        <v>815142.77913687634</v>
      </c>
      <c r="I12" s="553"/>
      <c r="J12" s="553"/>
      <c r="K12" s="553"/>
      <c r="L12" s="553"/>
      <c r="M12" s="553"/>
      <c r="N12" s="553">
        <f t="shared" si="0"/>
        <v>0</v>
      </c>
    </row>
    <row r="13" spans="1:14" ht="15.75">
      <c r="A13" s="632" t="s">
        <v>426</v>
      </c>
      <c r="B13" s="553">
        <f>+'Pro Forma'!F13</f>
        <v>1793845.0516200005</v>
      </c>
      <c r="C13" s="553"/>
      <c r="D13" s="553"/>
      <c r="E13" s="553"/>
      <c r="F13" s="553"/>
      <c r="G13" s="553">
        <f>+B13</f>
        <v>1793845.0516200005</v>
      </c>
      <c r="H13" s="553"/>
      <c r="I13" s="553"/>
      <c r="J13" s="553"/>
      <c r="K13" s="553"/>
      <c r="L13" s="553"/>
      <c r="M13" s="553"/>
      <c r="N13" s="553">
        <f t="shared" si="0"/>
        <v>0</v>
      </c>
    </row>
    <row r="14" spans="1:14" ht="15.75">
      <c r="A14" s="632" t="s">
        <v>427</v>
      </c>
      <c r="B14" s="553">
        <f>+'Pro Forma'!F14</f>
        <v>1154796.1100000001</v>
      </c>
      <c r="C14" s="553"/>
      <c r="D14" s="553"/>
      <c r="E14" s="553">
        <f>+B14</f>
        <v>1154796.1100000001</v>
      </c>
      <c r="F14" s="553"/>
      <c r="G14" s="553"/>
      <c r="H14" s="553"/>
      <c r="I14" s="553"/>
      <c r="J14" s="553"/>
      <c r="K14" s="553"/>
      <c r="L14" s="553"/>
      <c r="M14" s="553"/>
      <c r="N14" s="553">
        <f t="shared" si="0"/>
        <v>0</v>
      </c>
    </row>
    <row r="15" spans="1:14" ht="15.75">
      <c r="A15" s="632" t="s">
        <v>428</v>
      </c>
      <c r="B15" s="553">
        <f>+'Pro Forma'!F15</f>
        <v>540</v>
      </c>
      <c r="C15" s="553"/>
      <c r="D15" s="553"/>
      <c r="E15" s="553"/>
      <c r="F15" s="553"/>
      <c r="G15" s="553"/>
      <c r="H15" s="553"/>
      <c r="I15" s="553">
        <f>+B15</f>
        <v>540</v>
      </c>
      <c r="J15" s="553"/>
      <c r="K15" s="553"/>
      <c r="L15" s="553"/>
      <c r="M15" s="553"/>
      <c r="N15" s="553">
        <f t="shared" si="0"/>
        <v>0</v>
      </c>
    </row>
    <row r="16" spans="1:14" ht="15.75">
      <c r="A16" s="632" t="s">
        <v>429</v>
      </c>
      <c r="B16" s="553">
        <f>+'Pro Forma'!F16</f>
        <v>806898.64241429919</v>
      </c>
      <c r="C16" s="553"/>
      <c r="D16" s="553"/>
      <c r="E16" s="553"/>
      <c r="F16" s="553"/>
      <c r="G16" s="553"/>
      <c r="H16" s="553">
        <f>+B16</f>
        <v>806898.64241429919</v>
      </c>
      <c r="I16" s="553"/>
      <c r="J16" s="553"/>
      <c r="K16" s="553"/>
      <c r="L16" s="553"/>
      <c r="M16" s="553"/>
      <c r="N16" s="553">
        <f t="shared" si="0"/>
        <v>0</v>
      </c>
    </row>
    <row r="17" spans="1:14" ht="15.75">
      <c r="A17" s="632" t="s">
        <v>430</v>
      </c>
      <c r="B17" s="553">
        <f>+'Pro Forma'!F17</f>
        <v>14906.238063826953</v>
      </c>
      <c r="C17" s="553"/>
      <c r="D17" s="553"/>
      <c r="E17" s="553"/>
      <c r="F17" s="553"/>
      <c r="G17" s="553"/>
      <c r="H17" s="553"/>
      <c r="I17" s="553">
        <f>+B17</f>
        <v>14906.238063826953</v>
      </c>
      <c r="J17" s="553"/>
      <c r="K17" s="553"/>
      <c r="L17" s="553"/>
      <c r="M17" s="553"/>
      <c r="N17" s="553">
        <f t="shared" si="0"/>
        <v>0</v>
      </c>
    </row>
    <row r="18" spans="1:14" ht="15.75">
      <c r="A18" s="632" t="s">
        <v>431</v>
      </c>
      <c r="B18" s="553">
        <f>+'Pro Forma'!F18</f>
        <v>55248.23</v>
      </c>
      <c r="C18" s="553"/>
      <c r="D18" s="553"/>
      <c r="E18" s="553"/>
      <c r="F18" s="553">
        <f>+B18</f>
        <v>55248.23</v>
      </c>
      <c r="G18" s="553"/>
      <c r="H18" s="553"/>
      <c r="I18" s="553"/>
      <c r="J18" s="553"/>
      <c r="K18" s="553"/>
      <c r="L18" s="553"/>
      <c r="M18" s="553"/>
      <c r="N18" s="553">
        <f t="shared" si="0"/>
        <v>0</v>
      </c>
    </row>
    <row r="19" spans="1:14" ht="15.75">
      <c r="A19" s="632" t="s">
        <v>432</v>
      </c>
      <c r="B19" s="553">
        <f>+'Pro Forma'!F19</f>
        <v>11717.070000000002</v>
      </c>
      <c r="C19" s="553"/>
      <c r="D19" s="553"/>
      <c r="E19" s="553"/>
      <c r="F19" s="553"/>
      <c r="G19" s="553"/>
      <c r="H19" s="553">
        <f>+B19</f>
        <v>11717.070000000002</v>
      </c>
      <c r="I19" s="553"/>
      <c r="J19" s="553"/>
      <c r="K19" s="553"/>
      <c r="L19" s="553"/>
      <c r="M19" s="553"/>
      <c r="N19" s="553">
        <f t="shared" si="0"/>
        <v>0</v>
      </c>
    </row>
    <row r="20" spans="1:14" ht="15.75">
      <c r="A20" s="632" t="s">
        <v>433</v>
      </c>
      <c r="B20" s="627">
        <f>+'Pro Forma'!F20</f>
        <v>7193.39</v>
      </c>
      <c r="C20" s="627"/>
      <c r="D20" s="627"/>
      <c r="E20" s="627"/>
      <c r="F20" s="627"/>
      <c r="G20" s="627">
        <f>+B20</f>
        <v>7193.39</v>
      </c>
      <c r="H20" s="627"/>
      <c r="I20" s="627"/>
      <c r="J20" s="627"/>
      <c r="K20" s="627"/>
      <c r="L20" s="627"/>
      <c r="M20" s="627"/>
      <c r="N20" s="553">
        <f t="shared" si="0"/>
        <v>0</v>
      </c>
    </row>
    <row r="21" spans="1:14" ht="15.75">
      <c r="A21" s="634" t="s">
        <v>434</v>
      </c>
      <c r="B21" s="553">
        <f>SUM(B7:B20)</f>
        <v>18846623.837545004</v>
      </c>
      <c r="C21" s="553"/>
      <c r="D21" s="553">
        <f t="shared" ref="D21:I21" si="1">SUM(D7:D20)</f>
        <v>12817158.016310003</v>
      </c>
      <c r="E21" s="553">
        <f t="shared" si="1"/>
        <v>1154796.1100000001</v>
      </c>
      <c r="F21" s="553">
        <f t="shared" si="1"/>
        <v>1424426.54</v>
      </c>
      <c r="G21" s="553">
        <f t="shared" si="1"/>
        <v>1801038.4416200004</v>
      </c>
      <c r="H21" s="553">
        <f t="shared" si="1"/>
        <v>1633758.4915511755</v>
      </c>
      <c r="I21" s="553">
        <f t="shared" si="1"/>
        <v>15446.238063826953</v>
      </c>
      <c r="J21" s="553"/>
      <c r="K21" s="553"/>
      <c r="L21" s="553"/>
      <c r="M21" s="553"/>
      <c r="N21" s="553">
        <f t="shared" si="0"/>
        <v>0</v>
      </c>
    </row>
    <row r="22" spans="1:14" ht="15.75">
      <c r="A22" s="631" t="s">
        <v>1356</v>
      </c>
      <c r="B22" s="553"/>
      <c r="C22" s="553"/>
      <c r="D22" s="553"/>
      <c r="E22" s="553"/>
      <c r="F22" s="553"/>
      <c r="G22" s="553"/>
      <c r="H22" s="553"/>
      <c r="I22" s="553"/>
      <c r="J22" s="553"/>
      <c r="K22" s="553"/>
      <c r="L22" s="553"/>
      <c r="M22" s="553"/>
      <c r="N22" s="553">
        <f t="shared" si="0"/>
        <v>0</v>
      </c>
    </row>
    <row r="23" spans="1:14" ht="15.75">
      <c r="A23" s="639" t="s">
        <v>1</v>
      </c>
      <c r="B23" s="553"/>
      <c r="C23" s="656" t="s">
        <v>533</v>
      </c>
      <c r="D23" s="579">
        <f>+D21/$B$21</f>
        <v>0.68007713884417342</v>
      </c>
      <c r="E23" s="579">
        <f t="shared" ref="E23:I23" si="2">+E21/$B$21</f>
        <v>6.1273367577883701E-2</v>
      </c>
      <c r="F23" s="579">
        <f t="shared" si="2"/>
        <v>7.557993157174131E-2</v>
      </c>
      <c r="G23" s="579">
        <f t="shared" si="2"/>
        <v>9.5562921886947733E-2</v>
      </c>
      <c r="H23" s="579">
        <f t="shared" si="2"/>
        <v>8.6687064252670518E-2</v>
      </c>
      <c r="I23" s="579">
        <f t="shared" si="2"/>
        <v>8.1957586658338102E-4</v>
      </c>
      <c r="J23" s="553"/>
      <c r="K23" s="553"/>
      <c r="L23" s="553"/>
      <c r="M23" s="553"/>
      <c r="N23" s="553">
        <f t="shared" si="0"/>
        <v>-1</v>
      </c>
    </row>
    <row r="24" spans="1:14" ht="15.75">
      <c r="A24" s="639" t="s">
        <v>1357</v>
      </c>
      <c r="B24" s="553"/>
      <c r="C24" s="657" t="s">
        <v>534</v>
      </c>
      <c r="D24" s="579">
        <f>+'Customer Summary'!F12</f>
        <v>0.80773826709010998</v>
      </c>
      <c r="E24" s="579">
        <f>+'Customer Summary'!A12</f>
        <v>4.3571359830622651E-2</v>
      </c>
      <c r="F24" s="579">
        <f>+'Customer Summary'!B12</f>
        <v>6.7129406858499344E-2</v>
      </c>
      <c r="G24" s="579">
        <f>+'Customer Summary'!C12</f>
        <v>3.4693484746415169E-2</v>
      </c>
      <c r="H24" s="579">
        <f>+'Customer Summary'!D12</f>
        <v>4.6867481474352803E-2</v>
      </c>
      <c r="I24" s="579"/>
      <c r="J24" s="579"/>
      <c r="K24" s="553"/>
      <c r="L24" s="553"/>
      <c r="M24" s="553"/>
      <c r="N24" s="553">
        <f t="shared" si="0"/>
        <v>-1</v>
      </c>
    </row>
    <row r="25" spans="1:14" ht="15.75">
      <c r="A25" s="639" t="s">
        <v>1435</v>
      </c>
      <c r="B25" s="553"/>
      <c r="C25" s="656" t="s">
        <v>535</v>
      </c>
      <c r="D25" s="579">
        <f>+'Truck Mileage'!G12+'Truck Mileage'!G29+'Truck Mileage'!G49</f>
        <v>0.47177650171907909</v>
      </c>
      <c r="E25" s="579">
        <f>+'Truck Mileage'!G62</f>
        <v>8.9116699368170932E-2</v>
      </c>
      <c r="F25" s="579">
        <f>+'Truck Mileage'!G37</f>
        <v>0.13547423181466348</v>
      </c>
      <c r="G25" s="579">
        <f>+'Truck Mileage'!G21</f>
        <v>3.5735243821215776E-2</v>
      </c>
      <c r="H25" s="579">
        <f>+'Truck Mileage'!G56+'Truck Mileage'!G17</f>
        <v>0.26789732327687077</v>
      </c>
      <c r="I25" s="579"/>
      <c r="J25" s="579"/>
      <c r="K25" s="553"/>
      <c r="L25" s="553"/>
      <c r="M25" s="553"/>
      <c r="N25" s="553">
        <f t="shared" si="0"/>
        <v>-1</v>
      </c>
    </row>
    <row r="26" spans="1:14" ht="15.75">
      <c r="A26" s="639" t="s">
        <v>1462</v>
      </c>
      <c r="B26" s="553"/>
      <c r="C26" s="656" t="s">
        <v>536</v>
      </c>
      <c r="D26" s="579">
        <f>+'Payroll Summary'!E18+'Payroll Summary'!I18+'Payroll Summary'!J18</f>
        <v>0.66060898804049528</v>
      </c>
      <c r="E26" s="579">
        <f>+'Payroll Summary'!D18</f>
        <v>5.9418624837566457E-2</v>
      </c>
      <c r="F26" s="579">
        <f>+'Payroll Summary'!G18</f>
        <v>0.1353350859013179</v>
      </c>
      <c r="G26" s="579">
        <f>+'Payroll Summary'!F18</f>
        <v>3.2400211010035915E-2</v>
      </c>
      <c r="H26" s="579">
        <f>+'Payroll Summary'!O18</f>
        <v>0.11223698480653391</v>
      </c>
      <c r="I26" s="579"/>
      <c r="J26" s="579"/>
      <c r="K26" s="553"/>
      <c r="L26" s="553"/>
      <c r="M26" s="553"/>
      <c r="N26" s="553">
        <f t="shared" si="0"/>
        <v>-0.9999998945959494</v>
      </c>
    </row>
    <row r="27" spans="1:14" ht="15.75">
      <c r="A27" s="639" t="s">
        <v>1393</v>
      </c>
      <c r="B27" s="553"/>
      <c r="C27" s="656" t="s">
        <v>537</v>
      </c>
      <c r="D27" s="579">
        <f>+'Payroll Hours'!F6+'Payroll Hours'!F14</f>
        <v>0.66870037747480504</v>
      </c>
      <c r="E27" s="579">
        <f>+'Payroll Hours'!F11</f>
        <v>6.4972234910917942E-2</v>
      </c>
      <c r="F27" s="579">
        <f>+'Payroll Hours'!F10</f>
        <v>0.1461255206533067</v>
      </c>
      <c r="G27" s="579"/>
      <c r="H27" s="579">
        <f>+'Payroll Hours'!F7+'Payroll Hours'!F8</f>
        <v>0.12020186696097032</v>
      </c>
      <c r="I27" s="579"/>
      <c r="J27" s="579"/>
      <c r="K27" s="553"/>
      <c r="L27" s="553"/>
      <c r="M27" s="553"/>
      <c r="N27" s="553">
        <f t="shared" si="0"/>
        <v>-1</v>
      </c>
    </row>
    <row r="28" spans="1:14" ht="15.75">
      <c r="A28" s="639" t="s">
        <v>1358</v>
      </c>
      <c r="B28" s="553"/>
      <c r="C28" s="656" t="s">
        <v>1385</v>
      </c>
      <c r="D28" s="553"/>
      <c r="E28" s="553"/>
      <c r="F28" s="553"/>
      <c r="G28" s="553"/>
      <c r="H28" s="553"/>
      <c r="I28" s="553"/>
      <c r="J28" s="553"/>
      <c r="K28" s="553"/>
      <c r="L28" s="553"/>
      <c r="M28" s="553"/>
      <c r="N28" s="553">
        <f t="shared" si="0"/>
        <v>0</v>
      </c>
    </row>
    <row r="29" spans="1:14" ht="15.75">
      <c r="A29" s="634"/>
      <c r="B29" s="553"/>
      <c r="C29" s="553"/>
      <c r="D29" s="553"/>
      <c r="E29" s="553"/>
      <c r="F29" s="553"/>
      <c r="G29" s="553"/>
      <c r="H29" s="553"/>
      <c r="I29" s="553"/>
      <c r="J29" s="553"/>
      <c r="K29" s="553"/>
      <c r="L29" s="553"/>
      <c r="M29" s="553"/>
      <c r="N29" s="553">
        <f t="shared" si="0"/>
        <v>0</v>
      </c>
    </row>
    <row r="30" spans="1:14" ht="15.75">
      <c r="A30" s="631" t="s">
        <v>2</v>
      </c>
      <c r="B30" s="553"/>
      <c r="C30" s="553"/>
      <c r="D30" s="553"/>
      <c r="E30" s="553"/>
      <c r="F30" s="553"/>
      <c r="G30" s="553"/>
      <c r="H30" s="553"/>
      <c r="I30" s="553"/>
      <c r="J30" s="553"/>
      <c r="K30" s="553"/>
      <c r="L30" s="553"/>
      <c r="M30" s="553"/>
      <c r="N30" s="553">
        <f t="shared" si="0"/>
        <v>0</v>
      </c>
    </row>
    <row r="31" spans="1:14" ht="15.75">
      <c r="A31" s="632" t="s">
        <v>435</v>
      </c>
      <c r="B31" s="553">
        <f>+'Pro Forma'!F23</f>
        <v>2843944.35</v>
      </c>
      <c r="C31" s="656" t="s">
        <v>535</v>
      </c>
      <c r="D31" s="553">
        <f t="shared" ref="D31:I31" si="3">+$B$31*D25</f>
        <v>1341706.1165267404</v>
      </c>
      <c r="E31" s="553">
        <f t="shared" si="3"/>
        <v>253442.93365875829</v>
      </c>
      <c r="F31" s="553">
        <f t="shared" si="3"/>
        <v>385281.17613990244</v>
      </c>
      <c r="G31" s="553">
        <f t="shared" si="3"/>
        <v>101629.04476121902</v>
      </c>
      <c r="H31" s="553">
        <f t="shared" si="3"/>
        <v>761885.07891338016</v>
      </c>
      <c r="I31" s="553">
        <f t="shared" si="3"/>
        <v>0</v>
      </c>
      <c r="J31" s="553"/>
      <c r="K31" s="553"/>
      <c r="L31" s="553"/>
      <c r="M31" s="553"/>
      <c r="N31" s="553">
        <f t="shared" si="0"/>
        <v>0</v>
      </c>
    </row>
    <row r="32" spans="1:14" ht="15.75">
      <c r="A32" s="632" t="s">
        <v>436</v>
      </c>
      <c r="B32" s="553">
        <f>+'Pro Forma'!F24</f>
        <v>124840.86</v>
      </c>
      <c r="C32" s="656" t="s">
        <v>535</v>
      </c>
      <c r="D32" s="553">
        <f t="shared" ref="D32:I32" si="4">+$B$32*D25</f>
        <v>58896.984202401312</v>
      </c>
      <c r="E32" s="553">
        <f t="shared" si="4"/>
        <v>11125.405389483916</v>
      </c>
      <c r="F32" s="553">
        <f t="shared" si="4"/>
        <v>16912.719607581948</v>
      </c>
      <c r="G32" s="553">
        <f t="shared" si="4"/>
        <v>4461.2185709502637</v>
      </c>
      <c r="H32" s="553">
        <f t="shared" si="4"/>
        <v>33444.532229582568</v>
      </c>
      <c r="I32" s="553">
        <f t="shared" si="4"/>
        <v>0</v>
      </c>
      <c r="J32" s="553"/>
      <c r="K32" s="553"/>
      <c r="L32" s="553"/>
      <c r="M32" s="553"/>
      <c r="N32" s="553">
        <f t="shared" si="0"/>
        <v>0</v>
      </c>
    </row>
    <row r="33" spans="1:14" ht="15.75">
      <c r="A33" s="632" t="s">
        <v>437</v>
      </c>
      <c r="B33" s="553">
        <f>+'Pro Forma'!F25</f>
        <v>49063.24</v>
      </c>
      <c r="C33" s="656" t="s">
        <v>535</v>
      </c>
      <c r="D33" s="553">
        <f t="shared" ref="D33:I33" si="5">+$B$33*D25</f>
        <v>23146.88373020359</v>
      </c>
      <c r="E33" s="553">
        <f t="shared" si="5"/>
        <v>4372.3540091084187</v>
      </c>
      <c r="F33" s="553">
        <f t="shared" si="5"/>
        <v>6646.8047493384693</v>
      </c>
      <c r="G33" s="553">
        <f t="shared" si="5"/>
        <v>1753.2868440588265</v>
      </c>
      <c r="H33" s="553">
        <f t="shared" si="5"/>
        <v>13143.910667290696</v>
      </c>
      <c r="I33" s="553">
        <f t="shared" si="5"/>
        <v>0</v>
      </c>
      <c r="J33" s="553"/>
      <c r="K33" s="553"/>
      <c r="L33" s="553"/>
      <c r="M33" s="553"/>
      <c r="N33" s="553">
        <f t="shared" si="0"/>
        <v>0</v>
      </c>
    </row>
    <row r="34" spans="1:14" ht="15.75">
      <c r="A34" s="632" t="s">
        <v>438</v>
      </c>
      <c r="B34" s="553">
        <f>+'Pro Forma'!F26</f>
        <v>3467.97</v>
      </c>
      <c r="C34" s="656" t="s">
        <v>535</v>
      </c>
      <c r="D34" s="553">
        <f>+$B$34*D25</f>
        <v>1636.1067546667146</v>
      </c>
      <c r="E34" s="553">
        <f>+$B$34*E25</f>
        <v>309.05403990783572</v>
      </c>
      <c r="F34" s="553">
        <f>+$B$34*F25</f>
        <v>469.82057170629849</v>
      </c>
      <c r="G34" s="553">
        <f>+$B$34*G25</f>
        <v>123.92875351466166</v>
      </c>
      <c r="H34" s="553">
        <f>+$B$34*H25</f>
        <v>929.05988020448945</v>
      </c>
      <c r="I34" s="553"/>
      <c r="J34" s="553"/>
      <c r="K34" s="553"/>
      <c r="L34" s="553"/>
      <c r="M34" s="553"/>
      <c r="N34" s="553">
        <f t="shared" si="0"/>
        <v>0</v>
      </c>
    </row>
    <row r="35" spans="1:14" ht="15.75">
      <c r="A35" s="632" t="s">
        <v>439</v>
      </c>
      <c r="B35" s="553">
        <f>+'Pro Forma'!F27</f>
        <v>2608120.9556999998</v>
      </c>
      <c r="C35" s="656" t="s">
        <v>536</v>
      </c>
      <c r="D35" s="553">
        <f t="shared" ref="D35:I35" si="6">+$B$35*D26</f>
        <v>1722948.1452321864</v>
      </c>
      <c r="E35" s="553">
        <f t="shared" si="6"/>
        <v>154970.96059773356</v>
      </c>
      <c r="F35" s="553">
        <f t="shared" si="6"/>
        <v>352970.27358068683</v>
      </c>
      <c r="G35" s="553">
        <f t="shared" si="6"/>
        <v>84503.669304376526</v>
      </c>
      <c r="H35" s="553">
        <f t="shared" si="6"/>
        <v>292727.63207850355</v>
      </c>
      <c r="I35" s="553">
        <f t="shared" si="6"/>
        <v>0</v>
      </c>
      <c r="J35" s="553"/>
      <c r="K35" s="553"/>
      <c r="L35" s="553"/>
      <c r="M35" s="553"/>
      <c r="N35" s="553">
        <f t="shared" si="0"/>
        <v>0.27490651281550527</v>
      </c>
    </row>
    <row r="36" spans="1:14" ht="15.75">
      <c r="A36" s="632" t="s">
        <v>440</v>
      </c>
      <c r="B36" s="553">
        <f>+'Pro Forma'!F28</f>
        <v>467354.38</v>
      </c>
      <c r="C36" s="656" t="s">
        <v>535</v>
      </c>
      <c r="D36" s="553">
        <f t="shared" ref="D36:I36" si="7">+$B$36*D25</f>
        <v>220486.81445948913</v>
      </c>
      <c r="E36" s="553">
        <f t="shared" si="7"/>
        <v>41649.079780857915</v>
      </c>
      <c r="F36" s="553">
        <f t="shared" si="7"/>
        <v>63314.475615718322</v>
      </c>
      <c r="G36" s="553">
        <f t="shared" si="7"/>
        <v>16701.022720213128</v>
      </c>
      <c r="H36" s="553">
        <f t="shared" si="7"/>
        <v>125202.98742372151</v>
      </c>
      <c r="I36" s="553">
        <f t="shared" si="7"/>
        <v>0</v>
      </c>
      <c r="J36" s="553"/>
      <c r="K36" s="553"/>
      <c r="L36" s="553"/>
      <c r="M36" s="553"/>
      <c r="N36" s="553">
        <f t="shared" si="0"/>
        <v>0</v>
      </c>
    </row>
    <row r="37" spans="1:14" ht="15.75">
      <c r="A37" s="635" t="s">
        <v>441</v>
      </c>
      <c r="B37" s="553">
        <f>+'Pro Forma'!F29</f>
        <v>35465.56</v>
      </c>
      <c r="C37" s="656" t="s">
        <v>535</v>
      </c>
      <c r="D37" s="553">
        <f>+$B$37*D25</f>
        <v>16731.8178283081</v>
      </c>
      <c r="E37" s="553">
        <f>+$B$37*E25</f>
        <v>3160.573648443828</v>
      </c>
      <c r="F37" s="553">
        <f>+$B$37*F25</f>
        <v>4804.6694968768561</v>
      </c>
      <c r="G37" s="553">
        <f>+$B$37*G25</f>
        <v>1267.3704338559573</v>
      </c>
      <c r="H37" s="553">
        <f>+$B$37*H25</f>
        <v>9501.128592515257</v>
      </c>
      <c r="I37" s="553"/>
      <c r="J37" s="553"/>
      <c r="K37" s="553"/>
      <c r="L37" s="553"/>
      <c r="M37" s="553"/>
      <c r="N37" s="553">
        <f t="shared" si="0"/>
        <v>0</v>
      </c>
    </row>
    <row r="38" spans="1:14" ht="15.75">
      <c r="A38" s="635" t="s">
        <v>442</v>
      </c>
      <c r="B38" s="553">
        <f>+'Pro Forma'!F30</f>
        <v>4936992.9594999989</v>
      </c>
      <c r="C38" s="658" t="s">
        <v>1385</v>
      </c>
      <c r="D38" s="553">
        <f>+Disposal!H169+Disposal!I169</f>
        <v>4142710.6499999994</v>
      </c>
      <c r="E38" s="553"/>
      <c r="F38" s="553">
        <f>+Disposal!F169+Disposal!K169+Disposal!L169</f>
        <v>479997.09950000007</v>
      </c>
      <c r="G38" s="553"/>
      <c r="H38" s="553">
        <f>+Disposal!G169+Disposal!N169+Disposal!O169+Disposal!P169+Disposal!Q169+Disposal!R169+Disposal!S169</f>
        <v>314285.20999999996</v>
      </c>
      <c r="I38" s="553"/>
      <c r="J38" s="553"/>
      <c r="K38" s="553"/>
      <c r="L38" s="553"/>
      <c r="M38" s="553"/>
      <c r="N38" s="553">
        <f t="shared" si="0"/>
        <v>0</v>
      </c>
    </row>
    <row r="39" spans="1:14" ht="15.75">
      <c r="A39" s="633" t="s">
        <v>443</v>
      </c>
      <c r="B39" s="553">
        <f>+'Pro Forma'!F31</f>
        <v>3741651.2299999995</v>
      </c>
      <c r="C39" s="658" t="s">
        <v>1385</v>
      </c>
      <c r="D39" s="553">
        <f>+Disposal!J169</f>
        <v>3741651.2299999995</v>
      </c>
      <c r="E39" s="553"/>
      <c r="F39" s="553"/>
      <c r="G39" s="553"/>
      <c r="H39" s="553"/>
      <c r="I39" s="553"/>
      <c r="J39" s="553"/>
      <c r="K39" s="553"/>
      <c r="L39" s="553"/>
      <c r="M39" s="553"/>
      <c r="N39" s="553">
        <f t="shared" si="0"/>
        <v>0</v>
      </c>
    </row>
    <row r="40" spans="1:14" ht="15.75">
      <c r="A40" s="635" t="s">
        <v>444</v>
      </c>
      <c r="B40" s="553">
        <f>+'Pro Forma'!F32</f>
        <v>325359.96960000001</v>
      </c>
      <c r="C40" s="658" t="s">
        <v>1385</v>
      </c>
      <c r="D40" s="553"/>
      <c r="E40" s="553"/>
      <c r="F40" s="553">
        <f>+'12 Month P&amp;L'!AC145+Disposal!C183+Disposal!C185</f>
        <v>242699.77119999999</v>
      </c>
      <c r="G40" s="553">
        <f>+'12 Month P&amp;L'!AC147</f>
        <v>31868.080000000002</v>
      </c>
      <c r="H40" s="553">
        <f>+'12 Month P&amp;L'!AC146+Disposal!C184</f>
        <v>50792.118399999999</v>
      </c>
      <c r="I40" s="553"/>
      <c r="J40" s="553"/>
      <c r="K40" s="553"/>
      <c r="L40" s="553"/>
      <c r="M40" s="553"/>
      <c r="N40" s="553">
        <f t="shared" si="0"/>
        <v>0</v>
      </c>
    </row>
    <row r="41" spans="1:14" ht="15.75">
      <c r="A41" s="635" t="s">
        <v>1344</v>
      </c>
      <c r="B41" s="553">
        <f>+'Pro Forma'!F33</f>
        <v>669164.69999999995</v>
      </c>
      <c r="C41" s="656" t="s">
        <v>536</v>
      </c>
      <c r="D41" s="553">
        <f>+$B$41*D26</f>
        <v>442056.21529942157</v>
      </c>
      <c r="E41" s="553">
        <f>+$B$41*E26</f>
        <v>39760.846263842701</v>
      </c>
      <c r="F41" s="553">
        <f>+$B$41*F26</f>
        <v>90561.462156629612</v>
      </c>
      <c r="G41" s="553">
        <f>+$B$41*G26</f>
        <v>21681.077480467378</v>
      </c>
      <c r="H41" s="553">
        <f>+$B$41*H26</f>
        <v>75105.028266968817</v>
      </c>
      <c r="I41" s="553"/>
      <c r="J41" s="553"/>
      <c r="K41" s="553"/>
      <c r="L41" s="553"/>
      <c r="M41" s="553"/>
      <c r="N41" s="553">
        <f t="shared" si="0"/>
        <v>7.0532669895328581E-2</v>
      </c>
    </row>
    <row r="42" spans="1:14" ht="15.75">
      <c r="A42" s="635" t="s">
        <v>445</v>
      </c>
      <c r="B42" s="553">
        <f>+'Pro Forma'!F34</f>
        <v>29542.12</v>
      </c>
      <c r="C42" s="657" t="s">
        <v>534</v>
      </c>
      <c r="D42" s="553">
        <f>+$B$42*D24</f>
        <v>23862.300814968079</v>
      </c>
      <c r="E42" s="553">
        <f>+$B$42*E24</f>
        <v>1287.190340679434</v>
      </c>
      <c r="F42" s="553">
        <f>+$B$42*F24</f>
        <v>1983.1449929426105</v>
      </c>
      <c r="G42" s="553">
        <f>+$B$42*G24</f>
        <v>1024.9190895967665</v>
      </c>
      <c r="H42" s="553">
        <f>+$B$42*H24</f>
        <v>1384.5647618131075</v>
      </c>
      <c r="I42" s="553"/>
      <c r="J42" s="553"/>
      <c r="K42" s="553"/>
      <c r="L42" s="553"/>
      <c r="M42" s="553"/>
      <c r="N42" s="553">
        <f t="shared" si="0"/>
        <v>0</v>
      </c>
    </row>
    <row r="43" spans="1:14" ht="15.75">
      <c r="A43" s="635" t="s">
        <v>480</v>
      </c>
      <c r="B43" s="553">
        <f>+'Pro Forma'!F35</f>
        <v>11151.77</v>
      </c>
      <c r="C43" s="657" t="s">
        <v>534</v>
      </c>
      <c r="D43" s="553">
        <f>+$B$43*D24</f>
        <v>9007.7113747874755</v>
      </c>
      <c r="E43" s="553">
        <f>+$B$43*E24</f>
        <v>485.89778341834278</v>
      </c>
      <c r="F43" s="553">
        <f>+$B$43*F24</f>
        <v>748.61170552240731</v>
      </c>
      <c r="G43" s="553">
        <f>+$B$43*G24</f>
        <v>386.8937623905303</v>
      </c>
      <c r="H43" s="553">
        <f>+$B$43*H24</f>
        <v>522.65537388124335</v>
      </c>
      <c r="I43" s="553"/>
      <c r="J43" s="553"/>
      <c r="K43" s="553"/>
      <c r="L43" s="553"/>
      <c r="M43" s="553"/>
      <c r="N43" s="553">
        <f t="shared" si="0"/>
        <v>0</v>
      </c>
    </row>
    <row r="44" spans="1:14" ht="15.75">
      <c r="A44" s="635" t="s">
        <v>446</v>
      </c>
      <c r="B44" s="553">
        <f>+'Pro Forma'!F36</f>
        <v>6314.29</v>
      </c>
      <c r="C44" s="657" t="s">
        <v>534</v>
      </c>
      <c r="D44" s="553">
        <f>+$B$44*D24</f>
        <v>5100.2936625044103</v>
      </c>
      <c r="E44" s="553">
        <f>+$B$44*E24</f>
        <v>275.12220166490232</v>
      </c>
      <c r="F44" s="553">
        <f>+$B$44*F24</f>
        <v>423.87454243255382</v>
      </c>
      <c r="G44" s="553">
        <f>+$B$44*G24</f>
        <v>219.06472379944185</v>
      </c>
      <c r="H44" s="553">
        <f>+$B$44*H24</f>
        <v>295.93486959869114</v>
      </c>
      <c r="I44" s="553"/>
      <c r="J44" s="553"/>
      <c r="K44" s="553"/>
      <c r="L44" s="553"/>
      <c r="M44" s="553"/>
      <c r="N44" s="553">
        <f t="shared" si="0"/>
        <v>0</v>
      </c>
    </row>
    <row r="45" spans="1:14" ht="15.75">
      <c r="A45" s="635" t="s">
        <v>447</v>
      </c>
      <c r="B45" s="553">
        <f>+'Pro Forma'!F37</f>
        <v>0</v>
      </c>
      <c r="C45" s="553"/>
      <c r="D45" s="553"/>
      <c r="E45" s="553"/>
      <c r="F45" s="553"/>
      <c r="G45" s="553"/>
      <c r="H45" s="553"/>
      <c r="I45" s="553"/>
      <c r="J45" s="553"/>
      <c r="K45" s="553"/>
      <c r="L45" s="553"/>
      <c r="M45" s="553"/>
      <c r="N45" s="553">
        <f t="shared" si="0"/>
        <v>0</v>
      </c>
    </row>
    <row r="46" spans="1:14" ht="15.75">
      <c r="A46" s="635" t="s">
        <v>448</v>
      </c>
      <c r="B46" s="553">
        <f>+'Pro Forma'!F38</f>
        <v>0</v>
      </c>
      <c r="C46" s="553"/>
      <c r="D46" s="553"/>
      <c r="E46" s="553"/>
      <c r="F46" s="553"/>
      <c r="G46" s="553"/>
      <c r="H46" s="553"/>
      <c r="I46" s="553"/>
      <c r="J46" s="553"/>
      <c r="K46" s="553"/>
      <c r="L46" s="553"/>
      <c r="M46" s="553"/>
      <c r="N46" s="553">
        <f t="shared" si="0"/>
        <v>0</v>
      </c>
    </row>
    <row r="47" spans="1:14" ht="15.75">
      <c r="A47" s="635" t="s">
        <v>449</v>
      </c>
      <c r="B47" s="553">
        <f>+'Pro Forma'!F39</f>
        <v>473163.5</v>
      </c>
      <c r="C47" s="657" t="s">
        <v>534</v>
      </c>
      <c r="D47" s="553">
        <f t="shared" ref="D47:I47" si="8">+$B$47*D24</f>
        <v>382192.26554029126</v>
      </c>
      <c r="E47" s="553">
        <f t="shared" si="8"/>
        <v>20616.37711721682</v>
      </c>
      <c r="F47" s="553">
        <f t="shared" si="8"/>
        <v>31763.185102091553</v>
      </c>
      <c r="G47" s="553">
        <f t="shared" si="8"/>
        <v>16415.690669810414</v>
      </c>
      <c r="H47" s="553">
        <f t="shared" si="8"/>
        <v>22175.981570589931</v>
      </c>
      <c r="I47" s="553">
        <f t="shared" si="8"/>
        <v>0</v>
      </c>
      <c r="J47" s="553"/>
      <c r="K47" s="553"/>
      <c r="L47" s="553"/>
      <c r="M47" s="553"/>
      <c r="N47" s="553">
        <f t="shared" si="0"/>
        <v>0</v>
      </c>
    </row>
    <row r="48" spans="1:14" ht="15.75">
      <c r="A48" s="635" t="s">
        <v>450</v>
      </c>
      <c r="B48" s="553">
        <f>+'Pro Forma'!F40</f>
        <v>4770.34</v>
      </c>
      <c r="C48" s="657" t="s">
        <v>534</v>
      </c>
      <c r="D48" s="553">
        <f>+$B$48*D24</f>
        <v>3853.1861650306355</v>
      </c>
      <c r="E48" s="553">
        <f>+$B$48*E24</f>
        <v>207.85020065441248</v>
      </c>
      <c r="F48" s="553">
        <f>+$B$48*F24</f>
        <v>320.23009471337377</v>
      </c>
      <c r="G48" s="553">
        <f>+$B$48*G24</f>
        <v>165.49971802521415</v>
      </c>
      <c r="H48" s="553">
        <f>+$B$48*H24</f>
        <v>223.57382157636417</v>
      </c>
      <c r="I48" s="553"/>
      <c r="J48" s="553"/>
      <c r="K48" s="553"/>
      <c r="L48" s="553"/>
      <c r="M48" s="553"/>
      <c r="N48" s="553">
        <f t="shared" si="0"/>
        <v>0</v>
      </c>
    </row>
    <row r="49" spans="1:14" ht="15.75">
      <c r="A49" s="635" t="s">
        <v>451</v>
      </c>
      <c r="B49" s="553">
        <f>+'Pro Forma'!F41</f>
        <v>0</v>
      </c>
      <c r="C49" s="553"/>
      <c r="D49" s="553"/>
      <c r="E49" s="553"/>
      <c r="F49" s="553"/>
      <c r="G49" s="553"/>
      <c r="H49" s="553"/>
      <c r="I49" s="553"/>
      <c r="J49" s="553"/>
      <c r="K49" s="553"/>
      <c r="L49" s="553"/>
      <c r="M49" s="553"/>
      <c r="N49" s="553">
        <f t="shared" si="0"/>
        <v>0</v>
      </c>
    </row>
    <row r="50" spans="1:14" ht="15.75">
      <c r="A50" s="635" t="s">
        <v>452</v>
      </c>
      <c r="B50" s="553">
        <f>+'Pro Forma'!F42</f>
        <v>201980.80000000002</v>
      </c>
      <c r="C50" s="657" t="s">
        <v>534</v>
      </c>
      <c r="D50" s="553">
        <f>+$B$50*D24</f>
        <v>163147.6213774741</v>
      </c>
      <c r="E50" s="553">
        <f>+$B$50*E24</f>
        <v>8800.5781156770281</v>
      </c>
      <c r="F50" s="553">
        <f>+$B$50*F24</f>
        <v>13558.851300805185</v>
      </c>
      <c r="G50" s="553">
        <f>+$B$50*G24</f>
        <v>7007.4178038687332</v>
      </c>
      <c r="H50" s="553">
        <f>+$B$50*H24</f>
        <v>9466.3314021749593</v>
      </c>
      <c r="I50" s="553"/>
      <c r="J50" s="553"/>
      <c r="K50" s="553"/>
      <c r="L50" s="553"/>
      <c r="M50" s="553"/>
      <c r="N50" s="553">
        <f t="shared" si="0"/>
        <v>0</v>
      </c>
    </row>
    <row r="51" spans="1:14" ht="15.75">
      <c r="A51" s="635" t="s">
        <v>453</v>
      </c>
      <c r="B51" s="553">
        <f>+'Pro Forma'!F43</f>
        <v>451046.05</v>
      </c>
      <c r="C51" s="657" t="s">
        <v>534</v>
      </c>
      <c r="D51" s="553">
        <f>+$B$51*D24</f>
        <v>364327.15480483911</v>
      </c>
      <c r="E51" s="553">
        <f>+$B$51*E24</f>
        <v>19652.689744731015</v>
      </c>
      <c r="F51" s="553">
        <f>+$B$51*F24</f>
        <v>30278.453802369037</v>
      </c>
      <c r="G51" s="553">
        <f>+$B$51*G24</f>
        <v>15648.359255605814</v>
      </c>
      <c r="H51" s="553">
        <f>+$B$51*H24</f>
        <v>21139.392392455007</v>
      </c>
      <c r="I51" s="553"/>
      <c r="J51" s="553"/>
      <c r="K51" s="553"/>
      <c r="L51" s="553"/>
      <c r="M51" s="553"/>
      <c r="N51" s="553">
        <f t="shared" si="0"/>
        <v>0</v>
      </c>
    </row>
    <row r="52" spans="1:14" ht="15.75">
      <c r="A52" s="635" t="s">
        <v>454</v>
      </c>
      <c r="B52" s="553">
        <f>+'Pro Forma'!F44</f>
        <v>270920.58</v>
      </c>
      <c r="C52" s="657" t="s">
        <v>534</v>
      </c>
      <c r="D52" s="553">
        <f>+$B$52*D24</f>
        <v>218832.91980824753</v>
      </c>
      <c r="E52" s="553">
        <f>+$B$52*E24</f>
        <v>11804.37807670099</v>
      </c>
      <c r="F52" s="553">
        <f>+$B$52*F24</f>
        <v>18186.737841160622</v>
      </c>
      <c r="G52" s="553">
        <f>+$B$52*G24</f>
        <v>9399.1790097199519</v>
      </c>
      <c r="H52" s="553">
        <f>+$B$52*H24</f>
        <v>12697.365264170918</v>
      </c>
      <c r="I52" s="553"/>
      <c r="J52" s="553"/>
      <c r="K52" s="553"/>
      <c r="L52" s="553"/>
      <c r="M52" s="553"/>
      <c r="N52" s="553">
        <f t="shared" si="0"/>
        <v>0</v>
      </c>
    </row>
    <row r="53" spans="1:14" ht="15.75">
      <c r="A53" s="635" t="s">
        <v>455</v>
      </c>
      <c r="B53" s="553">
        <f>+'Pro Forma'!F45</f>
        <v>0</v>
      </c>
      <c r="C53" s="553"/>
      <c r="D53" s="553"/>
      <c r="E53" s="553"/>
      <c r="F53" s="553"/>
      <c r="G53" s="553"/>
      <c r="H53" s="553"/>
      <c r="I53" s="553"/>
      <c r="J53" s="553"/>
      <c r="K53" s="553"/>
      <c r="L53" s="553"/>
      <c r="M53" s="553"/>
      <c r="N53" s="553">
        <f t="shared" si="0"/>
        <v>0</v>
      </c>
    </row>
    <row r="54" spans="1:14" ht="15.75">
      <c r="A54" s="635" t="s">
        <v>456</v>
      </c>
      <c r="B54" s="553">
        <f>+'Pro Forma'!F46</f>
        <v>115743.79500000001</v>
      </c>
      <c r="C54" s="657" t="s">
        <v>534</v>
      </c>
      <c r="D54" s="553">
        <f t="shared" ref="D54:I54" si="9">+$B$54*D24</f>
        <v>93490.692399732943</v>
      </c>
      <c r="E54" s="553">
        <f t="shared" si="9"/>
        <v>5043.1145401068234</v>
      </c>
      <c r="F54" s="553">
        <f t="shared" si="9"/>
        <v>7769.8123059017425</v>
      </c>
      <c r="G54" s="553">
        <f t="shared" si="9"/>
        <v>4015.555586324705</v>
      </c>
      <c r="H54" s="553">
        <f t="shared" si="9"/>
        <v>5424.6201679337892</v>
      </c>
      <c r="I54" s="553">
        <f t="shared" si="9"/>
        <v>0</v>
      </c>
      <c r="J54" s="553"/>
      <c r="K54" s="553"/>
      <c r="L54" s="553"/>
      <c r="M54" s="553"/>
      <c r="N54" s="553">
        <f t="shared" si="0"/>
        <v>0</v>
      </c>
    </row>
    <row r="55" spans="1:14" ht="15.75">
      <c r="A55" s="635" t="s">
        <v>481</v>
      </c>
      <c r="B55" s="553">
        <f>+'Pro Forma'!F47</f>
        <v>31753.75</v>
      </c>
      <c r="C55" s="657" t="s">
        <v>534</v>
      </c>
      <c r="D55" s="553">
        <f>+$B$55*D24</f>
        <v>25648.718998612581</v>
      </c>
      <c r="E55" s="553">
        <f>+$B$55*E24</f>
        <v>1383.5540672216341</v>
      </c>
      <c r="F55" s="553">
        <f>+$B$55*F24</f>
        <v>2131.6104030330735</v>
      </c>
      <c r="G55" s="553">
        <f>+$B$55*G24</f>
        <v>1101.6482412664807</v>
      </c>
      <c r="H55" s="553">
        <f>+$B$55*H24</f>
        <v>1488.2182898662304</v>
      </c>
      <c r="I55" s="553"/>
      <c r="J55" s="553"/>
      <c r="K55" s="553"/>
      <c r="L55" s="553"/>
      <c r="M55" s="553"/>
      <c r="N55" s="553">
        <f t="shared" si="0"/>
        <v>0</v>
      </c>
    </row>
    <row r="56" spans="1:14" ht="15.75">
      <c r="A56" s="635" t="s">
        <v>457</v>
      </c>
      <c r="B56" s="553">
        <f>+'Pro Forma'!F48</f>
        <v>76211.648000000001</v>
      </c>
      <c r="C56" s="657" t="s">
        <v>534</v>
      </c>
      <c r="D56" s="553">
        <f>+$B$56*D24</f>
        <v>61559.064487601448</v>
      </c>
      <c r="E56" s="553">
        <f>+$B$56*E24</f>
        <v>3320.645138292753</v>
      </c>
      <c r="F56" s="553">
        <f>+$B$56*F24</f>
        <v>5116.0427259487378</v>
      </c>
      <c r="G56" s="553">
        <f>+$B$56*G24</f>
        <v>2644.0476473871622</v>
      </c>
      <c r="H56" s="553">
        <f>+$B$56*H24</f>
        <v>3571.8480007698968</v>
      </c>
      <c r="I56" s="553"/>
      <c r="J56" s="553"/>
      <c r="K56" s="553"/>
      <c r="L56" s="553"/>
      <c r="M56" s="553"/>
      <c r="N56" s="553">
        <f t="shared" si="0"/>
        <v>0</v>
      </c>
    </row>
    <row r="57" spans="1:14" ht="15.75">
      <c r="A57" s="632" t="s">
        <v>458</v>
      </c>
      <c r="B57" s="553">
        <f>+'Pro Forma'!F49</f>
        <v>157304.46</v>
      </c>
      <c r="C57" s="657" t="s">
        <v>534</v>
      </c>
      <c r="D57" s="553">
        <f>+$B$57*D24</f>
        <v>127060.83192594552</v>
      </c>
      <c r="E57" s="553">
        <f>+$B$57*E24</f>
        <v>6853.9692296217872</v>
      </c>
      <c r="F57" s="553">
        <f>+$B$57*F24</f>
        <v>10559.755095996536</v>
      </c>
      <c r="G57" s="553">
        <f>+$B$57*G24</f>
        <v>5457.4398835530747</v>
      </c>
      <c r="H57" s="553">
        <f>+$B$57*H24</f>
        <v>7372.4638648830714</v>
      </c>
      <c r="I57" s="553"/>
      <c r="J57" s="553"/>
      <c r="K57" s="553"/>
      <c r="L57" s="553"/>
      <c r="M57" s="553"/>
      <c r="N57" s="553">
        <f t="shared" si="0"/>
        <v>0</v>
      </c>
    </row>
    <row r="58" spans="1:14" ht="15.75">
      <c r="A58" s="635" t="s">
        <v>459</v>
      </c>
      <c r="B58" s="553">
        <f>+'Pro Forma'!F50</f>
        <v>594632.53979999991</v>
      </c>
      <c r="C58" s="656" t="s">
        <v>536</v>
      </c>
      <c r="D58" s="553">
        <f>+$B$58*D26</f>
        <v>392819.6003732275</v>
      </c>
      <c r="E58" s="553">
        <f>+$B$58*E26</f>
        <v>35332.2477985855</v>
      </c>
      <c r="F58" s="553">
        <f>+$B$58*F26</f>
        <v>80474.645853551818</v>
      </c>
      <c r="G58" s="553">
        <f>+$B$58*G26</f>
        <v>19266.219762953577</v>
      </c>
      <c r="H58" s="553">
        <f>+$B$58*H26</f>
        <v>66739.763335003256</v>
      </c>
      <c r="I58" s="553"/>
      <c r="J58" s="553"/>
      <c r="K58" s="553"/>
      <c r="L58" s="553"/>
      <c r="M58" s="553"/>
      <c r="N58" s="553">
        <f t="shared" si="0"/>
        <v>6.2676678295247257E-2</v>
      </c>
    </row>
    <row r="59" spans="1:14" ht="15.75">
      <c r="A59" s="635" t="s">
        <v>460</v>
      </c>
      <c r="B59" s="553">
        <f>+'Pro Forma'!F51</f>
        <v>97845.9</v>
      </c>
      <c r="C59" s="656" t="s">
        <v>1385</v>
      </c>
      <c r="D59" s="553">
        <f>+B59</f>
        <v>97845.9</v>
      </c>
      <c r="E59" s="553"/>
      <c r="F59" s="553"/>
      <c r="G59" s="553"/>
      <c r="H59" s="553"/>
      <c r="I59" s="553"/>
      <c r="J59" s="553"/>
      <c r="K59" s="553"/>
      <c r="L59" s="553"/>
      <c r="M59" s="553"/>
      <c r="N59" s="553">
        <f t="shared" si="0"/>
        <v>0</v>
      </c>
    </row>
    <row r="60" spans="1:14" ht="15.75">
      <c r="A60" s="635" t="s">
        <v>461</v>
      </c>
      <c r="B60" s="553">
        <f>+'Pro Forma'!F52</f>
        <v>365011.01071428572</v>
      </c>
      <c r="C60" s="656" t="s">
        <v>1385</v>
      </c>
      <c r="D60" s="553">
        <f>+'Regulatory Depreciation '!G195</f>
        <v>267233.76899999997</v>
      </c>
      <c r="E60" s="553">
        <f>+'Regulatory Depreciation '!K195</f>
        <v>51223.71428571429</v>
      </c>
      <c r="F60" s="553">
        <f>+'Regulatory Depreciation '!L195</f>
        <v>19453.227428571427</v>
      </c>
      <c r="G60" s="553">
        <f>+'Regulatory Depreciation '!M195</f>
        <v>0</v>
      </c>
      <c r="H60" s="553">
        <f>+'Regulatory Depreciation '!N195</f>
        <v>27100.300000000003</v>
      </c>
      <c r="I60" s="553"/>
      <c r="J60" s="553"/>
      <c r="K60" s="553"/>
      <c r="L60" s="553"/>
      <c r="M60" s="553"/>
      <c r="N60" s="553">
        <f t="shared" si="0"/>
        <v>0</v>
      </c>
    </row>
    <row r="61" spans="1:14" ht="15.75">
      <c r="A61" s="635" t="s">
        <v>462</v>
      </c>
      <c r="B61" s="553">
        <f>+'Pro Forma'!F53</f>
        <v>254030.73</v>
      </c>
      <c r="C61" s="657" t="s">
        <v>534</v>
      </c>
      <c r="D61" s="553">
        <f>+$B$61*D24</f>
        <v>205190.34163783563</v>
      </c>
      <c r="E61" s="553">
        <f>+$B$61*E24</f>
        <v>11068.464344865748</v>
      </c>
      <c r="F61" s="553">
        <f>+$B$61*F24</f>
        <v>17052.932228731595</v>
      </c>
      <c r="G61" s="553">
        <f>+$B$61*G24</f>
        <v>8813.2112563757109</v>
      </c>
      <c r="H61" s="553">
        <f>+$B$61*H24</f>
        <v>11905.780532191318</v>
      </c>
      <c r="I61" s="553"/>
      <c r="J61" s="553"/>
      <c r="K61" s="553"/>
      <c r="L61" s="553"/>
      <c r="M61" s="553"/>
      <c r="N61" s="553">
        <f t="shared" si="0"/>
        <v>0</v>
      </c>
    </row>
    <row r="62" spans="1:14" ht="15.75">
      <c r="A62" s="635" t="s">
        <v>463</v>
      </c>
      <c r="B62" s="553">
        <f>+'Pro Forma'!F54</f>
        <v>4321.5233917995356</v>
      </c>
      <c r="C62" s="656" t="s">
        <v>533</v>
      </c>
      <c r="D62" s="553">
        <f>+$B$62*D23</f>
        <v>2938.9692637431958</v>
      </c>
      <c r="E62" s="553">
        <f>+$B$62*E23</f>
        <v>264.79429128215565</v>
      </c>
      <c r="F62" s="553">
        <f>+$B$62*F23</f>
        <v>326.62044223788831</v>
      </c>
      <c r="G62" s="553">
        <f>+$B$62*G23</f>
        <v>412.97740232315647</v>
      </c>
      <c r="H62" s="553">
        <f>+$B$62*H23</f>
        <v>374.62017593434496</v>
      </c>
      <c r="I62" s="553"/>
      <c r="J62" s="553"/>
      <c r="K62" s="553"/>
      <c r="L62" s="553"/>
      <c r="M62" s="553"/>
      <c r="N62" s="553">
        <f t="shared" si="0"/>
        <v>3.5418162787937035</v>
      </c>
    </row>
    <row r="63" spans="1:14" ht="15.75">
      <c r="A63" s="633" t="s">
        <v>464</v>
      </c>
      <c r="B63" s="553">
        <f>+'Pro Forma'!F55</f>
        <v>8283.5</v>
      </c>
      <c r="C63" s="656" t="s">
        <v>537</v>
      </c>
      <c r="D63" s="553">
        <f t="shared" ref="D63:I63" si="10">+D27*$B$63</f>
        <v>5539.1795768125476</v>
      </c>
      <c r="E63" s="553">
        <f t="shared" si="10"/>
        <v>538.19750788458873</v>
      </c>
      <c r="F63" s="553">
        <f t="shared" si="10"/>
        <v>1210.4307503316661</v>
      </c>
      <c r="G63" s="553">
        <f t="shared" si="10"/>
        <v>0</v>
      </c>
      <c r="H63" s="553">
        <f t="shared" si="10"/>
        <v>995.69216497119771</v>
      </c>
      <c r="I63" s="553">
        <f t="shared" si="10"/>
        <v>0</v>
      </c>
      <c r="J63" s="553"/>
      <c r="K63" s="553"/>
      <c r="L63" s="553"/>
      <c r="M63" s="553"/>
      <c r="N63" s="553">
        <f t="shared" si="0"/>
        <v>0</v>
      </c>
    </row>
    <row r="64" spans="1:14" ht="15.75">
      <c r="A64" s="633" t="s">
        <v>479</v>
      </c>
      <c r="B64" s="553">
        <f>+'Pro Forma'!F56</f>
        <v>113262.34</v>
      </c>
      <c r="C64" s="656" t="s">
        <v>537</v>
      </c>
      <c r="D64" s="553">
        <f t="shared" ref="D64:I64" si="11">+D27*$B$64</f>
        <v>75738.569511679714</v>
      </c>
      <c r="E64" s="553">
        <f t="shared" si="11"/>
        <v>7358.9073610402575</v>
      </c>
      <c r="F64" s="553">
        <f t="shared" si="11"/>
        <v>16550.518402911846</v>
      </c>
      <c r="G64" s="553">
        <f t="shared" si="11"/>
        <v>0</v>
      </c>
      <c r="H64" s="553">
        <f t="shared" si="11"/>
        <v>13614.344724368188</v>
      </c>
      <c r="I64" s="553">
        <f t="shared" si="11"/>
        <v>0</v>
      </c>
      <c r="J64" s="553"/>
      <c r="K64" s="553"/>
      <c r="L64" s="553"/>
      <c r="M64" s="553"/>
      <c r="N64" s="553">
        <f t="shared" si="0"/>
        <v>0</v>
      </c>
    </row>
    <row r="65" spans="1:14" ht="15.75">
      <c r="A65" s="635" t="s">
        <v>465</v>
      </c>
      <c r="B65" s="553">
        <f>+'Pro Forma'!F57</f>
        <v>3131.99</v>
      </c>
      <c r="C65" s="657" t="s">
        <v>534</v>
      </c>
      <c r="D65" s="553">
        <f t="shared" ref="D65:I65" si="12">+$B$65*D24</f>
        <v>2529.8281751435534</v>
      </c>
      <c r="E65" s="553">
        <f t="shared" si="12"/>
        <v>136.46506327591183</v>
      </c>
      <c r="F65" s="553">
        <f t="shared" si="12"/>
        <v>210.24863098675135</v>
      </c>
      <c r="G65" s="553">
        <f t="shared" si="12"/>
        <v>108.65964729092484</v>
      </c>
      <c r="H65" s="553">
        <f t="shared" si="12"/>
        <v>146.78848330285822</v>
      </c>
      <c r="I65" s="553">
        <f t="shared" si="12"/>
        <v>0</v>
      </c>
      <c r="J65" s="553"/>
      <c r="K65" s="553"/>
      <c r="L65" s="553"/>
      <c r="M65" s="553"/>
      <c r="N65" s="553">
        <f t="shared" si="0"/>
        <v>0</v>
      </c>
    </row>
    <row r="66" spans="1:14" ht="15.75">
      <c r="A66" s="635" t="s">
        <v>466</v>
      </c>
      <c r="B66" s="553">
        <f>+'Pro Forma'!F58</f>
        <v>11213.66</v>
      </c>
      <c r="C66" s="657" t="s">
        <v>534</v>
      </c>
      <c r="D66" s="553">
        <f t="shared" ref="D66:I66" si="13">+$B$66*D24</f>
        <v>9057.7022961376824</v>
      </c>
      <c r="E66" s="553">
        <f t="shared" si="13"/>
        <v>488.59441487826001</v>
      </c>
      <c r="F66" s="553">
        <f t="shared" si="13"/>
        <v>752.76634451287975</v>
      </c>
      <c r="G66" s="553">
        <f t="shared" si="13"/>
        <v>389.04094216148593</v>
      </c>
      <c r="H66" s="553">
        <f t="shared" si="13"/>
        <v>525.55600230969105</v>
      </c>
      <c r="I66" s="553">
        <f t="shared" si="13"/>
        <v>0</v>
      </c>
      <c r="J66" s="553"/>
      <c r="K66" s="553"/>
      <c r="L66" s="553"/>
      <c r="M66" s="553"/>
      <c r="N66" s="553">
        <f t="shared" si="0"/>
        <v>0</v>
      </c>
    </row>
    <row r="67" spans="1:14" ht="15.75">
      <c r="A67" s="635" t="s">
        <v>467</v>
      </c>
      <c r="B67" s="553">
        <f>+'Pro Forma'!F59</f>
        <v>244171.31</v>
      </c>
      <c r="C67" s="656" t="s">
        <v>537</v>
      </c>
      <c r="D67" s="553">
        <f t="shared" ref="D67:I67" si="14">+$B$67*D27</f>
        <v>163277.44716551763</v>
      </c>
      <c r="E67" s="553">
        <f t="shared" si="14"/>
        <v>15864.355711826567</v>
      </c>
      <c r="F67" s="553">
        <f t="shared" si="14"/>
        <v>35679.659802349954</v>
      </c>
      <c r="G67" s="553">
        <f t="shared" si="14"/>
        <v>0</v>
      </c>
      <c r="H67" s="553">
        <f t="shared" si="14"/>
        <v>29349.847320305842</v>
      </c>
      <c r="I67" s="553">
        <f t="shared" si="14"/>
        <v>0</v>
      </c>
      <c r="J67" s="553"/>
      <c r="K67" s="553"/>
      <c r="L67" s="553"/>
      <c r="M67" s="553"/>
      <c r="N67" s="553">
        <f t="shared" si="0"/>
        <v>0</v>
      </c>
    </row>
    <row r="68" spans="1:14" ht="15.75">
      <c r="A68" s="635" t="s">
        <v>468</v>
      </c>
      <c r="B68" s="627">
        <f>+'Pro Forma'!F60</f>
        <v>2415.38</v>
      </c>
      <c r="C68" s="656" t="s">
        <v>537</v>
      </c>
      <c r="D68" s="553">
        <f t="shared" ref="D68:I68" si="15">+$B$68*D27</f>
        <v>1615.1655177450946</v>
      </c>
      <c r="E68" s="553">
        <f t="shared" si="15"/>
        <v>156.93263675913298</v>
      </c>
      <c r="F68" s="553">
        <f t="shared" si="15"/>
        <v>352.94866007558392</v>
      </c>
      <c r="G68" s="553">
        <f t="shared" si="15"/>
        <v>0</v>
      </c>
      <c r="H68" s="553">
        <f t="shared" si="15"/>
        <v>290.3331854201885</v>
      </c>
      <c r="I68" s="553">
        <f t="shared" si="15"/>
        <v>0</v>
      </c>
      <c r="J68" s="627"/>
      <c r="K68" s="627"/>
      <c r="L68" s="627"/>
      <c r="M68" s="627"/>
      <c r="N68" s="553">
        <f t="shared" si="0"/>
        <v>0</v>
      </c>
    </row>
    <row r="69" spans="1:14" ht="15.75">
      <c r="A69" s="635" t="s">
        <v>469</v>
      </c>
      <c r="B69" s="628">
        <f>SUM(B31:B68)</f>
        <v>19333649.161706071</v>
      </c>
      <c r="C69" s="628"/>
      <c r="D69" s="628">
        <f t="shared" ref="D69:I69" si="16">SUM(D31:D68)</f>
        <v>14413840.197911292</v>
      </c>
      <c r="E69" s="628">
        <f t="shared" si="16"/>
        <v>710955.24736023485</v>
      </c>
      <c r="F69" s="628">
        <f t="shared" si="16"/>
        <v>1938562.5810756201</v>
      </c>
      <c r="G69" s="628">
        <f t="shared" si="16"/>
        <v>356464.52327110892</v>
      </c>
      <c r="H69" s="628">
        <f t="shared" si="16"/>
        <v>1913822.6621556873</v>
      </c>
      <c r="I69" s="628">
        <f t="shared" si="16"/>
        <v>0</v>
      </c>
      <c r="J69" s="628"/>
      <c r="K69" s="628"/>
      <c r="L69" s="628"/>
      <c r="M69" s="628"/>
      <c r="N69" s="553">
        <f t="shared" si="0"/>
        <v>3.949932124465704</v>
      </c>
    </row>
    <row r="70" spans="1:14" ht="15.75">
      <c r="A70" s="635" t="s">
        <v>470</v>
      </c>
      <c r="B70" s="553">
        <f>+B21-B69</f>
        <v>-487025.32416106761</v>
      </c>
      <c r="C70" s="553"/>
      <c r="D70" s="553">
        <f t="shared" ref="D70:I70" si="17">+D21-D69</f>
        <v>-1596682.1816012897</v>
      </c>
      <c r="E70" s="553">
        <f t="shared" si="17"/>
        <v>443840.86263976526</v>
      </c>
      <c r="F70" s="553">
        <f t="shared" si="17"/>
        <v>-514136.0410756201</v>
      </c>
      <c r="G70" s="553">
        <f t="shared" si="17"/>
        <v>1444573.9183488914</v>
      </c>
      <c r="H70" s="553">
        <f t="shared" si="17"/>
        <v>-280064.17060451186</v>
      </c>
      <c r="I70" s="553">
        <f t="shared" si="17"/>
        <v>15446.238063826953</v>
      </c>
      <c r="J70" s="553"/>
      <c r="K70" s="553"/>
      <c r="L70" s="553"/>
      <c r="M70" s="553"/>
      <c r="N70" s="553">
        <f t="shared" si="0"/>
        <v>-3.9499321295879781</v>
      </c>
    </row>
    <row r="71" spans="1:14" ht="15.75">
      <c r="A71" s="635"/>
      <c r="B71" s="553"/>
      <c r="C71" s="553"/>
      <c r="D71" s="553"/>
      <c r="E71" s="553"/>
      <c r="F71" s="553"/>
      <c r="G71" s="553"/>
      <c r="H71" s="553"/>
      <c r="I71" s="553"/>
      <c r="J71" s="553"/>
      <c r="K71" s="553"/>
      <c r="L71" s="553"/>
      <c r="M71" s="553"/>
      <c r="N71" s="553"/>
    </row>
    <row r="72" spans="1:14" ht="15.75">
      <c r="A72" s="635" t="s">
        <v>471</v>
      </c>
      <c r="B72" s="553">
        <f>+'Pro Forma'!F64</f>
        <v>0</v>
      </c>
      <c r="C72" s="553"/>
      <c r="D72" s="553"/>
      <c r="E72" s="553"/>
      <c r="F72" s="553"/>
      <c r="G72" s="553"/>
      <c r="H72" s="553"/>
      <c r="I72" s="553"/>
      <c r="J72" s="553"/>
      <c r="K72" s="553"/>
      <c r="L72" s="553"/>
      <c r="M72" s="553"/>
      <c r="N72" s="553"/>
    </row>
    <row r="73" spans="1:14" ht="15.75">
      <c r="A73" s="635" t="s">
        <v>472</v>
      </c>
      <c r="B73" s="553">
        <f>+'Pro Forma'!F65</f>
        <v>-3580.38</v>
      </c>
      <c r="C73" s="553"/>
      <c r="D73" s="553"/>
      <c r="E73" s="553"/>
      <c r="F73" s="553"/>
      <c r="G73" s="553"/>
      <c r="H73" s="553"/>
      <c r="I73" s="553"/>
      <c r="J73" s="553"/>
      <c r="K73" s="553"/>
      <c r="L73" s="553"/>
      <c r="M73" s="553"/>
      <c r="N73" s="553"/>
    </row>
    <row r="74" spans="1:14" ht="15.75">
      <c r="A74" s="635" t="s">
        <v>473</v>
      </c>
      <c r="B74" s="553">
        <f>+'Pro Forma'!F66</f>
        <v>289.89</v>
      </c>
      <c r="C74" s="553"/>
      <c r="D74" s="553"/>
      <c r="E74" s="553"/>
      <c r="F74" s="553"/>
      <c r="G74" s="553"/>
      <c r="H74" s="553"/>
      <c r="I74" s="553"/>
      <c r="J74" s="553"/>
      <c r="K74" s="553"/>
      <c r="L74" s="553"/>
      <c r="M74" s="553"/>
      <c r="N74" s="553"/>
    </row>
    <row r="75" spans="1:14" ht="15.75">
      <c r="A75" s="635" t="s">
        <v>474</v>
      </c>
      <c r="B75" s="553">
        <f>+'Pro Forma'!F67</f>
        <v>6674.24</v>
      </c>
      <c r="C75" s="553"/>
      <c r="D75" s="553"/>
      <c r="E75" s="553"/>
      <c r="F75" s="553"/>
      <c r="G75" s="553"/>
      <c r="H75" s="553"/>
      <c r="I75" s="553"/>
      <c r="J75" s="553"/>
      <c r="K75" s="553"/>
      <c r="L75" s="553"/>
      <c r="M75" s="553"/>
      <c r="N75" s="553"/>
    </row>
    <row r="76" spans="1:14" ht="15.75">
      <c r="A76" s="635" t="s">
        <v>475</v>
      </c>
      <c r="B76" s="627">
        <f>+'Pro Forma'!F68</f>
        <v>594.69999999999982</v>
      </c>
      <c r="C76" s="627"/>
      <c r="D76" s="627"/>
      <c r="E76" s="627"/>
      <c r="F76" s="627"/>
      <c r="G76" s="627"/>
      <c r="H76" s="627"/>
      <c r="I76" s="627"/>
      <c r="J76" s="627"/>
      <c r="K76" s="627"/>
      <c r="L76" s="627"/>
      <c r="M76" s="627"/>
      <c r="N76" s="553"/>
    </row>
    <row r="77" spans="1:14" ht="15.75">
      <c r="A77" s="635" t="s">
        <v>476</v>
      </c>
      <c r="B77" s="627">
        <f>+'Pro Forma'!F69</f>
        <v>-61143.14</v>
      </c>
      <c r="C77" s="627"/>
      <c r="D77" s="627"/>
      <c r="E77" s="627"/>
      <c r="F77" s="627"/>
      <c r="G77" s="627"/>
      <c r="H77" s="627"/>
      <c r="I77" s="627"/>
      <c r="J77" s="627"/>
      <c r="K77" s="627"/>
      <c r="L77" s="627"/>
      <c r="M77" s="627"/>
      <c r="N77" s="553"/>
    </row>
    <row r="78" spans="1:14" ht="15.75">
      <c r="A78" s="635" t="s">
        <v>477</v>
      </c>
      <c r="B78" s="553">
        <f>SUM(B72:B77)</f>
        <v>-57164.69</v>
      </c>
      <c r="C78" s="553"/>
      <c r="D78" s="553"/>
      <c r="E78" s="553"/>
      <c r="F78" s="553"/>
      <c r="G78" s="553"/>
      <c r="H78" s="553"/>
      <c r="I78" s="553"/>
      <c r="J78" s="553"/>
      <c r="K78" s="553"/>
      <c r="L78" s="553"/>
      <c r="M78" s="553"/>
      <c r="N78" s="553"/>
    </row>
    <row r="79" spans="1:14" ht="15.75">
      <c r="A79" s="635"/>
      <c r="B79" s="553"/>
      <c r="C79" s="553"/>
      <c r="D79" s="553"/>
      <c r="E79" s="553"/>
      <c r="F79" s="553"/>
      <c r="G79" s="553"/>
      <c r="H79" s="553"/>
      <c r="I79" s="553"/>
      <c r="J79" s="553"/>
      <c r="K79" s="553"/>
      <c r="L79" s="553"/>
      <c r="M79" s="553"/>
      <c r="N79" s="553"/>
    </row>
    <row r="80" spans="1:14" ht="15.75">
      <c r="A80" s="635" t="s">
        <v>112</v>
      </c>
      <c r="B80" s="553"/>
      <c r="C80" s="553"/>
      <c r="D80" s="553"/>
      <c r="E80" s="553"/>
      <c r="F80" s="553"/>
      <c r="G80" s="553"/>
      <c r="H80" s="553"/>
      <c r="I80" s="553"/>
      <c r="J80" s="553"/>
      <c r="K80" s="553"/>
      <c r="L80" s="553"/>
      <c r="M80" s="553"/>
      <c r="N80" s="553"/>
    </row>
    <row r="81" spans="1:14" ht="15.75">
      <c r="A81" s="635"/>
      <c r="B81" s="553"/>
      <c r="C81" s="553"/>
      <c r="D81" s="553"/>
      <c r="E81" s="553"/>
      <c r="F81" s="553"/>
      <c r="G81" s="553"/>
      <c r="H81" s="553"/>
      <c r="I81" s="553"/>
      <c r="J81" s="553"/>
      <c r="K81" s="553"/>
      <c r="L81" s="553"/>
      <c r="M81" s="553"/>
      <c r="N81" s="553"/>
    </row>
    <row r="82" spans="1:14" ht="15.75">
      <c r="A82" s="635"/>
      <c r="B82" s="553"/>
      <c r="C82" s="553"/>
      <c r="D82" s="553"/>
      <c r="E82" s="553"/>
      <c r="F82" s="553"/>
      <c r="G82" s="553"/>
      <c r="H82" s="553"/>
      <c r="I82" s="553"/>
      <c r="J82" s="553"/>
      <c r="K82" s="553"/>
      <c r="L82" s="553"/>
      <c r="M82" s="553"/>
      <c r="N82" s="553"/>
    </row>
    <row r="83" spans="1:14" ht="15.75">
      <c r="A83" s="635" t="s">
        <v>478</v>
      </c>
      <c r="B83" s="553"/>
      <c r="C83" s="553"/>
      <c r="D83" s="553"/>
      <c r="E83" s="553"/>
      <c r="F83" s="553"/>
      <c r="G83" s="553"/>
      <c r="H83" s="553"/>
      <c r="I83" s="553"/>
      <c r="J83" s="553"/>
      <c r="K83" s="553"/>
      <c r="L83" s="553"/>
      <c r="M83" s="553"/>
      <c r="N83" s="553"/>
    </row>
    <row r="84" spans="1:14" ht="15.75">
      <c r="A84" s="553"/>
      <c r="B84" s="553"/>
      <c r="C84" s="553"/>
      <c r="D84" s="553"/>
      <c r="E84" s="553"/>
      <c r="F84" s="553"/>
      <c r="G84" s="553"/>
      <c r="H84" s="553"/>
      <c r="I84" s="553"/>
      <c r="J84" s="553"/>
      <c r="K84" s="553"/>
      <c r="L84" s="553"/>
      <c r="M84" s="553"/>
      <c r="N84" s="553"/>
    </row>
  </sheetData>
  <printOptions headings="1" gridLines="1"/>
  <pageMargins left="0.45" right="0.2" top="0.75" bottom="0.75" header="0.3" footer="0.3"/>
  <pageSetup scale="78" fitToHeight="0" orientation="portrait" r:id="rId1"/>
  <headerFooter>
    <oddFooter>&amp;L&amp;T&amp;D&amp;CPage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AD43-6742-4BE0-BFCD-85E20AEC8F71}">
  <sheetPr>
    <pageSetUpPr fitToPage="1"/>
  </sheetPr>
  <dimension ref="A1:AO343"/>
  <sheetViews>
    <sheetView topLeftCell="A4" workbookViewId="0">
      <pane ySplit="7" topLeftCell="A196" activePane="bottomLeft" state="frozen"/>
      <selection activeCell="A4" sqref="A4"/>
      <selection pane="bottomLeft" activeCell="K204" sqref="K204"/>
    </sheetView>
  </sheetViews>
  <sheetFormatPr defaultRowHeight="15"/>
  <cols>
    <col min="1" max="1" width="26.33203125" bestFit="1" customWidth="1"/>
    <col min="2" max="2" width="3" bestFit="1" customWidth="1"/>
    <col min="3" max="3" width="4.33203125" bestFit="1" customWidth="1"/>
    <col min="4" max="4" width="10.77734375" bestFit="1" customWidth="1"/>
    <col min="5" max="5" width="6" bestFit="1" customWidth="1"/>
    <col min="6" max="6" width="5.77734375" bestFit="1" customWidth="1"/>
    <col min="7" max="7" width="9.33203125" customWidth="1"/>
    <col min="8" max="9" width="8.88671875" hidden="1" customWidth="1"/>
    <col min="10" max="10" width="9.33203125" hidden="1" customWidth="1"/>
    <col min="11" max="11" width="12.88671875" bestFit="1" customWidth="1"/>
    <col min="12" max="12" width="12.6640625" bestFit="1" customWidth="1"/>
    <col min="13" max="13" width="9" bestFit="1" customWidth="1"/>
    <col min="14" max="14" width="9.77734375" bestFit="1" customWidth="1"/>
    <col min="15" max="15" width="10.6640625" customWidth="1"/>
    <col min="16" max="16" width="9.5546875" bestFit="1" customWidth="1"/>
    <col min="17" max="17" width="10.33203125" bestFit="1" customWidth="1"/>
    <col min="18" max="18" width="9.6640625" bestFit="1" customWidth="1"/>
    <col min="19" max="19" width="10.6640625" bestFit="1" customWidth="1"/>
    <col min="20" max="20" width="12.6640625" bestFit="1" customWidth="1"/>
    <col min="21" max="25" width="10.6640625" customWidth="1"/>
    <col min="26" max="32" width="15" bestFit="1" customWidth="1"/>
    <col min="33" max="33" width="7.77734375" bestFit="1" customWidth="1"/>
    <col min="34" max="35" width="9" bestFit="1" customWidth="1"/>
    <col min="36" max="36" width="11" bestFit="1" customWidth="1"/>
    <col min="37" max="37" width="9.6640625" bestFit="1" customWidth="1"/>
    <col min="38" max="38" width="9.21875" bestFit="1" customWidth="1"/>
    <col min="39" max="39" width="5.77734375" bestFit="1" customWidth="1"/>
    <col min="40" max="40" width="9.88671875" bestFit="1" customWidth="1"/>
    <col min="41" max="41" width="4.33203125" customWidth="1"/>
  </cols>
  <sheetData>
    <row r="1" spans="1:41" ht="15.75">
      <c r="A1" s="42" t="s">
        <v>482</v>
      </c>
      <c r="B1" s="43"/>
      <c r="C1" s="43"/>
      <c r="D1" s="44"/>
      <c r="E1" s="43"/>
      <c r="F1" s="43"/>
      <c r="G1" s="43"/>
      <c r="H1" s="43"/>
      <c r="I1" s="43"/>
      <c r="J1" s="43"/>
      <c r="K1" s="43"/>
      <c r="L1" s="43"/>
      <c r="M1" s="43"/>
      <c r="N1" s="43"/>
      <c r="O1" s="43"/>
      <c r="P1" s="43"/>
      <c r="Q1" s="42"/>
      <c r="R1" s="44"/>
      <c r="S1" s="45" t="s">
        <v>483</v>
      </c>
      <c r="T1" s="45" t="s">
        <v>484</v>
      </c>
      <c r="U1" s="45" t="s">
        <v>485</v>
      </c>
      <c r="V1" s="45" t="s">
        <v>486</v>
      </c>
      <c r="W1" s="45" t="s">
        <v>487</v>
      </c>
      <c r="X1" s="45" t="s">
        <v>488</v>
      </c>
      <c r="Y1" s="45" t="s">
        <v>489</v>
      </c>
      <c r="Z1" s="45" t="s">
        <v>490</v>
      </c>
      <c r="AA1" s="46"/>
      <c r="AB1" s="46"/>
      <c r="AC1" s="46"/>
      <c r="AD1" s="46"/>
      <c r="AE1" s="46"/>
      <c r="AF1" s="46"/>
      <c r="AG1" s="46"/>
      <c r="AH1" s="46"/>
      <c r="AI1" s="46"/>
      <c r="AJ1" s="46"/>
      <c r="AK1" s="46"/>
      <c r="AL1" s="46"/>
      <c r="AM1" s="46"/>
      <c r="AN1" s="46"/>
      <c r="AO1" s="46"/>
    </row>
    <row r="2" spans="1:41" ht="15.75">
      <c r="A2" s="43" t="s">
        <v>491</v>
      </c>
      <c r="B2" s="43"/>
      <c r="C2" s="43"/>
      <c r="D2" s="43"/>
      <c r="E2" s="44"/>
      <c r="F2" s="43"/>
      <c r="G2" s="43"/>
      <c r="H2" s="43"/>
      <c r="I2" s="43"/>
      <c r="J2" s="43"/>
      <c r="K2" s="43"/>
      <c r="L2" s="43"/>
      <c r="M2" s="43"/>
      <c r="N2" s="43"/>
      <c r="O2" s="43"/>
      <c r="P2" s="43"/>
      <c r="Q2" s="42"/>
      <c r="R2" s="44"/>
      <c r="S2" s="47">
        <v>5.9655037020324909E-2</v>
      </c>
      <c r="T2" s="47">
        <v>7.5228941939803992E-2</v>
      </c>
      <c r="U2" s="47">
        <v>7.7331099659825224E-3</v>
      </c>
      <c r="V2" s="47">
        <v>6.3935413354739108E-3</v>
      </c>
      <c r="W2" s="47">
        <v>2.3227750814068093E-2</v>
      </c>
      <c r="X2" s="47">
        <v>4.8109505763019214E-2</v>
      </c>
      <c r="Y2" s="47">
        <v>0.22034788683867262</v>
      </c>
      <c r="Z2" s="47">
        <v>0.77965211316132743</v>
      </c>
      <c r="AA2" s="46"/>
      <c r="AB2" s="46"/>
      <c r="AC2" s="46"/>
      <c r="AD2" s="46"/>
      <c r="AE2" s="46"/>
      <c r="AF2" s="46"/>
      <c r="AG2" s="46"/>
      <c r="AH2" s="46"/>
      <c r="AI2" s="46"/>
      <c r="AJ2" s="46"/>
      <c r="AK2" s="46"/>
      <c r="AL2" s="46"/>
      <c r="AM2" s="46"/>
      <c r="AN2" s="46"/>
      <c r="AO2" s="46"/>
    </row>
    <row r="3" spans="1:41" ht="15.75">
      <c r="A3" s="48"/>
      <c r="B3" s="46"/>
      <c r="C3" s="46"/>
      <c r="D3" s="46"/>
      <c r="E3" s="46"/>
      <c r="F3" s="46"/>
      <c r="G3" s="46"/>
      <c r="H3" s="46"/>
      <c r="I3" s="46"/>
      <c r="J3" s="49"/>
      <c r="K3" s="49"/>
      <c r="L3" s="49"/>
      <c r="M3" s="49"/>
      <c r="N3" s="49"/>
      <c r="O3" s="49"/>
      <c r="P3" s="49"/>
      <c r="Q3" s="49"/>
      <c r="R3" s="49"/>
      <c r="S3" s="50"/>
      <c r="T3" s="50"/>
      <c r="U3" s="50"/>
      <c r="V3" s="50"/>
      <c r="W3" s="50">
        <f>W2/Y10</f>
        <v>0.32560476711027003</v>
      </c>
      <c r="X3" s="50">
        <f>X2/Y10</f>
        <v>0.67439523288972991</v>
      </c>
      <c r="Y3" s="50"/>
      <c r="Z3" s="49"/>
      <c r="AA3" s="49"/>
      <c r="AB3" s="49"/>
      <c r="AC3" s="49"/>
      <c r="AD3" s="49"/>
      <c r="AE3" s="49"/>
      <c r="AF3" s="49"/>
      <c r="AG3" s="50"/>
      <c r="AH3" s="49"/>
      <c r="AI3" s="49"/>
      <c r="AJ3" s="46"/>
      <c r="AK3" s="51"/>
      <c r="AL3" s="51"/>
      <c r="AM3" s="46"/>
      <c r="AN3" s="46"/>
      <c r="AO3" s="46"/>
    </row>
    <row r="4" spans="1:41" ht="15.75">
      <c r="A4" s="46"/>
      <c r="B4" s="46"/>
      <c r="C4" s="46"/>
      <c r="D4" s="46"/>
      <c r="E4" s="46"/>
      <c r="F4" s="46"/>
      <c r="G4" s="46"/>
      <c r="H4" s="46"/>
      <c r="I4" s="46"/>
      <c r="J4" s="49"/>
      <c r="K4" s="49"/>
      <c r="L4" s="49"/>
      <c r="M4" s="49"/>
      <c r="N4" s="49"/>
      <c r="O4" s="49"/>
      <c r="P4" s="49"/>
      <c r="Q4" s="49"/>
      <c r="R4" s="49"/>
      <c r="S4" s="50"/>
      <c r="T4" s="50"/>
      <c r="U4" s="50"/>
      <c r="V4" s="50"/>
      <c r="W4" s="50"/>
      <c r="X4" s="50"/>
      <c r="Y4" s="50"/>
      <c r="Z4" s="49"/>
      <c r="AA4" s="49"/>
      <c r="AB4" s="49"/>
      <c r="AC4" s="49"/>
      <c r="AD4" s="49"/>
      <c r="AE4" s="49"/>
      <c r="AF4" s="49"/>
      <c r="AG4" s="50"/>
      <c r="AH4" s="49"/>
      <c r="AI4" s="49"/>
      <c r="AJ4" s="46"/>
      <c r="AK4" s="51"/>
      <c r="AL4" s="51"/>
      <c r="AM4" s="46"/>
      <c r="AN4" s="46"/>
      <c r="AO4" s="46"/>
    </row>
    <row r="5" spans="1:41" ht="15.75">
      <c r="A5" s="52"/>
      <c r="B5" s="52"/>
      <c r="C5" s="871" t="s">
        <v>492</v>
      </c>
      <c r="D5" s="871"/>
      <c r="E5" s="871" t="s">
        <v>493</v>
      </c>
      <c r="F5" s="871"/>
      <c r="G5" s="52"/>
      <c r="H5" s="52"/>
      <c r="I5" s="52"/>
      <c r="J5" s="53"/>
      <c r="K5" s="53"/>
      <c r="L5" s="53"/>
      <c r="M5" s="53"/>
      <c r="N5" s="53"/>
      <c r="O5" s="53"/>
      <c r="P5" s="53"/>
      <c r="Q5" s="53"/>
      <c r="R5" s="53"/>
      <c r="S5" s="54"/>
      <c r="T5" s="54"/>
      <c r="U5" s="54"/>
      <c r="V5" s="54"/>
      <c r="W5" s="54"/>
      <c r="X5" s="54"/>
      <c r="Y5" s="54"/>
      <c r="Z5" s="53"/>
      <c r="AA5" s="53"/>
      <c r="AB5" s="53"/>
      <c r="AC5" s="53"/>
      <c r="AD5" s="53"/>
      <c r="AE5" s="53"/>
      <c r="AF5" s="53"/>
      <c r="AG5" s="54"/>
      <c r="AH5" s="53"/>
      <c r="AI5" s="53"/>
      <c r="AJ5" s="52"/>
      <c r="AK5" s="55"/>
      <c r="AL5" s="55"/>
      <c r="AM5" s="52"/>
      <c r="AN5" s="52"/>
      <c r="AO5" s="46"/>
    </row>
    <row r="6" spans="1:41" ht="15.75">
      <c r="A6" s="52"/>
      <c r="B6" s="52"/>
      <c r="C6" s="56" t="s">
        <v>494</v>
      </c>
      <c r="D6" s="56" t="s">
        <v>495</v>
      </c>
      <c r="E6" s="56" t="s">
        <v>494</v>
      </c>
      <c r="F6" s="56" t="s">
        <v>495</v>
      </c>
      <c r="G6" s="52"/>
      <c r="H6" s="52"/>
      <c r="I6" s="52"/>
      <c r="J6" s="53"/>
      <c r="K6" s="53"/>
      <c r="L6" s="53"/>
      <c r="M6" s="53"/>
      <c r="N6" s="53"/>
      <c r="O6" s="53"/>
      <c r="P6" s="53"/>
      <c r="Q6" s="53"/>
      <c r="R6" s="53"/>
      <c r="S6" s="54"/>
      <c r="T6" s="54"/>
      <c r="U6" s="54"/>
      <c r="V6" s="54"/>
      <c r="W6" s="54"/>
      <c r="X6" s="54"/>
      <c r="Y6" s="54"/>
      <c r="Z6" s="53"/>
      <c r="AA6" s="53"/>
      <c r="AB6" s="53"/>
      <c r="AC6" s="53"/>
      <c r="AD6" s="53"/>
      <c r="AE6" s="53"/>
      <c r="AF6" s="53"/>
      <c r="AG6" s="54"/>
      <c r="AH6" s="53"/>
      <c r="AI6" s="53"/>
      <c r="AJ6" s="52"/>
      <c r="AK6" s="55"/>
      <c r="AL6" s="55"/>
      <c r="AM6" s="52"/>
      <c r="AN6" s="52"/>
      <c r="AO6" s="46"/>
    </row>
    <row r="7" spans="1:41" ht="15.75">
      <c r="A7" s="52"/>
      <c r="B7" s="52"/>
      <c r="C7" s="56">
        <v>1</v>
      </c>
      <c r="D7" s="56">
        <v>2018</v>
      </c>
      <c r="E7" s="56">
        <v>12</v>
      </c>
      <c r="F7" s="56">
        <v>2018</v>
      </c>
      <c r="G7" s="52"/>
      <c r="H7" s="52"/>
      <c r="I7" s="52"/>
      <c r="J7" s="53"/>
      <c r="K7" s="53"/>
      <c r="L7" s="53"/>
      <c r="M7" s="53"/>
      <c r="N7" s="57"/>
      <c r="O7" s="57"/>
      <c r="P7" s="53"/>
      <c r="Q7" s="53"/>
      <c r="R7" s="53"/>
      <c r="S7" s="54"/>
      <c r="T7" s="54"/>
      <c r="U7" s="54"/>
      <c r="V7" s="54"/>
      <c r="W7" s="54"/>
      <c r="X7" s="54"/>
      <c r="Y7" s="52"/>
      <c r="Z7" s="57"/>
      <c r="AA7" s="57"/>
      <c r="AB7" s="57"/>
      <c r="AC7" s="57"/>
      <c r="AD7" s="57"/>
      <c r="AE7" s="57"/>
      <c r="AF7" s="57"/>
      <c r="AG7" s="54"/>
      <c r="AH7" s="57"/>
      <c r="AI7" s="57"/>
      <c r="AJ7" s="52"/>
      <c r="AK7" s="55"/>
      <c r="AL7" s="55"/>
      <c r="AM7" s="52"/>
      <c r="AN7" s="52"/>
      <c r="AO7" s="46"/>
    </row>
    <row r="8" spans="1:41" ht="15.75">
      <c r="A8" s="52"/>
      <c r="B8" s="52"/>
      <c r="C8" s="58"/>
      <c r="D8" s="53"/>
      <c r="E8" s="58"/>
      <c r="F8" s="52"/>
      <c r="G8" s="58"/>
      <c r="H8" s="52"/>
      <c r="I8" s="55"/>
      <c r="J8" s="53"/>
      <c r="K8" s="53"/>
      <c r="L8" s="53"/>
      <c r="M8" s="53"/>
      <c r="N8" s="57"/>
      <c r="O8" s="57"/>
      <c r="P8" s="53"/>
      <c r="Q8" s="57"/>
      <c r="R8" s="57"/>
      <c r="S8" s="54"/>
      <c r="T8" s="872" t="s">
        <v>496</v>
      </c>
      <c r="U8" s="872"/>
      <c r="V8" s="872"/>
      <c r="W8" s="872"/>
      <c r="X8" s="872"/>
      <c r="Y8" s="872"/>
      <c r="Z8" s="57"/>
      <c r="AA8" s="869" t="s">
        <v>497</v>
      </c>
      <c r="AB8" s="873"/>
      <c r="AC8" s="873"/>
      <c r="AD8" s="873"/>
      <c r="AE8" s="873"/>
      <c r="AF8" s="870"/>
      <c r="AG8" s="59"/>
      <c r="AH8" s="57"/>
      <c r="AI8" s="57"/>
      <c r="AJ8" s="52"/>
      <c r="AK8" s="52"/>
      <c r="AL8" s="52"/>
      <c r="AM8" s="52"/>
      <c r="AN8" s="52"/>
      <c r="AO8" s="46"/>
    </row>
    <row r="9" spans="1:41" ht="45">
      <c r="A9" s="56" t="s">
        <v>498</v>
      </c>
      <c r="B9" s="871" t="s">
        <v>499</v>
      </c>
      <c r="C9" s="871"/>
      <c r="D9" s="60" t="s">
        <v>500</v>
      </c>
      <c r="E9" s="61" t="s">
        <v>501</v>
      </c>
      <c r="F9" s="61" t="s">
        <v>502</v>
      </c>
      <c r="G9" s="61" t="s">
        <v>503</v>
      </c>
      <c r="H9" s="871" t="s">
        <v>504</v>
      </c>
      <c r="I9" s="871"/>
      <c r="J9" s="871"/>
      <c r="K9" s="60" t="s">
        <v>505</v>
      </c>
      <c r="L9" s="874" t="s">
        <v>506</v>
      </c>
      <c r="M9" s="874"/>
      <c r="N9" s="875" t="s">
        <v>507</v>
      </c>
      <c r="O9" s="876"/>
      <c r="P9" s="60" t="s">
        <v>508</v>
      </c>
      <c r="Q9" s="62" t="s">
        <v>509</v>
      </c>
      <c r="R9" s="62" t="s">
        <v>510</v>
      </c>
      <c r="S9" s="62" t="s">
        <v>511</v>
      </c>
      <c r="T9" s="62" t="s">
        <v>512</v>
      </c>
      <c r="U9" s="62" t="s">
        <v>513</v>
      </c>
      <c r="V9" s="62" t="s">
        <v>514</v>
      </c>
      <c r="W9" s="62" t="s">
        <v>515</v>
      </c>
      <c r="X9" s="62" t="s">
        <v>516</v>
      </c>
      <c r="Y9" s="62" t="s">
        <v>517</v>
      </c>
      <c r="Z9" s="62" t="s">
        <v>496</v>
      </c>
      <c r="AA9" s="52" t="s">
        <v>512</v>
      </c>
      <c r="AB9" s="63" t="s">
        <v>513</v>
      </c>
      <c r="AC9" s="63" t="s">
        <v>514</v>
      </c>
      <c r="AD9" s="63" t="s">
        <v>515</v>
      </c>
      <c r="AE9" s="63" t="s">
        <v>516</v>
      </c>
      <c r="AF9" s="63" t="s">
        <v>517</v>
      </c>
      <c r="AG9" s="63" t="s">
        <v>518</v>
      </c>
      <c r="AH9" s="869" t="s">
        <v>519</v>
      </c>
      <c r="AI9" s="870"/>
      <c r="AJ9" s="63" t="s">
        <v>520</v>
      </c>
      <c r="AK9" s="63" t="s">
        <v>521</v>
      </c>
      <c r="AL9" s="63" t="s">
        <v>522</v>
      </c>
      <c r="AM9" s="660" t="s">
        <v>1395</v>
      </c>
      <c r="AN9" s="63" t="s">
        <v>523</v>
      </c>
      <c r="AO9" s="46"/>
    </row>
    <row r="10" spans="1:41" ht="15.75">
      <c r="A10" s="56" t="s">
        <v>524</v>
      </c>
      <c r="B10" s="56" t="s">
        <v>494</v>
      </c>
      <c r="C10" s="56" t="s">
        <v>495</v>
      </c>
      <c r="D10" s="60" t="s">
        <v>525</v>
      </c>
      <c r="E10" s="61" t="s">
        <v>526</v>
      </c>
      <c r="F10" s="661" t="s">
        <v>1396</v>
      </c>
      <c r="G10" s="56" t="s">
        <v>495</v>
      </c>
      <c r="H10" s="56" t="s">
        <v>527</v>
      </c>
      <c r="I10" s="56" t="s">
        <v>528</v>
      </c>
      <c r="J10" s="60" t="s">
        <v>525</v>
      </c>
      <c r="K10" s="60" t="s">
        <v>525</v>
      </c>
      <c r="L10" s="64" t="s">
        <v>529</v>
      </c>
      <c r="M10" s="64" t="s">
        <v>530</v>
      </c>
      <c r="N10" s="64" t="s">
        <v>531</v>
      </c>
      <c r="O10" s="64" t="s">
        <v>532</v>
      </c>
      <c r="P10" s="64" t="s">
        <v>525</v>
      </c>
      <c r="Q10" s="62" t="s">
        <v>525</v>
      </c>
      <c r="R10" s="62" t="s">
        <v>525</v>
      </c>
      <c r="S10" s="65" t="s">
        <v>526</v>
      </c>
      <c r="T10" s="66">
        <f>Z2</f>
        <v>0.77965211316132743</v>
      </c>
      <c r="U10" s="66">
        <f>S2</f>
        <v>5.9655037020324909E-2</v>
      </c>
      <c r="V10" s="66">
        <f>T2</f>
        <v>7.5228941939803992E-2</v>
      </c>
      <c r="W10" s="66">
        <f>U2</f>
        <v>7.7331099659825224E-3</v>
      </c>
      <c r="X10" s="66">
        <f>V2</f>
        <v>6.3935413354739108E-3</v>
      </c>
      <c r="Y10" s="66">
        <f>W2+X2</f>
        <v>7.133725657708731E-2</v>
      </c>
      <c r="Z10" s="62" t="s">
        <v>525</v>
      </c>
      <c r="AA10" s="67">
        <f>Z2</f>
        <v>0.77965211316132743</v>
      </c>
      <c r="AB10" s="66">
        <f>S2</f>
        <v>5.9655037020324909E-2</v>
      </c>
      <c r="AC10" s="66">
        <f>T2</f>
        <v>7.5228941939803992E-2</v>
      </c>
      <c r="AD10" s="66">
        <f>U2</f>
        <v>7.7331099659825224E-3</v>
      </c>
      <c r="AE10" s="66">
        <f>V2</f>
        <v>6.3935413354739108E-3</v>
      </c>
      <c r="AF10" s="66">
        <f>W2+X2</f>
        <v>7.133725657708731E-2</v>
      </c>
      <c r="AG10" s="65" t="s">
        <v>526</v>
      </c>
      <c r="AH10" s="65" t="s">
        <v>531</v>
      </c>
      <c r="AI10" s="65" t="s">
        <v>532</v>
      </c>
      <c r="AJ10" s="65" t="s">
        <v>533</v>
      </c>
      <c r="AK10" s="65" t="s">
        <v>534</v>
      </c>
      <c r="AL10" s="65" t="s">
        <v>535</v>
      </c>
      <c r="AM10" s="65" t="s">
        <v>536</v>
      </c>
      <c r="AN10" s="65" t="s">
        <v>537</v>
      </c>
      <c r="AO10" s="46"/>
    </row>
    <row r="11" spans="1:41" ht="15.75">
      <c r="A11" s="68" t="s">
        <v>538</v>
      </c>
      <c r="B11" s="58"/>
      <c r="C11" s="58"/>
      <c r="D11" s="69"/>
      <c r="E11" s="70"/>
      <c r="F11" s="58"/>
      <c r="G11" s="58"/>
      <c r="H11" s="58"/>
      <c r="I11" s="58"/>
      <c r="J11" s="69"/>
      <c r="K11" s="69"/>
      <c r="L11" s="57"/>
      <c r="M11" s="57"/>
      <c r="N11" s="57"/>
      <c r="O11" s="57"/>
      <c r="P11" s="57"/>
      <c r="Q11" s="71"/>
      <c r="R11" s="71"/>
      <c r="S11" s="72"/>
      <c r="T11" s="72"/>
      <c r="U11" s="72"/>
      <c r="V11" s="72"/>
      <c r="W11" s="72"/>
      <c r="X11" s="72"/>
      <c r="Y11" s="72"/>
      <c r="Z11" s="71"/>
      <c r="AA11" s="71"/>
      <c r="AB11" s="71"/>
      <c r="AC11" s="71"/>
      <c r="AD11" s="71"/>
      <c r="AE11" s="71"/>
      <c r="AF11" s="71"/>
      <c r="AG11" s="72"/>
      <c r="AH11" s="72"/>
      <c r="AI11" s="72"/>
      <c r="AJ11" s="72"/>
      <c r="AK11" s="72"/>
      <c r="AL11" s="72"/>
      <c r="AM11" s="72"/>
      <c r="AN11" s="72"/>
      <c r="AO11" s="46"/>
    </row>
    <row r="12" spans="1:41" ht="15.75">
      <c r="A12" s="68" t="s">
        <v>539</v>
      </c>
      <c r="B12" s="55">
        <v>4</v>
      </c>
      <c r="C12" s="55">
        <v>1988</v>
      </c>
      <c r="D12" s="72">
        <f>616918+5620</f>
        <v>622538</v>
      </c>
      <c r="E12" s="73">
        <v>0</v>
      </c>
      <c r="F12" s="58">
        <v>5</v>
      </c>
      <c r="G12" s="52">
        <f>C12+F12</f>
        <v>1993</v>
      </c>
      <c r="H12" s="58"/>
      <c r="I12" s="58"/>
      <c r="J12" s="57"/>
      <c r="K12" s="53">
        <f>D12-D12*E12</f>
        <v>622538</v>
      </c>
      <c r="L12" s="53">
        <f>K12/F12/12</f>
        <v>10375.633333333333</v>
      </c>
      <c r="M12" s="53">
        <f>IF(J12&gt;0,0,IF(OR(AJ12&gt;AK12,AL12&lt;AM12),0,IF(AND(AL12&gt;=AM12,AL12&lt;=AK12),L12*((AL12-AM12)*12),IF(AND(AM12&lt;=AJ12,AK12&gt;=AJ12),((AK12-AJ12)*12)*L12,IF(AL12&gt;AK12,12*L12,0)))))</f>
        <v>0</v>
      </c>
      <c r="N12" s="53">
        <f>IF(AJ12&gt;AK12,0,IF(AL12&lt;AM12,K12,IF(AND(AL12&gt;=AM12,AL12&lt;=AK12),(K12-R12),IF(AND(AM12&lt;=AJ12,AK12&gt;=AJ12),0,IF(AL12&gt;AK12,((AM12-AJ12)*12)*L12,0)))))</f>
        <v>622538</v>
      </c>
      <c r="O12" s="53">
        <f>IF(J12&gt;0,0,AI12+Z12*AG12)*AG12</f>
        <v>622538</v>
      </c>
      <c r="P12" s="299">
        <f>IF(J12&gt;0,(D12-AI12)/2,IF(AJ12&gt;=AM12,(((D12*S12)*AG12)-O12)/2,((((D12*S12)*AG12)-AI12)+(((D12*S12)*AG12)-O12))/2))</f>
        <v>0</v>
      </c>
      <c r="Q12" s="53">
        <f>IF(J12=0,0,IF(AND(AN12&gt;=AM12,AN12&lt;=AL12),((AN12-AM12)*12)*L12,0))</f>
        <v>0</v>
      </c>
      <c r="R12" s="53">
        <f>IF(Q12&gt;0,Q12,M12)</f>
        <v>0</v>
      </c>
      <c r="S12" s="54">
        <v>1</v>
      </c>
      <c r="T12" s="74">
        <f>S12*(M12+Q12)</f>
        <v>0</v>
      </c>
      <c r="U12" s="74"/>
      <c r="V12" s="74"/>
      <c r="W12" s="74"/>
      <c r="X12" s="74"/>
      <c r="Y12" s="74">
        <f>X12*(R12+V12)</f>
        <v>0</v>
      </c>
      <c r="Z12" s="53">
        <f>S12*(M12+Q12)</f>
        <v>0</v>
      </c>
      <c r="AA12" s="75">
        <f>P12*S12</f>
        <v>0</v>
      </c>
      <c r="AB12" s="75">
        <f t="shared" ref="AB12:AF25" si="0">Q12*T12</f>
        <v>0</v>
      </c>
      <c r="AC12" s="75">
        <f t="shared" si="0"/>
        <v>0</v>
      </c>
      <c r="AD12" s="75">
        <f t="shared" si="0"/>
        <v>0</v>
      </c>
      <c r="AE12" s="75">
        <f t="shared" si="0"/>
        <v>0</v>
      </c>
      <c r="AF12" s="75">
        <f t="shared" si="0"/>
        <v>0</v>
      </c>
      <c r="AG12" s="54">
        <v>1</v>
      </c>
      <c r="AH12" s="53">
        <f>N12*S12</f>
        <v>622538</v>
      </c>
      <c r="AI12" s="53">
        <f>AH12*AG12</f>
        <v>622538</v>
      </c>
      <c r="AJ12" s="76">
        <f>$C12+(($B12-1)/12)</f>
        <v>1988.25</v>
      </c>
      <c r="AK12" s="52">
        <f>($F$7+1)-($C$7/12)</f>
        <v>2018.9166666666667</v>
      </c>
      <c r="AL12" s="76">
        <f>$G12+(($B12-1)/12)</f>
        <v>1993.25</v>
      </c>
      <c r="AM12" s="52">
        <f>$D$7+($E$7/12)</f>
        <v>2019</v>
      </c>
      <c r="AN12" s="52">
        <f>$I12+(($H12-1)/12)</f>
        <v>-8.3333333333333329E-2</v>
      </c>
      <c r="AO12" s="46"/>
    </row>
    <row r="13" spans="1:41" ht="15.75">
      <c r="A13" s="55" t="s">
        <v>540</v>
      </c>
      <c r="B13" s="55">
        <v>11</v>
      </c>
      <c r="C13" s="55">
        <v>2006</v>
      </c>
      <c r="D13" s="72">
        <v>202043</v>
      </c>
      <c r="E13" s="73">
        <v>0</v>
      </c>
      <c r="F13" s="58">
        <v>7</v>
      </c>
      <c r="G13" s="52">
        <f>C13+F13</f>
        <v>2013</v>
      </c>
      <c r="H13" s="58"/>
      <c r="I13" s="58"/>
      <c r="J13" s="57"/>
      <c r="K13" s="53">
        <f>D13-D13*E13</f>
        <v>202043</v>
      </c>
      <c r="L13" s="53">
        <f t="shared" ref="L13:L25" si="1">K13/F13/12</f>
        <v>2405.2738095238096</v>
      </c>
      <c r="M13" s="53">
        <f>IF(J13&gt;0,0,IF(OR(AJ13&gt;AK13,AL13&lt;AM13),0,IF(AND(AL13&gt;=AM13,AL13&lt;=AK13),L13*((AL13-AM13)*12),IF(AND(AM13&lt;=AJ13,AK13&gt;=AJ13),((AK13-AJ13)*12)*L13,IF(AL13&gt;AK13,12*L13,0)))))</f>
        <v>0</v>
      </c>
      <c r="N13" s="53">
        <f>IF(AJ13&gt;AK13,0,IF(AL13&lt;AM13,K13,IF(AND(AL13&gt;=AM13,AL13&lt;=AK13),(K13-R13),IF(AND(AM13&lt;=AJ13,AK13&gt;=AJ13),0,IF(AL13&gt;AK13,((AM13-AJ13)*12)*L13,0)))))</f>
        <v>202043</v>
      </c>
      <c r="O13" s="53">
        <f>IF(J13&gt;0,0,AI13+Z13*AG13)*AG13</f>
        <v>202043</v>
      </c>
      <c r="P13" s="299">
        <f>IF(J13&gt;0,(D13-AI13)/2,IF(AJ13&gt;=AM13,(((D13*S13)*AG13)-O13)/2,((((D13*S13)*AG13)-AI13)+(((D13*S13)*AG13)-O13))/2))</f>
        <v>0</v>
      </c>
      <c r="Q13" s="53">
        <f>IF(J13=0,0,IF(AND(AN13&gt;=AM13,AN13&lt;=AL13),((AN13-AM13)*12)*L13,0))</f>
        <v>0</v>
      </c>
      <c r="R13" s="53">
        <f t="shared" ref="R13:R25" si="2">IF(Q13&gt;0,Q13,M13)</f>
        <v>0</v>
      </c>
      <c r="S13" s="54">
        <v>1</v>
      </c>
      <c r="T13" s="74">
        <f>S13*(M13+Q13)</f>
        <v>0</v>
      </c>
      <c r="U13" s="74"/>
      <c r="V13" s="74"/>
      <c r="W13" s="74"/>
      <c r="X13" s="74"/>
      <c r="Y13" s="74"/>
      <c r="Z13" s="53">
        <f t="shared" ref="Z13:Z25" si="3">S13*(M13+Q13)</f>
        <v>0</v>
      </c>
      <c r="AA13" s="75">
        <f>P13*S13</f>
        <v>0</v>
      </c>
      <c r="AB13" s="75">
        <f t="shared" si="0"/>
        <v>0</v>
      </c>
      <c r="AC13" s="75">
        <f t="shared" si="0"/>
        <v>0</v>
      </c>
      <c r="AD13" s="75">
        <f t="shared" si="0"/>
        <v>0</v>
      </c>
      <c r="AE13" s="75">
        <f t="shared" si="0"/>
        <v>0</v>
      </c>
      <c r="AF13" s="75">
        <f t="shared" si="0"/>
        <v>0</v>
      </c>
      <c r="AG13" s="54">
        <v>1</v>
      </c>
      <c r="AH13" s="53">
        <f>N13*S13</f>
        <v>202043</v>
      </c>
      <c r="AI13" s="53">
        <f>AH13*AG13</f>
        <v>202043</v>
      </c>
      <c r="AJ13" s="76">
        <f t="shared" ref="AJ13:AJ25" si="4">$C13+(($B13-1)/12)</f>
        <v>2006.8333333333333</v>
      </c>
      <c r="AK13" s="52">
        <f t="shared" ref="AK13:AK25" si="5">($F$7+1)-($C$7/12)</f>
        <v>2018.9166666666667</v>
      </c>
      <c r="AL13" s="76">
        <f t="shared" ref="AL13:AL25" si="6">$G13+(($B13-1)/12)</f>
        <v>2013.8333333333333</v>
      </c>
      <c r="AM13" s="52">
        <f t="shared" ref="AM13:AM25" si="7">$D$7+($E$7/12)</f>
        <v>2019</v>
      </c>
      <c r="AN13" s="52">
        <f t="shared" ref="AN13:AN25" si="8">$I13+(($H13-1)/12)</f>
        <v>-8.3333333333333329E-2</v>
      </c>
      <c r="AO13" s="46"/>
    </row>
    <row r="14" spans="1:41" ht="15.75">
      <c r="A14" s="55" t="s">
        <v>541</v>
      </c>
      <c r="B14" s="55">
        <v>1</v>
      </c>
      <c r="C14" s="55">
        <v>2011</v>
      </c>
      <c r="D14" s="72">
        <v>142500</v>
      </c>
      <c r="E14" s="73">
        <v>0</v>
      </c>
      <c r="F14" s="58">
        <v>7</v>
      </c>
      <c r="G14" s="52">
        <f>C14+F14</f>
        <v>2018</v>
      </c>
      <c r="H14" s="58"/>
      <c r="I14" s="58"/>
      <c r="J14" s="57"/>
      <c r="K14" s="53">
        <f>D14-D14*E14</f>
        <v>142500</v>
      </c>
      <c r="L14" s="53">
        <f t="shared" si="1"/>
        <v>1696.4285714285716</v>
      </c>
      <c r="M14" s="53">
        <f>+L14*12</f>
        <v>20357.142857142859</v>
      </c>
      <c r="N14" s="53">
        <f>+L14*72</f>
        <v>122142.85714285716</v>
      </c>
      <c r="O14" s="53">
        <f>IF(J14&gt;0,0,AI14+Z14*AG14)*AG14</f>
        <v>142500.00000000003</v>
      </c>
      <c r="P14" s="299">
        <f t="shared" ref="P14" si="9">+K14-O14</f>
        <v>0</v>
      </c>
      <c r="Q14" s="53">
        <f>IF(J14=0,0,IF(AND(AN14&gt;=AM14,AN14&lt;=AL14),((AN14-AM14)*12)*L14,0))</f>
        <v>0</v>
      </c>
      <c r="R14" s="53">
        <f t="shared" si="2"/>
        <v>20357.142857142859</v>
      </c>
      <c r="S14" s="54">
        <v>1</v>
      </c>
      <c r="T14" s="74">
        <f>S14*(M14+Q14)</f>
        <v>20357.142857142859</v>
      </c>
      <c r="U14" s="74"/>
      <c r="V14" s="74"/>
      <c r="W14" s="74"/>
      <c r="X14" s="74"/>
      <c r="Y14" s="74"/>
      <c r="Z14" s="53">
        <f t="shared" si="3"/>
        <v>20357.142857142859</v>
      </c>
      <c r="AA14" s="75">
        <f>P14*S14</f>
        <v>0</v>
      </c>
      <c r="AB14" s="75">
        <f t="shared" si="0"/>
        <v>0</v>
      </c>
      <c r="AC14" s="75">
        <f t="shared" si="0"/>
        <v>0</v>
      </c>
      <c r="AD14" s="75">
        <f t="shared" si="0"/>
        <v>0</v>
      </c>
      <c r="AE14" s="75">
        <f t="shared" si="0"/>
        <v>0</v>
      </c>
      <c r="AF14" s="75">
        <f t="shared" si="0"/>
        <v>0</v>
      </c>
      <c r="AG14" s="54">
        <v>1</v>
      </c>
      <c r="AH14" s="53">
        <f>N14*S14</f>
        <v>122142.85714285716</v>
      </c>
      <c r="AI14" s="53">
        <f>AH14*AG14</f>
        <v>122142.85714285716</v>
      </c>
      <c r="AJ14" s="76">
        <f t="shared" si="4"/>
        <v>2011</v>
      </c>
      <c r="AK14" s="52">
        <f t="shared" si="5"/>
        <v>2018.9166666666667</v>
      </c>
      <c r="AL14" s="76">
        <f t="shared" si="6"/>
        <v>2018</v>
      </c>
      <c r="AM14" s="52">
        <f t="shared" si="7"/>
        <v>2019</v>
      </c>
      <c r="AN14" s="52">
        <f t="shared" si="8"/>
        <v>-8.3333333333333329E-2</v>
      </c>
      <c r="AO14" s="46"/>
    </row>
    <row r="15" spans="1:41" ht="15.75">
      <c r="A15" s="88" t="s">
        <v>542</v>
      </c>
      <c r="B15" s="55">
        <v>10</v>
      </c>
      <c r="C15" s="55">
        <v>2015</v>
      </c>
      <c r="D15" s="72">
        <v>25927</v>
      </c>
      <c r="E15" s="73">
        <v>0</v>
      </c>
      <c r="F15" s="58">
        <v>7</v>
      </c>
      <c r="G15" s="52">
        <f t="shared" ref="G15:G25" si="10">C15+F15</f>
        <v>2022</v>
      </c>
      <c r="H15" s="58"/>
      <c r="I15" s="58"/>
      <c r="J15" s="57"/>
      <c r="K15" s="53">
        <f t="shared" ref="K15:K25" si="11">D15-D15*E15</f>
        <v>25927</v>
      </c>
      <c r="L15" s="53">
        <f t="shared" si="1"/>
        <v>308.65476190476187</v>
      </c>
      <c r="M15" s="53">
        <f t="shared" ref="M15:M19" si="12">IF(J15&gt;0,0,IF(OR(AJ15&gt;AK15,AL15&lt;AM15),0,IF(AND(AL15&gt;=AM15,AL15&lt;=AK15),L15*((AL15-AM15)*12),IF(AND(AM15&lt;=AJ15,AK15&gt;=AJ15),((AK15-AJ15)*12)*L15,IF(AL15&gt;AK15,12*L15,0)))))</f>
        <v>3703.8571428571422</v>
      </c>
      <c r="N15" s="53">
        <f>+L15*27</f>
        <v>8333.6785714285706</v>
      </c>
      <c r="O15" s="53">
        <f t="shared" ref="O15:O25" si="13">IF(J15&gt;0,0,AI15+Z15*AG15)*AG15</f>
        <v>12037.535714285714</v>
      </c>
      <c r="P15" s="299">
        <f>((K15-N15)+(K15-O15))/2</f>
        <v>15741.392857142857</v>
      </c>
      <c r="Q15" s="53">
        <f t="shared" ref="Q15:Q25" si="14">IF(J15=0,0,IF(AND(AN15&gt;=AM15,AN15&lt;=AL15),((AN15-AM15)*12)*L15,0))</f>
        <v>0</v>
      </c>
      <c r="R15" s="53">
        <f t="shared" si="2"/>
        <v>3703.8571428571422</v>
      </c>
      <c r="S15" s="54">
        <v>1</v>
      </c>
      <c r="T15" s="74">
        <f t="shared" ref="T15:T25" si="15">S15*(M15+Q15)</f>
        <v>3703.8571428571422</v>
      </c>
      <c r="U15" s="74"/>
      <c r="V15" s="74"/>
      <c r="W15" s="74"/>
      <c r="X15" s="74"/>
      <c r="Y15" s="74"/>
      <c r="Z15" s="53">
        <f t="shared" si="3"/>
        <v>3703.8571428571422</v>
      </c>
      <c r="AA15" s="75">
        <f t="shared" ref="AA15:AA25" si="16">P15*S15</f>
        <v>15741.392857142857</v>
      </c>
      <c r="AB15" s="75">
        <f t="shared" si="0"/>
        <v>0</v>
      </c>
      <c r="AC15" s="75">
        <f t="shared" si="0"/>
        <v>0</v>
      </c>
      <c r="AD15" s="75">
        <f t="shared" si="0"/>
        <v>0</v>
      </c>
      <c r="AE15" s="75">
        <f t="shared" si="0"/>
        <v>0</v>
      </c>
      <c r="AF15" s="75">
        <f t="shared" si="0"/>
        <v>0</v>
      </c>
      <c r="AG15" s="54">
        <v>1</v>
      </c>
      <c r="AH15" s="53">
        <f t="shared" ref="AH15:AH25" si="17">N15*S15</f>
        <v>8333.6785714285706</v>
      </c>
      <c r="AI15" s="53">
        <f t="shared" ref="AI15:AI25" si="18">AH15*AG15</f>
        <v>8333.6785714285706</v>
      </c>
      <c r="AJ15" s="76">
        <f t="shared" si="4"/>
        <v>2015.75</v>
      </c>
      <c r="AK15" s="52">
        <f t="shared" si="5"/>
        <v>2018.9166666666667</v>
      </c>
      <c r="AL15" s="76">
        <f t="shared" si="6"/>
        <v>2022.75</v>
      </c>
      <c r="AM15" s="52">
        <f t="shared" si="7"/>
        <v>2019</v>
      </c>
      <c r="AN15" s="52">
        <f t="shared" si="8"/>
        <v>-8.3333333333333329E-2</v>
      </c>
      <c r="AO15" s="46"/>
    </row>
    <row r="16" spans="1:41" ht="15.75">
      <c r="A16" s="88" t="s">
        <v>543</v>
      </c>
      <c r="B16" s="55">
        <v>1</v>
      </c>
      <c r="C16" s="55">
        <v>2017</v>
      </c>
      <c r="D16" s="72">
        <v>42996</v>
      </c>
      <c r="E16" s="73">
        <v>0</v>
      </c>
      <c r="F16" s="58">
        <v>10</v>
      </c>
      <c r="G16" s="52">
        <f t="shared" si="10"/>
        <v>2027</v>
      </c>
      <c r="H16" s="58"/>
      <c r="I16" s="58"/>
      <c r="J16" s="57"/>
      <c r="K16" s="53">
        <f t="shared" si="11"/>
        <v>42996</v>
      </c>
      <c r="L16" s="53">
        <f t="shared" si="1"/>
        <v>358.3</v>
      </c>
      <c r="M16" s="53">
        <f t="shared" si="12"/>
        <v>4299.6000000000004</v>
      </c>
      <c r="N16" s="53">
        <f>+L16*12</f>
        <v>4299.6000000000004</v>
      </c>
      <c r="O16" s="53">
        <f t="shared" si="13"/>
        <v>8599.2000000000007</v>
      </c>
      <c r="P16" s="299">
        <f t="shared" ref="P16:P25" si="19">((K16-N16)+(K16-O16))/2</f>
        <v>36546.600000000006</v>
      </c>
      <c r="Q16" s="53">
        <f t="shared" si="14"/>
        <v>0</v>
      </c>
      <c r="R16" s="53">
        <f t="shared" si="2"/>
        <v>4299.6000000000004</v>
      </c>
      <c r="S16" s="54">
        <v>1</v>
      </c>
      <c r="T16" s="74">
        <f t="shared" si="15"/>
        <v>4299.6000000000004</v>
      </c>
      <c r="U16" s="74"/>
      <c r="V16" s="74"/>
      <c r="W16" s="74"/>
      <c r="X16" s="74"/>
      <c r="Y16" s="74"/>
      <c r="Z16" s="53">
        <f t="shared" si="3"/>
        <v>4299.6000000000004</v>
      </c>
      <c r="AA16" s="75">
        <f t="shared" si="16"/>
        <v>36546.600000000006</v>
      </c>
      <c r="AB16" s="75">
        <f t="shared" si="0"/>
        <v>0</v>
      </c>
      <c r="AC16" s="75">
        <f t="shared" si="0"/>
        <v>0</v>
      </c>
      <c r="AD16" s="75">
        <f t="shared" si="0"/>
        <v>0</v>
      </c>
      <c r="AE16" s="75">
        <f t="shared" si="0"/>
        <v>0</v>
      </c>
      <c r="AF16" s="75">
        <f t="shared" si="0"/>
        <v>0</v>
      </c>
      <c r="AG16" s="54">
        <v>1</v>
      </c>
      <c r="AH16" s="53">
        <f t="shared" si="17"/>
        <v>4299.6000000000004</v>
      </c>
      <c r="AI16" s="53">
        <f t="shared" si="18"/>
        <v>4299.6000000000004</v>
      </c>
      <c r="AJ16" s="76">
        <f t="shared" si="4"/>
        <v>2017</v>
      </c>
      <c r="AK16" s="52">
        <f t="shared" si="5"/>
        <v>2018.9166666666667</v>
      </c>
      <c r="AL16" s="76">
        <f t="shared" si="6"/>
        <v>2027</v>
      </c>
      <c r="AM16" s="52">
        <f t="shared" si="7"/>
        <v>2019</v>
      </c>
      <c r="AN16" s="52">
        <f t="shared" si="8"/>
        <v>-8.3333333333333329E-2</v>
      </c>
      <c r="AO16" s="46"/>
    </row>
    <row r="17" spans="1:41" ht="15.75">
      <c r="A17" s="88" t="s">
        <v>543</v>
      </c>
      <c r="B17" s="55">
        <v>4</v>
      </c>
      <c r="C17" s="55">
        <v>2017</v>
      </c>
      <c r="D17" s="72">
        <v>37715</v>
      </c>
      <c r="E17" s="73">
        <v>0</v>
      </c>
      <c r="F17" s="58">
        <v>10</v>
      </c>
      <c r="G17" s="52">
        <f t="shared" si="10"/>
        <v>2027</v>
      </c>
      <c r="H17" s="58"/>
      <c r="I17" s="58"/>
      <c r="J17" s="57"/>
      <c r="K17" s="53">
        <f t="shared" si="11"/>
        <v>37715</v>
      </c>
      <c r="L17" s="53">
        <f t="shared" si="1"/>
        <v>314.29166666666669</v>
      </c>
      <c r="M17" s="53">
        <f t="shared" si="12"/>
        <v>3771.5</v>
      </c>
      <c r="N17" s="53">
        <f>+L17*9</f>
        <v>2828.625</v>
      </c>
      <c r="O17" s="53">
        <f t="shared" si="13"/>
        <v>6600.125</v>
      </c>
      <c r="P17" s="299">
        <f t="shared" si="19"/>
        <v>33000.625</v>
      </c>
      <c r="Q17" s="53">
        <f t="shared" si="14"/>
        <v>0</v>
      </c>
      <c r="R17" s="53">
        <f t="shared" si="2"/>
        <v>3771.5</v>
      </c>
      <c r="S17" s="54">
        <v>1</v>
      </c>
      <c r="T17" s="74">
        <f t="shared" si="15"/>
        <v>3771.5</v>
      </c>
      <c r="U17" s="74"/>
      <c r="V17" s="74"/>
      <c r="W17" s="74"/>
      <c r="X17" s="74"/>
      <c r="Y17" s="74"/>
      <c r="Z17" s="53">
        <f t="shared" si="3"/>
        <v>3771.5</v>
      </c>
      <c r="AA17" s="75">
        <f t="shared" si="16"/>
        <v>33000.625</v>
      </c>
      <c r="AB17" s="75">
        <f t="shared" si="0"/>
        <v>0</v>
      </c>
      <c r="AC17" s="75">
        <f t="shared" si="0"/>
        <v>0</v>
      </c>
      <c r="AD17" s="75">
        <f t="shared" si="0"/>
        <v>0</v>
      </c>
      <c r="AE17" s="75">
        <f t="shared" si="0"/>
        <v>0</v>
      </c>
      <c r="AF17" s="75">
        <f t="shared" si="0"/>
        <v>0</v>
      </c>
      <c r="AG17" s="54">
        <v>1</v>
      </c>
      <c r="AH17" s="53">
        <f t="shared" si="17"/>
        <v>2828.625</v>
      </c>
      <c r="AI17" s="53">
        <f t="shared" si="18"/>
        <v>2828.625</v>
      </c>
      <c r="AJ17" s="76">
        <f t="shared" si="4"/>
        <v>2017.25</v>
      </c>
      <c r="AK17" s="52">
        <f t="shared" si="5"/>
        <v>2018.9166666666667</v>
      </c>
      <c r="AL17" s="76">
        <f t="shared" si="6"/>
        <v>2027.25</v>
      </c>
      <c r="AM17" s="52">
        <f t="shared" si="7"/>
        <v>2019</v>
      </c>
      <c r="AN17" s="52">
        <f t="shared" si="8"/>
        <v>-8.3333333333333329E-2</v>
      </c>
      <c r="AO17" s="46"/>
    </row>
    <row r="18" spans="1:41" ht="15.75">
      <c r="A18" s="88" t="s">
        <v>543</v>
      </c>
      <c r="B18" s="55">
        <v>5</v>
      </c>
      <c r="C18" s="55">
        <v>2017</v>
      </c>
      <c r="D18" s="72">
        <v>37726</v>
      </c>
      <c r="E18" s="73">
        <v>0</v>
      </c>
      <c r="F18" s="58">
        <v>10</v>
      </c>
      <c r="G18" s="52">
        <f t="shared" si="10"/>
        <v>2027</v>
      </c>
      <c r="H18" s="58"/>
      <c r="I18" s="58"/>
      <c r="J18" s="57"/>
      <c r="K18" s="53">
        <f t="shared" si="11"/>
        <v>37726</v>
      </c>
      <c r="L18" s="53">
        <f t="shared" si="1"/>
        <v>314.38333333333333</v>
      </c>
      <c r="M18" s="53">
        <f t="shared" si="12"/>
        <v>3772.6</v>
      </c>
      <c r="N18" s="53">
        <f>+L18*8</f>
        <v>2515.0666666666666</v>
      </c>
      <c r="O18" s="53">
        <f t="shared" si="13"/>
        <v>6287.6666666666661</v>
      </c>
      <c r="P18" s="299">
        <f t="shared" si="19"/>
        <v>33324.633333333331</v>
      </c>
      <c r="Q18" s="53">
        <f t="shared" si="14"/>
        <v>0</v>
      </c>
      <c r="R18" s="53">
        <f t="shared" si="2"/>
        <v>3772.6</v>
      </c>
      <c r="S18" s="54">
        <v>1</v>
      </c>
      <c r="T18" s="74">
        <f t="shared" si="15"/>
        <v>3772.6</v>
      </c>
      <c r="U18" s="74"/>
      <c r="V18" s="74"/>
      <c r="W18" s="74"/>
      <c r="X18" s="74"/>
      <c r="Y18" s="74"/>
      <c r="Z18" s="53">
        <f t="shared" si="3"/>
        <v>3772.6</v>
      </c>
      <c r="AA18" s="75">
        <f t="shared" si="16"/>
        <v>33324.633333333331</v>
      </c>
      <c r="AB18" s="75">
        <f t="shared" si="0"/>
        <v>0</v>
      </c>
      <c r="AC18" s="75">
        <f t="shared" si="0"/>
        <v>0</v>
      </c>
      <c r="AD18" s="75">
        <f t="shared" si="0"/>
        <v>0</v>
      </c>
      <c r="AE18" s="75">
        <f t="shared" si="0"/>
        <v>0</v>
      </c>
      <c r="AF18" s="75">
        <f t="shared" si="0"/>
        <v>0</v>
      </c>
      <c r="AG18" s="54">
        <v>1</v>
      </c>
      <c r="AH18" s="53">
        <f t="shared" si="17"/>
        <v>2515.0666666666666</v>
      </c>
      <c r="AI18" s="53">
        <f t="shared" si="18"/>
        <v>2515.0666666666666</v>
      </c>
      <c r="AJ18" s="76">
        <f t="shared" si="4"/>
        <v>2017.3333333333333</v>
      </c>
      <c r="AK18" s="52">
        <f t="shared" si="5"/>
        <v>2018.9166666666667</v>
      </c>
      <c r="AL18" s="76">
        <f t="shared" si="6"/>
        <v>2027.3333333333333</v>
      </c>
      <c r="AM18" s="52">
        <f t="shared" si="7"/>
        <v>2019</v>
      </c>
      <c r="AN18" s="52">
        <f t="shared" si="8"/>
        <v>-8.3333333333333329E-2</v>
      </c>
      <c r="AO18" s="46"/>
    </row>
    <row r="19" spans="1:41" ht="15.75">
      <c r="A19" s="88" t="s">
        <v>543</v>
      </c>
      <c r="B19" s="55">
        <v>7</v>
      </c>
      <c r="C19" s="55">
        <v>2017</v>
      </c>
      <c r="D19" s="72">
        <v>46972.89</v>
      </c>
      <c r="E19" s="73">
        <v>0</v>
      </c>
      <c r="F19" s="58">
        <v>10</v>
      </c>
      <c r="G19" s="52">
        <f t="shared" si="10"/>
        <v>2027</v>
      </c>
      <c r="H19" s="58"/>
      <c r="I19" s="58"/>
      <c r="J19" s="57"/>
      <c r="K19" s="53">
        <f t="shared" si="11"/>
        <v>46972.89</v>
      </c>
      <c r="L19" s="53">
        <f t="shared" si="1"/>
        <v>391.44074999999998</v>
      </c>
      <c r="M19" s="53">
        <f t="shared" si="12"/>
        <v>4697.2889999999998</v>
      </c>
      <c r="N19" s="53">
        <f>+L19*6</f>
        <v>2348.6444999999999</v>
      </c>
      <c r="O19" s="53">
        <f t="shared" si="13"/>
        <v>7045.9334999999992</v>
      </c>
      <c r="P19" s="299">
        <f t="shared" si="19"/>
        <v>42275.600999999995</v>
      </c>
      <c r="Q19" s="53">
        <f t="shared" si="14"/>
        <v>0</v>
      </c>
      <c r="R19" s="53">
        <f t="shared" si="2"/>
        <v>4697.2889999999998</v>
      </c>
      <c r="S19" s="54">
        <v>1</v>
      </c>
      <c r="T19" s="74">
        <f t="shared" si="15"/>
        <v>4697.2889999999998</v>
      </c>
      <c r="U19" s="74"/>
      <c r="V19" s="74"/>
      <c r="W19" s="74"/>
      <c r="X19" s="74"/>
      <c r="Y19" s="74"/>
      <c r="Z19" s="53">
        <f t="shared" si="3"/>
        <v>4697.2889999999998</v>
      </c>
      <c r="AA19" s="75">
        <f t="shared" si="16"/>
        <v>42275.600999999995</v>
      </c>
      <c r="AB19" s="75">
        <f t="shared" si="0"/>
        <v>0</v>
      </c>
      <c r="AC19" s="75">
        <f t="shared" si="0"/>
        <v>0</v>
      </c>
      <c r="AD19" s="75">
        <f t="shared" si="0"/>
        <v>0</v>
      </c>
      <c r="AE19" s="75">
        <f t="shared" si="0"/>
        <v>0</v>
      </c>
      <c r="AF19" s="75">
        <f t="shared" si="0"/>
        <v>0</v>
      </c>
      <c r="AG19" s="54">
        <v>1</v>
      </c>
      <c r="AH19" s="53">
        <f t="shared" si="17"/>
        <v>2348.6444999999999</v>
      </c>
      <c r="AI19" s="53">
        <f t="shared" si="18"/>
        <v>2348.6444999999999</v>
      </c>
      <c r="AJ19" s="76">
        <f t="shared" si="4"/>
        <v>2017.5</v>
      </c>
      <c r="AK19" s="52">
        <f t="shared" si="5"/>
        <v>2018.9166666666667</v>
      </c>
      <c r="AL19" s="76">
        <f t="shared" si="6"/>
        <v>2027.5</v>
      </c>
      <c r="AM19" s="52">
        <f t="shared" si="7"/>
        <v>2019</v>
      </c>
      <c r="AN19" s="52">
        <f t="shared" si="8"/>
        <v>-8.3333333333333329E-2</v>
      </c>
      <c r="AO19" s="46"/>
    </row>
    <row r="20" spans="1:41" ht="15.75">
      <c r="A20" s="88" t="s">
        <v>543</v>
      </c>
      <c r="B20" s="55">
        <v>6</v>
      </c>
      <c r="C20" s="55">
        <v>2018</v>
      </c>
      <c r="D20" s="72">
        <v>38723</v>
      </c>
      <c r="E20" s="73">
        <v>0</v>
      </c>
      <c r="F20" s="58">
        <v>10</v>
      </c>
      <c r="G20" s="52">
        <f t="shared" si="10"/>
        <v>2028</v>
      </c>
      <c r="H20" s="58"/>
      <c r="I20" s="58"/>
      <c r="J20" s="57"/>
      <c r="K20" s="53">
        <f t="shared" si="11"/>
        <v>38723</v>
      </c>
      <c r="L20" s="53">
        <f t="shared" si="1"/>
        <v>322.69166666666666</v>
      </c>
      <c r="M20" s="53">
        <f t="shared" ref="M20:M25" si="20">+L20*12</f>
        <v>3872.3</v>
      </c>
      <c r="N20" s="53"/>
      <c r="O20" s="53">
        <f t="shared" si="13"/>
        <v>3872.3</v>
      </c>
      <c r="P20" s="299">
        <f t="shared" si="19"/>
        <v>36786.85</v>
      </c>
      <c r="Q20" s="53">
        <f t="shared" si="14"/>
        <v>0</v>
      </c>
      <c r="R20" s="53">
        <f t="shared" si="2"/>
        <v>3872.3</v>
      </c>
      <c r="S20" s="54">
        <v>1</v>
      </c>
      <c r="T20" s="74">
        <f t="shared" si="15"/>
        <v>3872.3</v>
      </c>
      <c r="U20" s="74"/>
      <c r="V20" s="74"/>
      <c r="W20" s="74"/>
      <c r="X20" s="74"/>
      <c r="Y20" s="74"/>
      <c r="Z20" s="53">
        <f t="shared" si="3"/>
        <v>3872.3</v>
      </c>
      <c r="AA20" s="75">
        <f t="shared" si="16"/>
        <v>36786.85</v>
      </c>
      <c r="AB20" s="75">
        <f t="shared" si="0"/>
        <v>0</v>
      </c>
      <c r="AC20" s="75">
        <f t="shared" si="0"/>
        <v>0</v>
      </c>
      <c r="AD20" s="75">
        <f t="shared" si="0"/>
        <v>0</v>
      </c>
      <c r="AE20" s="75">
        <f t="shared" si="0"/>
        <v>0</v>
      </c>
      <c r="AF20" s="75">
        <f t="shared" si="0"/>
        <v>0</v>
      </c>
      <c r="AG20" s="54">
        <v>1</v>
      </c>
      <c r="AH20" s="53">
        <f t="shared" si="17"/>
        <v>0</v>
      </c>
      <c r="AI20" s="53">
        <f t="shared" si="18"/>
        <v>0</v>
      </c>
      <c r="AJ20" s="76">
        <f t="shared" si="4"/>
        <v>2018.4166666666667</v>
      </c>
      <c r="AK20" s="52">
        <f t="shared" si="5"/>
        <v>2018.9166666666667</v>
      </c>
      <c r="AL20" s="76">
        <f t="shared" si="6"/>
        <v>2028.4166666666667</v>
      </c>
      <c r="AM20" s="52">
        <f t="shared" si="7"/>
        <v>2019</v>
      </c>
      <c r="AN20" s="52">
        <f t="shared" si="8"/>
        <v>-8.3333333333333329E-2</v>
      </c>
      <c r="AO20" s="46"/>
    </row>
    <row r="21" spans="1:41" ht="15.75">
      <c r="A21" s="88" t="s">
        <v>543</v>
      </c>
      <c r="B21" s="55">
        <v>2</v>
      </c>
      <c r="C21" s="55">
        <v>2018</v>
      </c>
      <c r="D21" s="72">
        <v>46806.47</v>
      </c>
      <c r="E21" s="73">
        <v>0</v>
      </c>
      <c r="F21" s="58">
        <v>10</v>
      </c>
      <c r="G21" s="52">
        <f t="shared" ref="G21:G22" si="21">C21+F21</f>
        <v>2028</v>
      </c>
      <c r="H21" s="58"/>
      <c r="I21" s="58"/>
      <c r="J21" s="57"/>
      <c r="K21" s="53">
        <f t="shared" ref="K21:K22" si="22">D21-D21*E21</f>
        <v>46806.47</v>
      </c>
      <c r="L21" s="53">
        <f t="shared" ref="L21:L22" si="23">K21/F21/12</f>
        <v>390.05391666666668</v>
      </c>
      <c r="M21" s="53">
        <f t="shared" ref="M21:M22" si="24">+L21*12</f>
        <v>4680.6469999999999</v>
      </c>
      <c r="N21" s="53"/>
      <c r="O21" s="53">
        <f t="shared" ref="O21:O22" si="25">IF(J21&gt;0,0,AI21+Z21*AG21)*AG21</f>
        <v>4680.6469999999999</v>
      </c>
      <c r="P21" s="299">
        <f t="shared" si="19"/>
        <v>44466.146500000003</v>
      </c>
      <c r="Q21" s="53">
        <f t="shared" ref="Q21:Q22" si="26">IF(J21=0,0,IF(AND(AN21&gt;=AM21,AN21&lt;=AL21),((AN21-AM21)*12)*L21,0))</f>
        <v>0</v>
      </c>
      <c r="R21" s="53">
        <f t="shared" ref="R21:R22" si="27">IF(Q21&gt;0,Q21,M21)</f>
        <v>4680.6469999999999</v>
      </c>
      <c r="S21" s="54">
        <v>1</v>
      </c>
      <c r="T21" s="74">
        <f t="shared" ref="T21:T22" si="28">S21*(M21+Q21)</f>
        <v>4680.6469999999999</v>
      </c>
      <c r="U21" s="74"/>
      <c r="V21" s="74"/>
      <c r="W21" s="74"/>
      <c r="X21" s="74"/>
      <c r="Y21" s="74"/>
      <c r="Z21" s="53">
        <f t="shared" ref="Z21:Z22" si="29">S21*(M21+Q21)</f>
        <v>4680.6469999999999</v>
      </c>
      <c r="AA21" s="75">
        <f t="shared" ref="AA21:AA22" si="30">P21*S21</f>
        <v>44466.146500000003</v>
      </c>
      <c r="AB21" s="75">
        <f t="shared" ref="AB21:AB22" si="31">Q21*T21</f>
        <v>0</v>
      </c>
      <c r="AC21" s="75">
        <f t="shared" ref="AC21:AC22" si="32">R21*U21</f>
        <v>0</v>
      </c>
      <c r="AD21" s="75">
        <f t="shared" ref="AD21:AD22" si="33">S21*V21</f>
        <v>0</v>
      </c>
      <c r="AE21" s="75">
        <f t="shared" ref="AE21:AE22" si="34">T21*W21</f>
        <v>0</v>
      </c>
      <c r="AF21" s="75">
        <f t="shared" ref="AF21:AF22" si="35">U21*X21</f>
        <v>0</v>
      </c>
      <c r="AG21" s="54">
        <v>1</v>
      </c>
      <c r="AH21" s="53">
        <f t="shared" ref="AH21:AH22" si="36">N21*S21</f>
        <v>0</v>
      </c>
      <c r="AI21" s="53">
        <f t="shared" ref="AI21:AI22" si="37">AH21*AG21</f>
        <v>0</v>
      </c>
      <c r="AJ21" s="76">
        <f t="shared" si="4"/>
        <v>2018.0833333333333</v>
      </c>
      <c r="AK21" s="52">
        <f t="shared" si="5"/>
        <v>2018.9166666666667</v>
      </c>
      <c r="AL21" s="76">
        <f t="shared" si="6"/>
        <v>2028.0833333333333</v>
      </c>
      <c r="AM21" s="52">
        <f t="shared" si="7"/>
        <v>2019</v>
      </c>
      <c r="AN21" s="52">
        <f t="shared" si="8"/>
        <v>-8.3333333333333329E-2</v>
      </c>
      <c r="AO21" s="46"/>
    </row>
    <row r="22" spans="1:41" ht="15.75">
      <c r="A22" s="88" t="s">
        <v>543</v>
      </c>
      <c r="B22" s="55">
        <v>9</v>
      </c>
      <c r="C22" s="55">
        <v>2018</v>
      </c>
      <c r="D22" s="72">
        <v>48670.65</v>
      </c>
      <c r="E22" s="73">
        <v>0</v>
      </c>
      <c r="F22" s="58">
        <v>10</v>
      </c>
      <c r="G22" s="52">
        <f t="shared" si="21"/>
        <v>2028</v>
      </c>
      <c r="H22" s="58"/>
      <c r="I22" s="58"/>
      <c r="J22" s="57"/>
      <c r="K22" s="53">
        <f t="shared" si="22"/>
        <v>48670.65</v>
      </c>
      <c r="L22" s="53">
        <f t="shared" si="23"/>
        <v>405.58875000000006</v>
      </c>
      <c r="M22" s="53">
        <f t="shared" si="24"/>
        <v>4867.0650000000005</v>
      </c>
      <c r="N22" s="53"/>
      <c r="O22" s="53">
        <f t="shared" si="25"/>
        <v>4867.0650000000005</v>
      </c>
      <c r="P22" s="299">
        <f t="shared" si="19"/>
        <v>46237.1175</v>
      </c>
      <c r="Q22" s="53">
        <f t="shared" si="26"/>
        <v>0</v>
      </c>
      <c r="R22" s="53">
        <f t="shared" si="27"/>
        <v>4867.0650000000005</v>
      </c>
      <c r="S22" s="54">
        <v>1</v>
      </c>
      <c r="T22" s="74">
        <f t="shared" si="28"/>
        <v>4867.0650000000005</v>
      </c>
      <c r="U22" s="74"/>
      <c r="V22" s="74"/>
      <c r="W22" s="74"/>
      <c r="X22" s="74"/>
      <c r="Y22" s="74"/>
      <c r="Z22" s="53">
        <f t="shared" si="29"/>
        <v>4867.0650000000005</v>
      </c>
      <c r="AA22" s="75">
        <f t="shared" si="30"/>
        <v>46237.1175</v>
      </c>
      <c r="AB22" s="75">
        <f t="shared" si="31"/>
        <v>0</v>
      </c>
      <c r="AC22" s="75">
        <f t="shared" si="32"/>
        <v>0</v>
      </c>
      <c r="AD22" s="75">
        <f t="shared" si="33"/>
        <v>0</v>
      </c>
      <c r="AE22" s="75">
        <f t="shared" si="34"/>
        <v>0</v>
      </c>
      <c r="AF22" s="75">
        <f t="shared" si="35"/>
        <v>0</v>
      </c>
      <c r="AG22" s="54">
        <v>1</v>
      </c>
      <c r="AH22" s="53">
        <f t="shared" si="36"/>
        <v>0</v>
      </c>
      <c r="AI22" s="53">
        <f t="shared" si="37"/>
        <v>0</v>
      </c>
      <c r="AJ22" s="76">
        <f t="shared" si="4"/>
        <v>2018.6666666666667</v>
      </c>
      <c r="AK22" s="52">
        <f t="shared" si="5"/>
        <v>2018.9166666666667</v>
      </c>
      <c r="AL22" s="76">
        <f t="shared" si="6"/>
        <v>2028.6666666666667</v>
      </c>
      <c r="AM22" s="52">
        <f t="shared" si="7"/>
        <v>2019</v>
      </c>
      <c r="AN22" s="52">
        <f t="shared" si="8"/>
        <v>-8.3333333333333329E-2</v>
      </c>
      <c r="AO22" s="46"/>
    </row>
    <row r="23" spans="1:41" ht="15.75">
      <c r="A23" s="88" t="s">
        <v>1397</v>
      </c>
      <c r="B23" s="55">
        <v>12</v>
      </c>
      <c r="C23" s="55">
        <v>2018</v>
      </c>
      <c r="D23" s="72">
        <v>5277</v>
      </c>
      <c r="E23" s="73">
        <v>0</v>
      </c>
      <c r="F23" s="58">
        <v>10</v>
      </c>
      <c r="G23" s="52">
        <f t="shared" ref="G23" si="38">C23+F23</f>
        <v>2028</v>
      </c>
      <c r="H23" s="58"/>
      <c r="I23" s="58"/>
      <c r="J23" s="57"/>
      <c r="K23" s="53">
        <f t="shared" ref="K23" si="39">D23-D23*E23</f>
        <v>5277</v>
      </c>
      <c r="L23" s="53">
        <f t="shared" ref="L23" si="40">K23/F23/12</f>
        <v>43.975000000000001</v>
      </c>
      <c r="M23" s="53">
        <f t="shared" ref="M23" si="41">+L23*12</f>
        <v>527.70000000000005</v>
      </c>
      <c r="N23" s="53"/>
      <c r="O23" s="53">
        <f t="shared" ref="O23" si="42">IF(J23&gt;0,0,AI23+Z23*AG23)*AG23</f>
        <v>527.70000000000005</v>
      </c>
      <c r="P23" s="299">
        <f t="shared" ref="P23" si="43">((K23-N23)+(K23-O23))/2</f>
        <v>5013.1499999999996</v>
      </c>
      <c r="Q23" s="53">
        <f t="shared" ref="Q23" si="44">IF(J23=0,0,IF(AND(AN23&gt;=AM23,AN23&lt;=AL23),((AN23-AM23)*12)*L23,0))</f>
        <v>0</v>
      </c>
      <c r="R23" s="53">
        <f t="shared" ref="R23" si="45">IF(Q23&gt;0,Q23,M23)</f>
        <v>527.70000000000005</v>
      </c>
      <c r="S23" s="54">
        <v>1</v>
      </c>
      <c r="T23" s="74">
        <f t="shared" ref="T23" si="46">S23*(M23+Q23)</f>
        <v>527.70000000000005</v>
      </c>
      <c r="U23" s="74"/>
      <c r="V23" s="74"/>
      <c r="W23" s="74"/>
      <c r="X23" s="74"/>
      <c r="Y23" s="74"/>
      <c r="Z23" s="53">
        <f t="shared" ref="Z23" si="47">S23*(M23+Q23)</f>
        <v>527.70000000000005</v>
      </c>
      <c r="AA23" s="75">
        <f t="shared" ref="AA23" si="48">P23*S23</f>
        <v>5013.1499999999996</v>
      </c>
      <c r="AB23" s="75">
        <f t="shared" ref="AB23" si="49">Q23*T23</f>
        <v>0</v>
      </c>
      <c r="AC23" s="75">
        <f t="shared" ref="AC23" si="50">R23*U23</f>
        <v>0</v>
      </c>
      <c r="AD23" s="75">
        <f t="shared" ref="AD23" si="51">S23*V23</f>
        <v>0</v>
      </c>
      <c r="AE23" s="75">
        <f t="shared" ref="AE23" si="52">T23*W23</f>
        <v>0</v>
      </c>
      <c r="AF23" s="75">
        <f t="shared" ref="AF23" si="53">U23*X23</f>
        <v>0</v>
      </c>
      <c r="AG23" s="54">
        <v>1</v>
      </c>
      <c r="AH23" s="53">
        <f t="shared" ref="AH23" si="54">N23*S23</f>
        <v>0</v>
      </c>
      <c r="AI23" s="53">
        <f t="shared" ref="AI23" si="55">AH23*AG23</f>
        <v>0</v>
      </c>
      <c r="AJ23" s="76">
        <f t="shared" si="4"/>
        <v>2018.9166666666667</v>
      </c>
      <c r="AK23" s="52">
        <f t="shared" si="5"/>
        <v>2018.9166666666667</v>
      </c>
      <c r="AL23" s="76">
        <f t="shared" si="6"/>
        <v>2028.9166666666667</v>
      </c>
      <c r="AM23" s="52">
        <f t="shared" si="7"/>
        <v>2019</v>
      </c>
      <c r="AN23" s="52">
        <f t="shared" si="8"/>
        <v>-8.3333333333333329E-2</v>
      </c>
      <c r="AO23" s="46"/>
    </row>
    <row r="24" spans="1:41" ht="15.75">
      <c r="A24" s="88" t="s">
        <v>544</v>
      </c>
      <c r="B24" s="55">
        <v>5</v>
      </c>
      <c r="C24" s="55">
        <v>2018</v>
      </c>
      <c r="D24" s="72">
        <v>42353</v>
      </c>
      <c r="E24" s="73">
        <v>0</v>
      </c>
      <c r="F24" s="58">
        <v>5</v>
      </c>
      <c r="G24" s="52">
        <f t="shared" si="10"/>
        <v>2023</v>
      </c>
      <c r="H24" s="58"/>
      <c r="I24" s="58"/>
      <c r="J24" s="57"/>
      <c r="K24" s="53">
        <f t="shared" si="11"/>
        <v>42353</v>
      </c>
      <c r="L24" s="53">
        <f t="shared" si="1"/>
        <v>705.88333333333333</v>
      </c>
      <c r="M24" s="53">
        <f t="shared" si="20"/>
        <v>8470.6</v>
      </c>
      <c r="N24" s="53"/>
      <c r="O24" s="53">
        <f t="shared" si="13"/>
        <v>8470.6</v>
      </c>
      <c r="P24" s="299">
        <f t="shared" si="19"/>
        <v>38117.699999999997</v>
      </c>
      <c r="Q24" s="53">
        <f t="shared" si="14"/>
        <v>0</v>
      </c>
      <c r="R24" s="53">
        <f t="shared" si="2"/>
        <v>8470.6</v>
      </c>
      <c r="S24" s="54">
        <v>1</v>
      </c>
      <c r="T24" s="74">
        <f t="shared" si="15"/>
        <v>8470.6</v>
      </c>
      <c r="U24" s="74"/>
      <c r="V24" s="74"/>
      <c r="W24" s="74"/>
      <c r="X24" s="74"/>
      <c r="Y24" s="74"/>
      <c r="Z24" s="53">
        <f t="shared" si="3"/>
        <v>8470.6</v>
      </c>
      <c r="AA24" s="75">
        <f t="shared" si="16"/>
        <v>38117.699999999997</v>
      </c>
      <c r="AB24" s="75">
        <f t="shared" si="0"/>
        <v>0</v>
      </c>
      <c r="AC24" s="75">
        <f t="shared" si="0"/>
        <v>0</v>
      </c>
      <c r="AD24" s="75">
        <f t="shared" si="0"/>
        <v>0</v>
      </c>
      <c r="AE24" s="75">
        <f t="shared" si="0"/>
        <v>0</v>
      </c>
      <c r="AF24" s="75">
        <f t="shared" si="0"/>
        <v>0</v>
      </c>
      <c r="AG24" s="54">
        <v>1</v>
      </c>
      <c r="AH24" s="53">
        <f t="shared" si="17"/>
        <v>0</v>
      </c>
      <c r="AI24" s="53">
        <f t="shared" si="18"/>
        <v>0</v>
      </c>
      <c r="AJ24" s="76">
        <f t="shared" si="4"/>
        <v>2018.3333333333333</v>
      </c>
      <c r="AK24" s="52">
        <f t="shared" si="5"/>
        <v>2018.9166666666667</v>
      </c>
      <c r="AL24" s="76">
        <f t="shared" si="6"/>
        <v>2023.3333333333333</v>
      </c>
      <c r="AM24" s="52">
        <f t="shared" si="7"/>
        <v>2019</v>
      </c>
      <c r="AN24" s="52">
        <f t="shared" si="8"/>
        <v>-8.3333333333333329E-2</v>
      </c>
      <c r="AO24" s="46"/>
    </row>
    <row r="25" spans="1:41" ht="15.75">
      <c r="A25" s="88" t="s">
        <v>544</v>
      </c>
      <c r="B25" s="55">
        <v>5</v>
      </c>
      <c r="C25" s="55">
        <v>2018</v>
      </c>
      <c r="D25" s="77">
        <v>42931</v>
      </c>
      <c r="E25" s="73">
        <v>0</v>
      </c>
      <c r="F25" s="58">
        <v>5</v>
      </c>
      <c r="G25" s="52">
        <f t="shared" si="10"/>
        <v>2023</v>
      </c>
      <c r="H25" s="58"/>
      <c r="I25" s="58"/>
      <c r="J25" s="57"/>
      <c r="K25" s="78">
        <f t="shared" si="11"/>
        <v>42931</v>
      </c>
      <c r="L25" s="78">
        <f t="shared" si="1"/>
        <v>715.51666666666677</v>
      </c>
      <c r="M25" s="78">
        <f t="shared" si="20"/>
        <v>8586.2000000000007</v>
      </c>
      <c r="N25" s="78"/>
      <c r="O25" s="78">
        <f t="shared" si="13"/>
        <v>8586.2000000000007</v>
      </c>
      <c r="P25" s="301">
        <f t="shared" si="19"/>
        <v>38637.9</v>
      </c>
      <c r="Q25" s="78">
        <f t="shared" si="14"/>
        <v>0</v>
      </c>
      <c r="R25" s="78">
        <f t="shared" si="2"/>
        <v>8586.2000000000007</v>
      </c>
      <c r="S25" s="54">
        <v>1</v>
      </c>
      <c r="T25" s="74">
        <f t="shared" si="15"/>
        <v>8586.2000000000007</v>
      </c>
      <c r="U25" s="74"/>
      <c r="V25" s="74"/>
      <c r="W25" s="74"/>
      <c r="X25" s="74"/>
      <c r="Y25" s="74"/>
      <c r="Z25" s="53">
        <f t="shared" si="3"/>
        <v>8586.2000000000007</v>
      </c>
      <c r="AA25" s="75">
        <f t="shared" si="16"/>
        <v>38637.9</v>
      </c>
      <c r="AB25" s="75">
        <f t="shared" si="0"/>
        <v>0</v>
      </c>
      <c r="AC25" s="75">
        <f t="shared" si="0"/>
        <v>0</v>
      </c>
      <c r="AD25" s="75">
        <f t="shared" si="0"/>
        <v>0</v>
      </c>
      <c r="AE25" s="75">
        <f t="shared" si="0"/>
        <v>0</v>
      </c>
      <c r="AF25" s="75">
        <f t="shared" si="0"/>
        <v>0</v>
      </c>
      <c r="AG25" s="54">
        <v>1</v>
      </c>
      <c r="AH25" s="53">
        <f t="shared" si="17"/>
        <v>0</v>
      </c>
      <c r="AI25" s="53">
        <f t="shared" si="18"/>
        <v>0</v>
      </c>
      <c r="AJ25" s="76">
        <f t="shared" si="4"/>
        <v>2018.3333333333333</v>
      </c>
      <c r="AK25" s="52">
        <f t="shared" si="5"/>
        <v>2018.9166666666667</v>
      </c>
      <c r="AL25" s="76">
        <f t="shared" si="6"/>
        <v>2023.3333333333333</v>
      </c>
      <c r="AM25" s="52">
        <f t="shared" si="7"/>
        <v>2019</v>
      </c>
      <c r="AN25" s="52">
        <f t="shared" si="8"/>
        <v>-8.3333333333333329E-2</v>
      </c>
      <c r="AO25" s="46"/>
    </row>
    <row r="26" spans="1:41" ht="15.75">
      <c r="A26" s="55" t="s">
        <v>545</v>
      </c>
      <c r="B26" s="58"/>
      <c r="C26" s="58"/>
      <c r="D26" s="53">
        <f>SUM(D12:D25)</f>
        <v>1383179.0099999998</v>
      </c>
      <c r="E26" s="79"/>
      <c r="F26" s="52"/>
      <c r="G26" s="52"/>
      <c r="H26" s="52"/>
      <c r="I26" s="52"/>
      <c r="J26" s="53"/>
      <c r="K26" s="53">
        <f t="shared" ref="K26:R26" si="56">SUM(K12:K25)</f>
        <v>1383179.0099999998</v>
      </c>
      <c r="L26" s="53">
        <f t="shared" si="56"/>
        <v>18748.115559523805</v>
      </c>
      <c r="M26" s="53">
        <f t="shared" si="56"/>
        <v>71606.500999999989</v>
      </c>
      <c r="N26" s="53">
        <f t="shared" si="56"/>
        <v>967049.47188095236</v>
      </c>
      <c r="O26" s="53">
        <f t="shared" si="56"/>
        <v>1038655.9728809522</v>
      </c>
      <c r="P26" s="299">
        <f t="shared" si="56"/>
        <v>370147.71619047626</v>
      </c>
      <c r="Q26" s="53">
        <f t="shared" si="56"/>
        <v>0</v>
      </c>
      <c r="R26" s="53">
        <f t="shared" si="56"/>
        <v>71606.500999999989</v>
      </c>
      <c r="S26" s="53"/>
      <c r="T26" s="74">
        <f>SUM(T12:T14)</f>
        <v>20357.142857142859</v>
      </c>
      <c r="U26" s="74">
        <f t="shared" ref="U26:AF26" si="57">SUM(U12:U14)</f>
        <v>0</v>
      </c>
      <c r="V26" s="74">
        <f t="shared" si="57"/>
        <v>0</v>
      </c>
      <c r="W26" s="74">
        <f t="shared" si="57"/>
        <v>0</v>
      </c>
      <c r="X26" s="74">
        <f t="shared" si="57"/>
        <v>0</v>
      </c>
      <c r="Y26" s="74">
        <f t="shared" si="57"/>
        <v>0</v>
      </c>
      <c r="Z26" s="53">
        <f t="shared" si="57"/>
        <v>20357.142857142859</v>
      </c>
      <c r="AA26" s="75">
        <f t="shared" si="57"/>
        <v>0</v>
      </c>
      <c r="AB26" s="75">
        <f t="shared" si="57"/>
        <v>0</v>
      </c>
      <c r="AC26" s="75">
        <f t="shared" si="57"/>
        <v>0</v>
      </c>
      <c r="AD26" s="75">
        <f t="shared" si="57"/>
        <v>0</v>
      </c>
      <c r="AE26" s="75">
        <f t="shared" si="57"/>
        <v>0</v>
      </c>
      <c r="AF26" s="75">
        <f t="shared" si="57"/>
        <v>0</v>
      </c>
      <c r="AG26" s="53"/>
      <c r="AH26" s="53">
        <f t="shared" ref="AH26:AI26" si="58">SUM(AH12:AH14)</f>
        <v>946723.85714285716</v>
      </c>
      <c r="AI26" s="53">
        <f t="shared" si="58"/>
        <v>946723.85714285716</v>
      </c>
      <c r="AJ26" s="76"/>
      <c r="AK26" s="52"/>
      <c r="AL26" s="76"/>
      <c r="AM26" s="52"/>
      <c r="AN26" s="52"/>
      <c r="AO26" s="46"/>
    </row>
    <row r="27" spans="1:41" ht="15.75">
      <c r="A27" s="55"/>
      <c r="B27" s="58"/>
      <c r="C27" s="58"/>
      <c r="D27" s="69"/>
      <c r="E27" s="70"/>
      <c r="F27" s="58"/>
      <c r="G27" s="58"/>
      <c r="H27" s="58"/>
      <c r="I27" s="58"/>
      <c r="J27" s="69"/>
      <c r="K27" s="69"/>
      <c r="L27" s="57"/>
      <c r="M27" s="57"/>
      <c r="N27" s="57"/>
      <c r="O27" s="57"/>
      <c r="P27" s="300"/>
      <c r="Q27" s="71"/>
      <c r="R27" s="71"/>
      <c r="S27" s="72"/>
      <c r="T27" s="80"/>
      <c r="U27" s="81"/>
      <c r="V27" s="81"/>
      <c r="W27" s="81"/>
      <c r="X27" s="81"/>
      <c r="Y27" s="81"/>
      <c r="Z27" s="71"/>
      <c r="AA27" s="82"/>
      <c r="AB27" s="82"/>
      <c r="AC27" s="82"/>
      <c r="AD27" s="82"/>
      <c r="AE27" s="82"/>
      <c r="AF27" s="82"/>
      <c r="AG27" s="72"/>
      <c r="AH27" s="72"/>
      <c r="AI27" s="72"/>
      <c r="AJ27" s="72"/>
      <c r="AK27" s="72"/>
      <c r="AL27" s="72"/>
      <c r="AM27" s="72"/>
      <c r="AN27" s="72"/>
      <c r="AO27" s="46"/>
    </row>
    <row r="28" spans="1:41" ht="15.75">
      <c r="A28" s="68" t="s">
        <v>676</v>
      </c>
      <c r="B28" s="58"/>
      <c r="C28" s="58"/>
      <c r="D28" s="69"/>
      <c r="E28" s="70"/>
      <c r="F28" s="58"/>
      <c r="G28" s="58"/>
      <c r="H28" s="58"/>
      <c r="I28" s="58"/>
      <c r="J28" s="69"/>
      <c r="K28" s="69"/>
      <c r="L28" s="57"/>
      <c r="M28" s="57"/>
      <c r="N28" s="57"/>
      <c r="O28" s="57"/>
      <c r="P28" s="300"/>
      <c r="Q28" s="71"/>
      <c r="R28" s="71"/>
      <c r="S28" s="72"/>
      <c r="T28" s="80"/>
      <c r="U28" s="81"/>
      <c r="V28" s="81"/>
      <c r="W28" s="81"/>
      <c r="X28" s="81"/>
      <c r="Y28" s="81"/>
      <c r="Z28" s="71"/>
      <c r="AA28" s="82"/>
      <c r="AB28" s="82"/>
      <c r="AC28" s="82"/>
      <c r="AD28" s="82"/>
      <c r="AE28" s="82"/>
      <c r="AF28" s="82"/>
      <c r="AG28" s="72"/>
      <c r="AH28" s="72"/>
      <c r="AI28" s="72"/>
      <c r="AJ28" s="72"/>
      <c r="AK28" s="72"/>
      <c r="AL28" s="72"/>
      <c r="AM28" s="72"/>
      <c r="AN28" s="72"/>
      <c r="AO28" s="46"/>
    </row>
    <row r="29" spans="1:41" ht="15.75">
      <c r="A29" s="107" t="s">
        <v>677</v>
      </c>
      <c r="B29" s="58">
        <v>3</v>
      </c>
      <c r="C29" s="58">
        <v>2017</v>
      </c>
      <c r="D29" s="69">
        <v>54015</v>
      </c>
      <c r="E29" s="73">
        <v>0</v>
      </c>
      <c r="F29" s="58">
        <v>7</v>
      </c>
      <c r="G29" s="52">
        <f>C29+F29</f>
        <v>2024</v>
      </c>
      <c r="H29" s="58"/>
      <c r="I29" s="58"/>
      <c r="J29" s="57"/>
      <c r="K29" s="53">
        <f>D29-D29*E29</f>
        <v>54015</v>
      </c>
      <c r="L29" s="53">
        <f t="shared" ref="L29" si="59">K29/F29/12</f>
        <v>643.03571428571433</v>
      </c>
      <c r="M29" s="53">
        <f>IF(J29&gt;0,0,IF(OR(AJ29&gt;AK29,AL29&lt;AM29),0,IF(AND(AL29&gt;=AM29,AL29&lt;=AK29),L29*((AL29-AM29)*12),IF(AND(AM29&lt;=AJ29,AK29&gt;=AJ29),((AK29-AJ29)*12)*L29,IF(AL29&gt;AK29,12*L29,0)))))</f>
        <v>7716.4285714285725</v>
      </c>
      <c r="N29" s="108">
        <f>L29*10</f>
        <v>6430.3571428571431</v>
      </c>
      <c r="O29" s="53">
        <f>IF(J29&gt;0,0,AI29+Z29*AG29)*AG29</f>
        <v>14146.785714285716</v>
      </c>
      <c r="P29" s="299">
        <f t="shared" ref="P29" si="60">((K29-N29)+(K29-O29))/2</f>
        <v>43726.428571428565</v>
      </c>
      <c r="Q29" s="53">
        <f>IF(J29=0,0,IF(AND(AN29&gt;=AM29,AN29&lt;=AL29),((AN29-AM29)*12)*L29,0))</f>
        <v>0</v>
      </c>
      <c r="R29" s="53">
        <f t="shared" ref="R29" si="61">IF(Q29&gt;0,Q29,M29)</f>
        <v>7716.4285714285725</v>
      </c>
      <c r="S29" s="54">
        <v>1</v>
      </c>
      <c r="T29" s="74">
        <f>S29*(M29+Q29)</f>
        <v>7716.4285714285725</v>
      </c>
      <c r="U29" s="74"/>
      <c r="V29" s="74"/>
      <c r="W29" s="74"/>
      <c r="X29" s="74"/>
      <c r="Y29" s="74"/>
      <c r="Z29" s="53">
        <f t="shared" ref="Z29" si="62">S29*(M29+Q29)</f>
        <v>7716.4285714285725</v>
      </c>
      <c r="AA29" s="75">
        <f>P29*S29</f>
        <v>43726.428571428565</v>
      </c>
      <c r="AB29" s="75">
        <f t="shared" ref="AB29" si="63">Q29*T29</f>
        <v>0</v>
      </c>
      <c r="AC29" s="75">
        <f t="shared" ref="AC29" si="64">R29*U29</f>
        <v>0</v>
      </c>
      <c r="AD29" s="75">
        <f t="shared" ref="AD29" si="65">S29*V29</f>
        <v>0</v>
      </c>
      <c r="AE29" s="75">
        <f t="shared" ref="AE29" si="66">T29*W29</f>
        <v>0</v>
      </c>
      <c r="AF29" s="75">
        <f t="shared" ref="AF29" si="67">U29*X29</f>
        <v>0</v>
      </c>
      <c r="AG29" s="54">
        <v>1</v>
      </c>
      <c r="AH29" s="53">
        <f>N29*S29</f>
        <v>6430.3571428571431</v>
      </c>
      <c r="AI29" s="53">
        <f>AH29*AG29</f>
        <v>6430.3571428571431</v>
      </c>
      <c r="AJ29" s="76">
        <f t="shared" ref="AJ29" si="68">$C29+(($B29-1)/12)</f>
        <v>2017.1666666666667</v>
      </c>
      <c r="AK29" s="52">
        <f t="shared" ref="AK29" si="69">($F$7+1)-($C$7/12)</f>
        <v>2018.9166666666667</v>
      </c>
      <c r="AL29" s="76">
        <f t="shared" ref="AL29" si="70">$G29+(($B29-1)/12)</f>
        <v>2024.1666666666667</v>
      </c>
      <c r="AM29" s="52">
        <f t="shared" ref="AM29" si="71">$D$7+($E$7/12)</f>
        <v>2019</v>
      </c>
      <c r="AN29" s="52">
        <f t="shared" ref="AN29" si="72">$I29+(($H29-1)/12)</f>
        <v>-8.3333333333333329E-2</v>
      </c>
      <c r="AO29" s="46"/>
    </row>
    <row r="30" spans="1:41" ht="15.75">
      <c r="A30" s="55"/>
      <c r="B30" s="58"/>
      <c r="C30" s="58"/>
      <c r="D30" s="69"/>
      <c r="E30" s="70"/>
      <c r="F30" s="58"/>
      <c r="G30" s="58"/>
      <c r="H30" s="58"/>
      <c r="I30" s="58"/>
      <c r="J30" s="69"/>
      <c r="K30" s="69"/>
      <c r="L30" s="57"/>
      <c r="M30" s="57"/>
      <c r="N30" s="57"/>
      <c r="O30" s="57"/>
      <c r="P30" s="300"/>
      <c r="Q30" s="71"/>
      <c r="R30" s="71"/>
      <c r="S30" s="72"/>
      <c r="T30" s="80"/>
      <c r="U30" s="81"/>
      <c r="V30" s="81"/>
      <c r="W30" s="81"/>
      <c r="X30" s="81"/>
      <c r="Y30" s="81"/>
      <c r="Z30" s="71"/>
      <c r="AA30" s="82"/>
      <c r="AB30" s="82"/>
      <c r="AC30" s="82"/>
      <c r="AD30" s="82"/>
      <c r="AE30" s="82"/>
      <c r="AF30" s="82"/>
      <c r="AG30" s="72"/>
      <c r="AH30" s="72"/>
      <c r="AI30" s="72"/>
      <c r="AJ30" s="72"/>
      <c r="AK30" s="72"/>
      <c r="AL30" s="72"/>
      <c r="AM30" s="72"/>
      <c r="AN30" s="72"/>
      <c r="AO30" s="46"/>
    </row>
    <row r="31" spans="1:41" ht="15.75">
      <c r="A31" s="68" t="s">
        <v>546</v>
      </c>
      <c r="B31" s="55"/>
      <c r="C31" s="55"/>
      <c r="D31" s="69"/>
      <c r="E31" s="70"/>
      <c r="F31" s="58"/>
      <c r="G31" s="58"/>
      <c r="H31" s="58"/>
      <c r="I31" s="58"/>
      <c r="J31" s="69"/>
      <c r="K31" s="69"/>
      <c r="L31" s="57"/>
      <c r="M31" s="57"/>
      <c r="N31" s="57"/>
      <c r="O31" s="57"/>
      <c r="P31" s="300"/>
      <c r="Q31" s="71"/>
      <c r="R31" s="71"/>
      <c r="S31" s="72"/>
      <c r="T31" s="80"/>
      <c r="U31" s="81"/>
      <c r="V31" s="81"/>
      <c r="W31" s="81"/>
      <c r="X31" s="81"/>
      <c r="Y31" s="81"/>
      <c r="Z31" s="71"/>
      <c r="AA31" s="82"/>
      <c r="AB31" s="82"/>
      <c r="AC31" s="82"/>
      <c r="AD31" s="82"/>
      <c r="AE31" s="82"/>
      <c r="AF31" s="82"/>
      <c r="AG31" s="72"/>
      <c r="AH31" s="72"/>
      <c r="AI31" s="72"/>
      <c r="AJ31" s="72"/>
      <c r="AK31" s="72"/>
      <c r="AL31" s="72"/>
      <c r="AM31" s="72"/>
      <c r="AN31" s="72"/>
      <c r="AO31" s="46"/>
    </row>
    <row r="32" spans="1:41" ht="15.75">
      <c r="A32" s="68" t="s">
        <v>547</v>
      </c>
      <c r="B32" s="55">
        <v>9</v>
      </c>
      <c r="C32" s="55">
        <v>1994</v>
      </c>
      <c r="D32" s="77">
        <v>231398</v>
      </c>
      <c r="E32" s="73">
        <v>0</v>
      </c>
      <c r="F32" s="58">
        <v>7</v>
      </c>
      <c r="G32" s="52">
        <f>C32+F32</f>
        <v>2001</v>
      </c>
      <c r="H32" s="58"/>
      <c r="I32" s="58"/>
      <c r="J32" s="57"/>
      <c r="K32" s="78">
        <f>D32-D32*E32</f>
        <v>231398</v>
      </c>
      <c r="L32" s="78">
        <f>K32/F32/12</f>
        <v>2754.7380952380954</v>
      </c>
      <c r="M32" s="78">
        <f>IF(J32&gt;0,0,IF(OR(AJ32&gt;AK32,AL32&lt;AM32),0,IF(AND(AL32&gt;=AM32,AL32&lt;=AK32),L32*((AL32-AM32)*12),IF(AND(AM32&lt;=AJ32,AK32&gt;=AJ32),((AK32-AJ32)*12)*L32,IF(AL32&gt;AK32,12*L32,0)))))</f>
        <v>0</v>
      </c>
      <c r="N32" s="78">
        <f>IF(AJ32&gt;AK32,0,IF(AL32&lt;AM32,K32,IF(AND(AL32&gt;=AM32,AL32&lt;=AK32),(K32-R32),IF(AND(AM32&lt;=AJ32,AK32&gt;=AJ32),0,IF(AL32&gt;AK32,((AM32-AJ32)*12)*L32,0)))))</f>
        <v>231398</v>
      </c>
      <c r="O32" s="78">
        <f>IF(J32&gt;0,0,AI32+Z32*AG32)*AG32</f>
        <v>231398</v>
      </c>
      <c r="P32" s="301">
        <f>IF(J32&gt;0,(D32-AI32)/2,IF(AJ32&gt;=AM32,(((D32*S32)*AG32)-O32)/2,((((D32*S32)*AG32)-AI32)+(((D32*S32)*AG32)-O32))/2))</f>
        <v>0</v>
      </c>
      <c r="Q32" s="78">
        <f>IF(J32=0,0,IF(AND(AN32&gt;=AM32,AN32&lt;=AL32),((AN32-AM32)*12)*L32,0))</f>
        <v>0</v>
      </c>
      <c r="R32" s="78">
        <f>IF(Q32&gt;0,Q32,M32)</f>
        <v>0</v>
      </c>
      <c r="S32" s="54">
        <v>1</v>
      </c>
      <c r="T32" s="74">
        <f>S32*(M32+Q32)</f>
        <v>0</v>
      </c>
      <c r="U32" s="74"/>
      <c r="V32" s="74"/>
      <c r="W32" s="74"/>
      <c r="X32" s="74"/>
      <c r="Y32" s="74"/>
      <c r="Z32" s="53">
        <f>S32*(M32+Q32)</f>
        <v>0</v>
      </c>
      <c r="AA32" s="75">
        <f>P32*S32</f>
        <v>0</v>
      </c>
      <c r="AB32" s="75">
        <f t="shared" ref="AB32:AF32" si="73">Q32*T32</f>
        <v>0</v>
      </c>
      <c r="AC32" s="75">
        <f t="shared" si="73"/>
        <v>0</v>
      </c>
      <c r="AD32" s="75">
        <f t="shared" si="73"/>
        <v>0</v>
      </c>
      <c r="AE32" s="75">
        <f t="shared" si="73"/>
        <v>0</v>
      </c>
      <c r="AF32" s="75">
        <f t="shared" si="73"/>
        <v>0</v>
      </c>
      <c r="AG32" s="54">
        <v>1</v>
      </c>
      <c r="AH32" s="53">
        <f>N32*S32</f>
        <v>231398</v>
      </c>
      <c r="AI32" s="53">
        <f>AH32*AG32</f>
        <v>231398</v>
      </c>
      <c r="AJ32" s="76">
        <f>$C32+(($B32-1)/12)</f>
        <v>1994.6666666666667</v>
      </c>
      <c r="AK32" s="52">
        <f>($F$7+1)-($C$7/12)</f>
        <v>2018.9166666666667</v>
      </c>
      <c r="AL32" s="76">
        <f>$G32+(($B32-1)/12)</f>
        <v>2001.6666666666667</v>
      </c>
      <c r="AM32" s="52">
        <f>$D$7+($E$7/12)</f>
        <v>2019</v>
      </c>
      <c r="AN32" s="52">
        <f>$I32+(($H32-1)/12)</f>
        <v>-8.3333333333333329E-2</v>
      </c>
      <c r="AO32" s="46"/>
    </row>
    <row r="33" spans="1:41" ht="15.75">
      <c r="A33" s="55" t="s">
        <v>548</v>
      </c>
      <c r="B33" s="58"/>
      <c r="C33" s="58"/>
      <c r="D33" s="53">
        <f>SUM(D32)</f>
        <v>231398</v>
      </c>
      <c r="E33" s="83"/>
      <c r="F33" s="52"/>
      <c r="G33" s="52"/>
      <c r="H33" s="52"/>
      <c r="I33" s="52"/>
      <c r="J33" s="53"/>
      <c r="K33" s="53">
        <f t="shared" ref="K33:AI33" si="74">SUM(K32)</f>
        <v>231398</v>
      </c>
      <c r="L33" s="53">
        <f t="shared" si="74"/>
        <v>2754.7380952380954</v>
      </c>
      <c r="M33" s="53">
        <f t="shared" si="74"/>
        <v>0</v>
      </c>
      <c r="N33" s="53">
        <f t="shared" si="74"/>
        <v>231398</v>
      </c>
      <c r="O33" s="53">
        <f t="shared" si="74"/>
        <v>231398</v>
      </c>
      <c r="P33" s="299">
        <f t="shared" si="74"/>
        <v>0</v>
      </c>
      <c r="Q33" s="53">
        <f t="shared" si="74"/>
        <v>0</v>
      </c>
      <c r="R33" s="53">
        <f t="shared" si="74"/>
        <v>0</v>
      </c>
      <c r="S33" s="53"/>
      <c r="T33" s="74">
        <f>SUM(T32)</f>
        <v>0</v>
      </c>
      <c r="U33" s="74">
        <f t="shared" ref="U33:Y33" si="75">SUM(U32)</f>
        <v>0</v>
      </c>
      <c r="V33" s="74">
        <f t="shared" si="75"/>
        <v>0</v>
      </c>
      <c r="W33" s="74">
        <f t="shared" si="75"/>
        <v>0</v>
      </c>
      <c r="X33" s="74">
        <f t="shared" si="75"/>
        <v>0</v>
      </c>
      <c r="Y33" s="74">
        <f t="shared" si="75"/>
        <v>0</v>
      </c>
      <c r="Z33" s="53">
        <f t="shared" si="74"/>
        <v>0</v>
      </c>
      <c r="AA33" s="75">
        <f t="shared" si="74"/>
        <v>0</v>
      </c>
      <c r="AB33" s="75">
        <f t="shared" si="74"/>
        <v>0</v>
      </c>
      <c r="AC33" s="75">
        <f t="shared" si="74"/>
        <v>0</v>
      </c>
      <c r="AD33" s="75">
        <f t="shared" si="74"/>
        <v>0</v>
      </c>
      <c r="AE33" s="75">
        <f t="shared" si="74"/>
        <v>0</v>
      </c>
      <c r="AF33" s="75">
        <f t="shared" si="74"/>
        <v>0</v>
      </c>
      <c r="AG33" s="53"/>
      <c r="AH33" s="53">
        <f t="shared" si="74"/>
        <v>231398</v>
      </c>
      <c r="AI33" s="53">
        <f t="shared" si="74"/>
        <v>231398</v>
      </c>
      <c r="AJ33" s="76"/>
      <c r="AK33" s="52"/>
      <c r="AL33" s="76"/>
      <c r="AM33" s="52"/>
      <c r="AN33" s="52"/>
      <c r="AO33" s="46"/>
    </row>
    <row r="34" spans="1:41" ht="15.75">
      <c r="A34" s="55"/>
      <c r="B34" s="58"/>
      <c r="C34" s="58"/>
      <c r="D34" s="72"/>
      <c r="E34" s="73"/>
      <c r="F34" s="58"/>
      <c r="G34" s="52"/>
      <c r="H34" s="58"/>
      <c r="I34" s="58"/>
      <c r="J34" s="57"/>
      <c r="K34" s="53"/>
      <c r="L34" s="53"/>
      <c r="M34" s="53"/>
      <c r="N34" s="53"/>
      <c r="O34" s="53"/>
      <c r="P34" s="299"/>
      <c r="Q34" s="53"/>
      <c r="R34" s="53"/>
      <c r="S34" s="54"/>
      <c r="T34" s="74"/>
      <c r="U34" s="74"/>
      <c r="V34" s="74"/>
      <c r="W34" s="74"/>
      <c r="X34" s="74"/>
      <c r="Y34" s="74"/>
      <c r="Z34" s="53"/>
      <c r="AA34" s="75"/>
      <c r="AB34" s="75"/>
      <c r="AC34" s="75"/>
      <c r="AD34" s="75"/>
      <c r="AE34" s="75"/>
      <c r="AF34" s="75"/>
      <c r="AG34" s="54"/>
      <c r="AH34" s="53"/>
      <c r="AI34" s="53"/>
      <c r="AJ34" s="76"/>
      <c r="AK34" s="52"/>
      <c r="AL34" s="76"/>
      <c r="AM34" s="52"/>
      <c r="AN34" s="52"/>
      <c r="AO34" s="46"/>
    </row>
    <row r="35" spans="1:41" ht="15.75">
      <c r="A35" s="68" t="s">
        <v>549</v>
      </c>
      <c r="B35" s="55"/>
      <c r="C35" s="55"/>
      <c r="D35" s="69"/>
      <c r="E35" s="70"/>
      <c r="F35" s="58"/>
      <c r="G35" s="58"/>
      <c r="H35" s="58"/>
      <c r="I35" s="58"/>
      <c r="J35" s="69"/>
      <c r="K35" s="69"/>
      <c r="L35" s="57"/>
      <c r="M35" s="57"/>
      <c r="N35" s="57"/>
      <c r="O35" s="57"/>
      <c r="P35" s="300"/>
      <c r="Q35" s="71"/>
      <c r="R35" s="71"/>
      <c r="S35" s="72"/>
      <c r="T35" s="80"/>
      <c r="U35" s="81"/>
      <c r="V35" s="81"/>
      <c r="W35" s="81"/>
      <c r="X35" s="81"/>
      <c r="Y35" s="81"/>
      <c r="Z35" s="71"/>
      <c r="AA35" s="82"/>
      <c r="AB35" s="82"/>
      <c r="AC35" s="82"/>
      <c r="AD35" s="82"/>
      <c r="AE35" s="82"/>
      <c r="AF35" s="82"/>
      <c r="AG35" s="72"/>
      <c r="AH35" s="72"/>
      <c r="AI35" s="72"/>
      <c r="AJ35" s="72"/>
      <c r="AK35" s="72"/>
      <c r="AL35" s="72"/>
      <c r="AM35" s="72"/>
      <c r="AN35" s="72"/>
      <c r="AO35" s="46"/>
    </row>
    <row r="36" spans="1:41" ht="15.75">
      <c r="A36" s="68" t="s">
        <v>550</v>
      </c>
      <c r="B36" s="55">
        <v>12</v>
      </c>
      <c r="C36" s="55">
        <v>2004</v>
      </c>
      <c r="D36" s="77">
        <f>24837.49+35025</f>
        <v>59862.490000000005</v>
      </c>
      <c r="E36" s="73">
        <v>0</v>
      </c>
      <c r="F36" s="58">
        <v>5</v>
      </c>
      <c r="G36" s="52">
        <f>C36+F36</f>
        <v>2009</v>
      </c>
      <c r="H36" s="58"/>
      <c r="I36" s="58"/>
      <c r="J36" s="57"/>
      <c r="K36" s="78">
        <f>D36-D36*E36</f>
        <v>59862.490000000005</v>
      </c>
      <c r="L36" s="78">
        <f>K36/F36/12</f>
        <v>997.70816666666678</v>
      </c>
      <c r="M36" s="78">
        <f>IF(J36&gt;0,0,IF(OR(AJ36&gt;AK36,AL36&lt;AM36),0,IF(AND(AL36&gt;=AM36,AL36&lt;=AK36),L36*((AL36-AM36)*12),IF(AND(AM36&lt;=AJ36,AK36&gt;=AJ36),((AK36-AJ36)*12)*L36,IF(AL36&gt;AK36,12*L36,0)))))</f>
        <v>0</v>
      </c>
      <c r="N36" s="78">
        <f>IF(AJ36&gt;AK36,0,IF(AL36&lt;AM36,K36,IF(AND(AL36&gt;=AM36,AL36&lt;=AK36),(K36-R36),IF(AND(AM36&lt;=AJ36,AK36&gt;=AJ36),0,IF(AL36&gt;AK36,((AM36-AJ36)*12)*L36,0)))))</f>
        <v>59862.490000000005</v>
      </c>
      <c r="O36" s="78">
        <f>IF(J36&gt;0,0,AI36+Z36*AG36)*AG36</f>
        <v>59862.490000000005</v>
      </c>
      <c r="P36" s="301">
        <f>IF(J36&gt;0,(D36-AI36)/2,IF(AJ36&gt;=AM36,(((D36*S36)*AG36)-O36)/2,((((D36*S36)*AG36)-AI36)+(((D36*S36)*AG36)-O36))/2))</f>
        <v>0</v>
      </c>
      <c r="Q36" s="78">
        <f>IF(J36=0,0,IF(AND(AN36&gt;=AM36,AN36&lt;=AL36),((AN36-AM36)*12)*L36,0))</f>
        <v>0</v>
      </c>
      <c r="R36" s="78">
        <f>IF(Q36&gt;0,Q36,M36)</f>
        <v>0</v>
      </c>
      <c r="S36" s="54">
        <v>1</v>
      </c>
      <c r="T36" s="74">
        <f>S36*(M36+Q36)</f>
        <v>0</v>
      </c>
      <c r="U36" s="74"/>
      <c r="V36" s="74"/>
      <c r="W36" s="74"/>
      <c r="X36" s="74"/>
      <c r="Y36" s="74"/>
      <c r="Z36" s="53">
        <f>S36*(M36+Q36)</f>
        <v>0</v>
      </c>
      <c r="AA36" s="75">
        <f>P36*S36</f>
        <v>0</v>
      </c>
      <c r="AB36" s="75">
        <f t="shared" ref="AB36:AF36" si="76">Q36*T36</f>
        <v>0</v>
      </c>
      <c r="AC36" s="75">
        <f t="shared" si="76"/>
        <v>0</v>
      </c>
      <c r="AD36" s="75">
        <f t="shared" si="76"/>
        <v>0</v>
      </c>
      <c r="AE36" s="75">
        <f t="shared" si="76"/>
        <v>0</v>
      </c>
      <c r="AF36" s="75">
        <f t="shared" si="76"/>
        <v>0</v>
      </c>
      <c r="AG36" s="54">
        <v>1</v>
      </c>
      <c r="AH36" s="53">
        <f>N36*S36</f>
        <v>59862.490000000005</v>
      </c>
      <c r="AI36" s="53">
        <f>AH36*AG36</f>
        <v>59862.490000000005</v>
      </c>
      <c r="AJ36" s="76">
        <f>$C36+(($B36-1)/12)</f>
        <v>2004.9166666666667</v>
      </c>
      <c r="AK36" s="52">
        <f>($F$7+1)-($C$7/12)</f>
        <v>2018.9166666666667</v>
      </c>
      <c r="AL36" s="76">
        <f>$G36+(($B36-1)/12)</f>
        <v>2009.9166666666667</v>
      </c>
      <c r="AM36" s="52">
        <f>$D$7+($E$7/12)</f>
        <v>2019</v>
      </c>
      <c r="AN36" s="52">
        <f>$I36+(($H36-1)/12)</f>
        <v>-8.3333333333333329E-2</v>
      </c>
      <c r="AO36" s="46"/>
    </row>
    <row r="37" spans="1:41" ht="15.75">
      <c r="A37" s="55" t="s">
        <v>551</v>
      </c>
      <c r="B37" s="58"/>
      <c r="C37" s="58"/>
      <c r="D37" s="53">
        <f>SUM(D36)</f>
        <v>59862.490000000005</v>
      </c>
      <c r="E37" s="79"/>
      <c r="F37" s="52"/>
      <c r="G37" s="52"/>
      <c r="H37" s="52"/>
      <c r="I37" s="52"/>
      <c r="J37" s="53"/>
      <c r="K37" s="53">
        <f t="shared" ref="K37:AI37" si="77">SUM(K36)</f>
        <v>59862.490000000005</v>
      </c>
      <c r="L37" s="53">
        <f t="shared" si="77"/>
        <v>997.70816666666678</v>
      </c>
      <c r="M37" s="53">
        <f t="shared" si="77"/>
        <v>0</v>
      </c>
      <c r="N37" s="53">
        <f t="shared" si="77"/>
        <v>59862.490000000005</v>
      </c>
      <c r="O37" s="53">
        <f t="shared" si="77"/>
        <v>59862.490000000005</v>
      </c>
      <c r="P37" s="299">
        <f t="shared" si="77"/>
        <v>0</v>
      </c>
      <c r="Q37" s="53">
        <f t="shared" si="77"/>
        <v>0</v>
      </c>
      <c r="R37" s="53">
        <f t="shared" si="77"/>
        <v>0</v>
      </c>
      <c r="S37" s="53"/>
      <c r="T37" s="74">
        <f>SUM(T36)</f>
        <v>0</v>
      </c>
      <c r="U37" s="74"/>
      <c r="V37" s="74"/>
      <c r="W37" s="74"/>
      <c r="X37" s="74"/>
      <c r="Y37" s="74"/>
      <c r="Z37" s="53">
        <f t="shared" si="77"/>
        <v>0</v>
      </c>
      <c r="AA37" s="75">
        <f t="shared" si="77"/>
        <v>0</v>
      </c>
      <c r="AB37" s="75">
        <f t="shared" si="77"/>
        <v>0</v>
      </c>
      <c r="AC37" s="75">
        <f t="shared" si="77"/>
        <v>0</v>
      </c>
      <c r="AD37" s="75">
        <f t="shared" si="77"/>
        <v>0</v>
      </c>
      <c r="AE37" s="75">
        <f t="shared" si="77"/>
        <v>0</v>
      </c>
      <c r="AF37" s="75">
        <f t="shared" si="77"/>
        <v>0</v>
      </c>
      <c r="AG37" s="53"/>
      <c r="AH37" s="53">
        <f t="shared" si="77"/>
        <v>59862.490000000005</v>
      </c>
      <c r="AI37" s="53">
        <f t="shared" si="77"/>
        <v>59862.490000000005</v>
      </c>
      <c r="AJ37" s="76"/>
      <c r="AK37" s="52"/>
      <c r="AL37" s="76"/>
      <c r="AM37" s="52"/>
      <c r="AN37" s="52"/>
      <c r="AO37" s="46"/>
    </row>
    <row r="38" spans="1:41" ht="15.75">
      <c r="A38" s="55"/>
      <c r="B38" s="58"/>
      <c r="C38" s="58"/>
      <c r="D38" s="72"/>
      <c r="E38" s="73"/>
      <c r="F38" s="58"/>
      <c r="G38" s="52"/>
      <c r="H38" s="58"/>
      <c r="I38" s="58"/>
      <c r="J38" s="57"/>
      <c r="K38" s="53"/>
      <c r="L38" s="53"/>
      <c r="M38" s="53"/>
      <c r="N38" s="53"/>
      <c r="O38" s="53"/>
      <c r="P38" s="299"/>
      <c r="Q38" s="53"/>
      <c r="R38" s="53"/>
      <c r="S38" s="54"/>
      <c r="T38" s="74"/>
      <c r="U38" s="74"/>
      <c r="V38" s="74"/>
      <c r="W38" s="74"/>
      <c r="X38" s="74"/>
      <c r="Y38" s="74"/>
      <c r="Z38" s="53"/>
      <c r="AA38" s="75"/>
      <c r="AB38" s="75"/>
      <c r="AC38" s="75"/>
      <c r="AD38" s="75"/>
      <c r="AE38" s="75"/>
      <c r="AF38" s="75"/>
      <c r="AG38" s="54"/>
      <c r="AH38" s="53"/>
      <c r="AI38" s="53"/>
      <c r="AJ38" s="76"/>
      <c r="AK38" s="52"/>
      <c r="AL38" s="76"/>
      <c r="AM38" s="52"/>
      <c r="AN38" s="52"/>
      <c r="AO38" s="46"/>
    </row>
    <row r="39" spans="1:41" ht="15.75">
      <c r="A39" s="68" t="s">
        <v>552</v>
      </c>
      <c r="B39" s="55"/>
      <c r="C39" s="55"/>
      <c r="D39" s="69"/>
      <c r="E39" s="70"/>
      <c r="F39" s="58"/>
      <c r="G39" s="58"/>
      <c r="H39" s="58"/>
      <c r="I39" s="58"/>
      <c r="J39" s="69"/>
      <c r="K39" s="69"/>
      <c r="L39" s="57"/>
      <c r="M39" s="57"/>
      <c r="N39" s="57"/>
      <c r="O39" s="57"/>
      <c r="P39" s="300"/>
      <c r="Q39" s="71"/>
      <c r="R39" s="71"/>
      <c r="S39" s="72"/>
      <c r="T39" s="80"/>
      <c r="U39" s="81"/>
      <c r="V39" s="81"/>
      <c r="W39" s="81"/>
      <c r="X39" s="81"/>
      <c r="Y39" s="81"/>
      <c r="Z39" s="71"/>
      <c r="AA39" s="82"/>
      <c r="AB39" s="82"/>
      <c r="AC39" s="82"/>
      <c r="AD39" s="82"/>
      <c r="AE39" s="82"/>
      <c r="AF39" s="82"/>
      <c r="AG39" s="72"/>
      <c r="AH39" s="72"/>
      <c r="AI39" s="72"/>
      <c r="AJ39" s="72"/>
      <c r="AK39" s="72"/>
      <c r="AL39" s="72"/>
      <c r="AM39" s="72"/>
      <c r="AN39" s="72"/>
      <c r="AO39" s="46"/>
    </row>
    <row r="40" spans="1:41" ht="15.75">
      <c r="A40" s="68" t="s">
        <v>553</v>
      </c>
      <c r="B40" s="55">
        <v>10</v>
      </c>
      <c r="C40" s="55">
        <v>2006</v>
      </c>
      <c r="D40" s="72">
        <v>24226</v>
      </c>
      <c r="E40" s="73">
        <v>0</v>
      </c>
      <c r="F40" s="58">
        <v>5</v>
      </c>
      <c r="G40" s="52">
        <f>C40+F40</f>
        <v>2011</v>
      </c>
      <c r="H40" s="58"/>
      <c r="I40" s="58"/>
      <c r="J40" s="57"/>
      <c r="K40" s="53">
        <f>D40-D40*E40</f>
        <v>24226</v>
      </c>
      <c r="L40" s="53">
        <f>K40/F40/12</f>
        <v>403.76666666666665</v>
      </c>
      <c r="M40" s="53">
        <f>IF(J40&gt;0,0,IF(OR(AJ40&gt;AK40,AL40&lt;AM40),0,IF(AND(AL40&gt;=AM40,AL40&lt;=AK40),L40*((AL40-AM40)*12),IF(AND(AM40&lt;=AJ40,AK40&gt;=AJ40),((AK40-AJ40)*12)*L40,IF(AL40&gt;AK40,12*L40,0)))))</f>
        <v>0</v>
      </c>
      <c r="N40" s="53">
        <f>IF(AJ40&gt;AK40,0,IF(AL40&lt;AM40,K40,IF(AND(AL40&gt;=AM40,AL40&lt;=AK40),(K40-R40),IF(AND(AM40&lt;=AJ40,AK40&gt;=AJ40),0,IF(AL40&gt;AK40,((AM40-AJ40)*12)*L40,0)))))</f>
        <v>24226</v>
      </c>
      <c r="O40" s="53">
        <f>IF(J40&gt;0,0,AI40+Z40*AG40)*AG40</f>
        <v>24226</v>
      </c>
      <c r="P40" s="299">
        <f>IF(J40&gt;0,(D40-AI40)/2,IF(AJ40&gt;=AM40,(((D40*S40)*AG40)-O40)/2,((((D40*S40)*AG40)-AI40)+(((D40*S40)*AG40)-O40))/2))</f>
        <v>0</v>
      </c>
      <c r="Q40" s="53">
        <f>IF(J40=0,0,IF(AND(AN40&gt;=AM40,AN40&lt;=AL40),((AN40-AM40)*12)*L40,0))</f>
        <v>0</v>
      </c>
      <c r="R40" s="53">
        <f>IF(Q40&gt;0,Q40,M40)</f>
        <v>0</v>
      </c>
      <c r="S40" s="54">
        <v>1</v>
      </c>
      <c r="T40" s="74">
        <f t="shared" ref="T40:Y48" si="78">$S$40*($M$40+$Q$40)*T10</f>
        <v>0</v>
      </c>
      <c r="U40" s="74">
        <f t="shared" si="78"/>
        <v>0</v>
      </c>
      <c r="V40" s="74">
        <f t="shared" si="78"/>
        <v>0</v>
      </c>
      <c r="W40" s="74">
        <f t="shared" si="78"/>
        <v>0</v>
      </c>
      <c r="X40" s="74">
        <f t="shared" si="78"/>
        <v>0</v>
      </c>
      <c r="Y40" s="74">
        <f t="shared" si="78"/>
        <v>0</v>
      </c>
      <c r="Z40" s="53">
        <f>S40*(M40+Q40)</f>
        <v>0</v>
      </c>
      <c r="AA40" s="75">
        <f t="shared" ref="AA40:AF48" si="79">$P$40*$S$40*AA10</f>
        <v>0</v>
      </c>
      <c r="AB40" s="75">
        <f t="shared" si="79"/>
        <v>0</v>
      </c>
      <c r="AC40" s="75">
        <f t="shared" si="79"/>
        <v>0</v>
      </c>
      <c r="AD40" s="75">
        <f t="shared" si="79"/>
        <v>0</v>
      </c>
      <c r="AE40" s="75">
        <f t="shared" si="79"/>
        <v>0</v>
      </c>
      <c r="AF40" s="75">
        <f t="shared" si="79"/>
        <v>0</v>
      </c>
      <c r="AG40" s="54">
        <v>1</v>
      </c>
      <c r="AH40" s="53">
        <f>N40*S40</f>
        <v>24226</v>
      </c>
      <c r="AI40" s="53">
        <f>AH40*AG40</f>
        <v>24226</v>
      </c>
      <c r="AJ40" s="76">
        <f>$C40+(($B40-1)/12)</f>
        <v>2006.75</v>
      </c>
      <c r="AK40" s="52">
        <f>($F$7+1)-($C$7/12)</f>
        <v>2018.9166666666667</v>
      </c>
      <c r="AL40" s="76">
        <f>$G40+(($B40-1)/12)</f>
        <v>2011.75</v>
      </c>
      <c r="AM40" s="52">
        <f>$D$7+($E$7/12)</f>
        <v>2019</v>
      </c>
      <c r="AN40" s="52">
        <f>$I40+(($H40-1)/12)</f>
        <v>-8.3333333333333329E-2</v>
      </c>
      <c r="AO40" s="46"/>
    </row>
    <row r="41" spans="1:41" ht="15.75">
      <c r="A41" s="88" t="s">
        <v>554</v>
      </c>
      <c r="B41" s="55">
        <v>1</v>
      </c>
      <c r="C41" s="55">
        <v>2013</v>
      </c>
      <c r="D41" s="72">
        <v>1092</v>
      </c>
      <c r="E41" s="73">
        <v>0</v>
      </c>
      <c r="F41" s="58">
        <v>5</v>
      </c>
      <c r="G41" s="52">
        <f t="shared" ref="G41:G48" si="80">C41+F41</f>
        <v>2018</v>
      </c>
      <c r="H41" s="58"/>
      <c r="I41" s="58"/>
      <c r="J41" s="57"/>
      <c r="K41" s="53">
        <f t="shared" ref="K41:K48" si="81">D41-D41*E41</f>
        <v>1092</v>
      </c>
      <c r="L41" s="53">
        <f t="shared" ref="L41:L48" si="82">K41/F41/12</f>
        <v>18.2</v>
      </c>
      <c r="M41" s="53">
        <f t="shared" ref="M41:M48" si="83">IF(J41&gt;0,0,IF(OR(AJ41&gt;AK41,AL41&lt;AM41),0,IF(AND(AL41&gt;=AM41,AL41&lt;=AK41),L41*((AL41-AM41)*12),IF(AND(AM41&lt;=AJ41,AK41&gt;=AJ41),((AK41-AJ41)*12)*L41,IF(AL41&gt;AK41,12*L41,0)))))</f>
        <v>0</v>
      </c>
      <c r="N41" s="53">
        <f t="shared" ref="N41:N42" si="84">IF(AJ41&gt;AK41,0,IF(AL41&lt;AM41,K41,IF(AND(AL41&gt;=AM41,AL41&lt;=AK41),(K41-R41),IF(AND(AM41&lt;=AJ41,AK41&gt;=AJ41),0,IF(AL41&gt;AK41,((AM41-AJ41)*12)*L41,0)))))</f>
        <v>1092</v>
      </c>
      <c r="O41" s="53">
        <f t="shared" ref="O41:O48" si="85">IF(J41&gt;0,0,AI41+Z41*AG41)*AG41</f>
        <v>1092</v>
      </c>
      <c r="P41" s="299">
        <f t="shared" ref="P41:P42" si="86">IF(J41&gt;0,(D41-AI41)/2,IF(AJ41&gt;=AM41,(((D41*S41)*AG41)-O41)/2,((((D41*S41)*AG41)-AI41)+(((D41*S41)*AG41)-O41))/2))</f>
        <v>0</v>
      </c>
      <c r="Q41" s="53">
        <f t="shared" ref="Q41:Q48" si="87">IF(J41=0,0,IF(AND(AN41&gt;=AM41,AN41&lt;=AL41),((AN41-AM41)*12)*L41,0))</f>
        <v>0</v>
      </c>
      <c r="R41" s="53">
        <f t="shared" ref="R41:R48" si="88">IF(Q41&gt;0,Q41,M41)</f>
        <v>0</v>
      </c>
      <c r="S41" s="54">
        <v>1</v>
      </c>
      <c r="T41" s="74">
        <f t="shared" si="78"/>
        <v>0</v>
      </c>
      <c r="U41" s="74">
        <f t="shared" si="78"/>
        <v>0</v>
      </c>
      <c r="V41" s="74">
        <f t="shared" si="78"/>
        <v>0</v>
      </c>
      <c r="W41" s="74">
        <f t="shared" si="78"/>
        <v>0</v>
      </c>
      <c r="X41" s="74">
        <f t="shared" si="78"/>
        <v>0</v>
      </c>
      <c r="Y41" s="74">
        <f t="shared" si="78"/>
        <v>0</v>
      </c>
      <c r="Z41" s="53">
        <f t="shared" ref="Z41:Z48" si="89">S41*(M41+Q41)</f>
        <v>0</v>
      </c>
      <c r="AA41" s="75">
        <f t="shared" si="79"/>
        <v>0</v>
      </c>
      <c r="AB41" s="75">
        <f t="shared" si="79"/>
        <v>0</v>
      </c>
      <c r="AC41" s="75">
        <f t="shared" si="79"/>
        <v>0</v>
      </c>
      <c r="AD41" s="75">
        <f t="shared" si="79"/>
        <v>0</v>
      </c>
      <c r="AE41" s="75">
        <f t="shared" si="79"/>
        <v>0</v>
      </c>
      <c r="AF41" s="75">
        <f t="shared" si="79"/>
        <v>0</v>
      </c>
      <c r="AG41" s="54">
        <v>1</v>
      </c>
      <c r="AH41" s="53">
        <f t="shared" ref="AH41:AH48" si="90">N41*S41</f>
        <v>1092</v>
      </c>
      <c r="AI41" s="53">
        <f t="shared" ref="AI41:AI48" si="91">AH41*AG41</f>
        <v>1092</v>
      </c>
      <c r="AJ41" s="76">
        <f t="shared" ref="AJ41:AJ48" si="92">$C41+(($B41-1)/12)</f>
        <v>2013</v>
      </c>
      <c r="AK41" s="52">
        <f t="shared" ref="AK41:AK48" si="93">($F$7+1)-($C$7/12)</f>
        <v>2018.9166666666667</v>
      </c>
      <c r="AL41" s="76">
        <f t="shared" ref="AL41:AL48" si="94">$G41+(($B41-1)/12)</f>
        <v>2018</v>
      </c>
      <c r="AM41" s="52">
        <f t="shared" ref="AM41:AM48" si="95">$D$7+($E$7/12)</f>
        <v>2019</v>
      </c>
      <c r="AN41" s="52">
        <f t="shared" ref="AN41:AN48" si="96">$I41+(($H41-1)/12)</f>
        <v>-8.3333333333333329E-2</v>
      </c>
      <c r="AO41" s="46"/>
    </row>
    <row r="42" spans="1:41" ht="15.75">
      <c r="A42" s="88" t="s">
        <v>555</v>
      </c>
      <c r="B42" s="55">
        <v>3</v>
      </c>
      <c r="C42" s="55">
        <v>2013</v>
      </c>
      <c r="D42" s="72">
        <v>546</v>
      </c>
      <c r="E42" s="73">
        <v>0</v>
      </c>
      <c r="F42" s="58">
        <v>5</v>
      </c>
      <c r="G42" s="52">
        <f t="shared" si="80"/>
        <v>2018</v>
      </c>
      <c r="H42" s="58"/>
      <c r="I42" s="58"/>
      <c r="J42" s="57"/>
      <c r="K42" s="53">
        <f t="shared" si="81"/>
        <v>546</v>
      </c>
      <c r="L42" s="53">
        <f t="shared" si="82"/>
        <v>9.1</v>
      </c>
      <c r="M42" s="53">
        <f t="shared" si="83"/>
        <v>0</v>
      </c>
      <c r="N42" s="53">
        <f t="shared" si="84"/>
        <v>546</v>
      </c>
      <c r="O42" s="53">
        <f t="shared" si="85"/>
        <v>546</v>
      </c>
      <c r="P42" s="299">
        <f t="shared" si="86"/>
        <v>0</v>
      </c>
      <c r="Q42" s="53">
        <f t="shared" si="87"/>
        <v>0</v>
      </c>
      <c r="R42" s="53">
        <f t="shared" si="88"/>
        <v>0</v>
      </c>
      <c r="S42" s="54">
        <v>1</v>
      </c>
      <c r="T42" s="74">
        <f t="shared" si="78"/>
        <v>0</v>
      </c>
      <c r="U42" s="74">
        <f t="shared" si="78"/>
        <v>0</v>
      </c>
      <c r="V42" s="74">
        <f t="shared" si="78"/>
        <v>0</v>
      </c>
      <c r="W42" s="74">
        <f t="shared" si="78"/>
        <v>0</v>
      </c>
      <c r="X42" s="74">
        <f t="shared" si="78"/>
        <v>0</v>
      </c>
      <c r="Y42" s="74">
        <f t="shared" si="78"/>
        <v>0</v>
      </c>
      <c r="Z42" s="53">
        <f t="shared" si="89"/>
        <v>0</v>
      </c>
      <c r="AA42" s="75">
        <f t="shared" si="79"/>
        <v>0</v>
      </c>
      <c r="AB42" s="75">
        <f t="shared" si="79"/>
        <v>0</v>
      </c>
      <c r="AC42" s="75">
        <f t="shared" si="79"/>
        <v>0</v>
      </c>
      <c r="AD42" s="75">
        <f t="shared" si="79"/>
        <v>0</v>
      </c>
      <c r="AE42" s="75">
        <f t="shared" si="79"/>
        <v>0</v>
      </c>
      <c r="AF42" s="75">
        <f t="shared" si="79"/>
        <v>0</v>
      </c>
      <c r="AG42" s="54">
        <v>1</v>
      </c>
      <c r="AH42" s="53">
        <f t="shared" si="90"/>
        <v>546</v>
      </c>
      <c r="AI42" s="53">
        <f t="shared" si="91"/>
        <v>546</v>
      </c>
      <c r="AJ42" s="76">
        <f t="shared" si="92"/>
        <v>2013.1666666666667</v>
      </c>
      <c r="AK42" s="52">
        <f t="shared" si="93"/>
        <v>2018.9166666666667</v>
      </c>
      <c r="AL42" s="76">
        <f t="shared" si="94"/>
        <v>2018.1666666666667</v>
      </c>
      <c r="AM42" s="52">
        <f t="shared" si="95"/>
        <v>2019</v>
      </c>
      <c r="AN42" s="52">
        <f t="shared" si="96"/>
        <v>-8.3333333333333329E-2</v>
      </c>
      <c r="AO42" s="46"/>
    </row>
    <row r="43" spans="1:41" ht="15.75">
      <c r="A43" s="88" t="s">
        <v>556</v>
      </c>
      <c r="B43" s="55">
        <v>12</v>
      </c>
      <c r="C43" s="55">
        <v>2013</v>
      </c>
      <c r="D43" s="72">
        <v>10893</v>
      </c>
      <c r="E43" s="73">
        <v>0</v>
      </c>
      <c r="F43" s="58">
        <v>5</v>
      </c>
      <c r="G43" s="52">
        <f t="shared" si="80"/>
        <v>2018</v>
      </c>
      <c r="H43" s="58"/>
      <c r="I43" s="58"/>
      <c r="J43" s="57"/>
      <c r="K43" s="53">
        <f t="shared" si="81"/>
        <v>10893</v>
      </c>
      <c r="L43" s="53">
        <f t="shared" si="82"/>
        <v>181.54999999999998</v>
      </c>
      <c r="M43" s="53">
        <f>+L43*12</f>
        <v>2178.6</v>
      </c>
      <c r="N43" s="53">
        <f>+L43*48</f>
        <v>8714.4</v>
      </c>
      <c r="O43" s="53">
        <f t="shared" si="85"/>
        <v>10893</v>
      </c>
      <c r="P43" s="299">
        <f t="shared" ref="P43:P44" si="97">+K43-O43</f>
        <v>0</v>
      </c>
      <c r="Q43" s="53">
        <f t="shared" si="87"/>
        <v>0</v>
      </c>
      <c r="R43" s="53">
        <f t="shared" si="88"/>
        <v>2178.6</v>
      </c>
      <c r="S43" s="54">
        <v>1</v>
      </c>
      <c r="T43" s="74">
        <f t="shared" si="78"/>
        <v>0</v>
      </c>
      <c r="U43" s="74">
        <f t="shared" si="78"/>
        <v>0</v>
      </c>
      <c r="V43" s="74">
        <f t="shared" si="78"/>
        <v>0</v>
      </c>
      <c r="W43" s="74">
        <f t="shared" si="78"/>
        <v>0</v>
      </c>
      <c r="X43" s="74">
        <f t="shared" si="78"/>
        <v>0</v>
      </c>
      <c r="Y43" s="74">
        <f t="shared" si="78"/>
        <v>0</v>
      </c>
      <c r="Z43" s="53">
        <f t="shared" si="89"/>
        <v>2178.6</v>
      </c>
      <c r="AA43" s="75">
        <f t="shared" si="79"/>
        <v>0</v>
      </c>
      <c r="AB43" s="75">
        <f t="shared" si="79"/>
        <v>0</v>
      </c>
      <c r="AC43" s="75">
        <f t="shared" si="79"/>
        <v>0</v>
      </c>
      <c r="AD43" s="75">
        <f t="shared" si="79"/>
        <v>0</v>
      </c>
      <c r="AE43" s="75">
        <f t="shared" si="79"/>
        <v>0</v>
      </c>
      <c r="AF43" s="75">
        <f t="shared" si="79"/>
        <v>0</v>
      </c>
      <c r="AG43" s="54">
        <v>1</v>
      </c>
      <c r="AH43" s="53">
        <f t="shared" si="90"/>
        <v>8714.4</v>
      </c>
      <c r="AI43" s="53">
        <f t="shared" si="91"/>
        <v>8714.4</v>
      </c>
      <c r="AJ43" s="76">
        <f t="shared" si="92"/>
        <v>2013.9166666666667</v>
      </c>
      <c r="AK43" s="52">
        <f t="shared" si="93"/>
        <v>2018.9166666666667</v>
      </c>
      <c r="AL43" s="76">
        <f t="shared" si="94"/>
        <v>2018.9166666666667</v>
      </c>
      <c r="AM43" s="52">
        <f t="shared" si="95"/>
        <v>2019</v>
      </c>
      <c r="AN43" s="52">
        <f t="shared" si="96"/>
        <v>-8.3333333333333329E-2</v>
      </c>
      <c r="AO43" s="46"/>
    </row>
    <row r="44" spans="1:41" ht="15.75">
      <c r="A44" s="88" t="s">
        <v>557</v>
      </c>
      <c r="B44" s="55">
        <v>1</v>
      </c>
      <c r="C44" s="55">
        <v>2014</v>
      </c>
      <c r="D44" s="72">
        <v>3808</v>
      </c>
      <c r="E44" s="73">
        <v>0</v>
      </c>
      <c r="F44" s="58">
        <v>5</v>
      </c>
      <c r="G44" s="52">
        <f t="shared" si="80"/>
        <v>2019</v>
      </c>
      <c r="H44" s="58"/>
      <c r="I44" s="58"/>
      <c r="J44" s="57"/>
      <c r="K44" s="53">
        <f t="shared" si="81"/>
        <v>3808</v>
      </c>
      <c r="L44" s="53">
        <f t="shared" si="82"/>
        <v>63.466666666666669</v>
      </c>
      <c r="M44" s="53">
        <f t="shared" si="83"/>
        <v>761.6</v>
      </c>
      <c r="N44" s="53">
        <f>+L44*48</f>
        <v>3046.4</v>
      </c>
      <c r="O44" s="53">
        <f t="shared" si="85"/>
        <v>3808</v>
      </c>
      <c r="P44" s="299">
        <f t="shared" si="97"/>
        <v>0</v>
      </c>
      <c r="Q44" s="53">
        <f t="shared" si="87"/>
        <v>0</v>
      </c>
      <c r="R44" s="53">
        <f t="shared" si="88"/>
        <v>761.6</v>
      </c>
      <c r="S44" s="54">
        <v>1</v>
      </c>
      <c r="T44" s="74">
        <f t="shared" si="78"/>
        <v>0</v>
      </c>
      <c r="U44" s="74">
        <f t="shared" si="78"/>
        <v>0</v>
      </c>
      <c r="V44" s="74">
        <f t="shared" si="78"/>
        <v>0</v>
      </c>
      <c r="W44" s="74">
        <f t="shared" si="78"/>
        <v>0</v>
      </c>
      <c r="X44" s="74">
        <f t="shared" si="78"/>
        <v>0</v>
      </c>
      <c r="Y44" s="74">
        <f t="shared" si="78"/>
        <v>0</v>
      </c>
      <c r="Z44" s="53">
        <f t="shared" si="89"/>
        <v>761.6</v>
      </c>
      <c r="AA44" s="75">
        <f t="shared" si="79"/>
        <v>0</v>
      </c>
      <c r="AB44" s="75">
        <f t="shared" si="79"/>
        <v>0</v>
      </c>
      <c r="AC44" s="75">
        <f t="shared" si="79"/>
        <v>0</v>
      </c>
      <c r="AD44" s="75">
        <f t="shared" si="79"/>
        <v>0</v>
      </c>
      <c r="AE44" s="75">
        <f t="shared" si="79"/>
        <v>0</v>
      </c>
      <c r="AF44" s="75">
        <f t="shared" si="79"/>
        <v>0</v>
      </c>
      <c r="AG44" s="54">
        <v>1</v>
      </c>
      <c r="AH44" s="53">
        <f t="shared" si="90"/>
        <v>3046.4</v>
      </c>
      <c r="AI44" s="53">
        <f t="shared" si="91"/>
        <v>3046.4</v>
      </c>
      <c r="AJ44" s="76">
        <f t="shared" si="92"/>
        <v>2014</v>
      </c>
      <c r="AK44" s="52">
        <f t="shared" si="93"/>
        <v>2018.9166666666667</v>
      </c>
      <c r="AL44" s="76">
        <f t="shared" si="94"/>
        <v>2019</v>
      </c>
      <c r="AM44" s="52">
        <f t="shared" si="95"/>
        <v>2019</v>
      </c>
      <c r="AN44" s="52">
        <f t="shared" si="96"/>
        <v>-8.3333333333333329E-2</v>
      </c>
      <c r="AO44" s="46"/>
    </row>
    <row r="45" spans="1:41" ht="15.75">
      <c r="A45" s="88" t="s">
        <v>558</v>
      </c>
      <c r="B45" s="55">
        <v>5</v>
      </c>
      <c r="C45" s="55">
        <v>2014</v>
      </c>
      <c r="D45" s="72">
        <v>2374</v>
      </c>
      <c r="E45" s="73">
        <v>0</v>
      </c>
      <c r="F45" s="58">
        <v>5</v>
      </c>
      <c r="G45" s="52">
        <f t="shared" si="80"/>
        <v>2019</v>
      </c>
      <c r="H45" s="58"/>
      <c r="I45" s="58"/>
      <c r="J45" s="57"/>
      <c r="K45" s="53">
        <f t="shared" si="81"/>
        <v>2374</v>
      </c>
      <c r="L45" s="53">
        <f t="shared" si="82"/>
        <v>39.56666666666667</v>
      </c>
      <c r="M45" s="53">
        <f t="shared" si="83"/>
        <v>474.80000000000007</v>
      </c>
      <c r="N45" s="53">
        <f>+L45*44</f>
        <v>1740.9333333333334</v>
      </c>
      <c r="O45" s="53">
        <f t="shared" si="85"/>
        <v>2215.7333333333336</v>
      </c>
      <c r="P45" s="299">
        <f t="shared" ref="P45:P48" si="98">((K45-N45)+(K45-O45))/2</f>
        <v>395.66666666666652</v>
      </c>
      <c r="Q45" s="53">
        <f t="shared" si="87"/>
        <v>0</v>
      </c>
      <c r="R45" s="53">
        <f t="shared" si="88"/>
        <v>474.80000000000007</v>
      </c>
      <c r="S45" s="54">
        <v>1</v>
      </c>
      <c r="T45" s="74">
        <f t="shared" si="78"/>
        <v>0</v>
      </c>
      <c r="U45" s="74">
        <f t="shared" si="78"/>
        <v>0</v>
      </c>
      <c r="V45" s="74">
        <f t="shared" si="78"/>
        <v>0</v>
      </c>
      <c r="W45" s="74">
        <f t="shared" si="78"/>
        <v>0</v>
      </c>
      <c r="X45" s="74">
        <f t="shared" si="78"/>
        <v>0</v>
      </c>
      <c r="Y45" s="74">
        <f t="shared" si="78"/>
        <v>0</v>
      </c>
      <c r="Z45" s="53">
        <f t="shared" si="89"/>
        <v>474.80000000000007</v>
      </c>
      <c r="AA45" s="75">
        <f t="shared" si="79"/>
        <v>0</v>
      </c>
      <c r="AB45" s="75">
        <f t="shared" si="79"/>
        <v>0</v>
      </c>
      <c r="AC45" s="75">
        <f t="shared" si="79"/>
        <v>0</v>
      </c>
      <c r="AD45" s="75">
        <f t="shared" si="79"/>
        <v>0</v>
      </c>
      <c r="AE45" s="75">
        <f t="shared" si="79"/>
        <v>0</v>
      </c>
      <c r="AF45" s="75">
        <f t="shared" si="79"/>
        <v>0</v>
      </c>
      <c r="AG45" s="54">
        <v>1</v>
      </c>
      <c r="AH45" s="53">
        <f t="shared" si="90"/>
        <v>1740.9333333333334</v>
      </c>
      <c r="AI45" s="53">
        <f t="shared" si="91"/>
        <v>1740.9333333333334</v>
      </c>
      <c r="AJ45" s="76">
        <f t="shared" si="92"/>
        <v>2014.3333333333333</v>
      </c>
      <c r="AK45" s="52">
        <f t="shared" si="93"/>
        <v>2018.9166666666667</v>
      </c>
      <c r="AL45" s="76">
        <f t="shared" si="94"/>
        <v>2019.3333333333333</v>
      </c>
      <c r="AM45" s="52">
        <f t="shared" si="95"/>
        <v>2019</v>
      </c>
      <c r="AN45" s="52">
        <f t="shared" si="96"/>
        <v>-8.3333333333333329E-2</v>
      </c>
      <c r="AO45" s="46"/>
    </row>
    <row r="46" spans="1:41" ht="15.75">
      <c r="A46" s="88" t="s">
        <v>559</v>
      </c>
      <c r="B46" s="55">
        <v>8</v>
      </c>
      <c r="C46" s="55">
        <v>2014</v>
      </c>
      <c r="D46" s="72">
        <v>1071</v>
      </c>
      <c r="E46" s="73">
        <v>0</v>
      </c>
      <c r="F46" s="58">
        <v>5</v>
      </c>
      <c r="G46" s="52">
        <f t="shared" si="80"/>
        <v>2019</v>
      </c>
      <c r="H46" s="58"/>
      <c r="I46" s="58"/>
      <c r="J46" s="57"/>
      <c r="K46" s="53">
        <f t="shared" si="81"/>
        <v>1071</v>
      </c>
      <c r="L46" s="53">
        <f t="shared" si="82"/>
        <v>17.849999999999998</v>
      </c>
      <c r="M46" s="53">
        <f t="shared" si="83"/>
        <v>214.2</v>
      </c>
      <c r="N46" s="53">
        <f>+L46*41</f>
        <v>731.84999999999991</v>
      </c>
      <c r="O46" s="53">
        <f t="shared" si="85"/>
        <v>946.05</v>
      </c>
      <c r="P46" s="299">
        <f t="shared" si="98"/>
        <v>232.05000000000007</v>
      </c>
      <c r="Q46" s="53">
        <f t="shared" si="87"/>
        <v>0</v>
      </c>
      <c r="R46" s="53">
        <f t="shared" si="88"/>
        <v>214.2</v>
      </c>
      <c r="S46" s="54">
        <v>1</v>
      </c>
      <c r="T46" s="74">
        <f t="shared" si="78"/>
        <v>0</v>
      </c>
      <c r="U46" s="74">
        <f t="shared" si="78"/>
        <v>0</v>
      </c>
      <c r="V46" s="74">
        <f t="shared" si="78"/>
        <v>0</v>
      </c>
      <c r="W46" s="74">
        <f t="shared" si="78"/>
        <v>0</v>
      </c>
      <c r="X46" s="74">
        <f t="shared" si="78"/>
        <v>0</v>
      </c>
      <c r="Y46" s="74">
        <f t="shared" si="78"/>
        <v>0</v>
      </c>
      <c r="Z46" s="53">
        <f t="shared" si="89"/>
        <v>214.2</v>
      </c>
      <c r="AA46" s="75">
        <f t="shared" si="79"/>
        <v>0</v>
      </c>
      <c r="AB46" s="75">
        <f t="shared" si="79"/>
        <v>0</v>
      </c>
      <c r="AC46" s="75">
        <f t="shared" si="79"/>
        <v>0</v>
      </c>
      <c r="AD46" s="75">
        <f t="shared" si="79"/>
        <v>0</v>
      </c>
      <c r="AE46" s="75">
        <f t="shared" si="79"/>
        <v>0</v>
      </c>
      <c r="AF46" s="75">
        <f t="shared" si="79"/>
        <v>0</v>
      </c>
      <c r="AG46" s="54">
        <v>1</v>
      </c>
      <c r="AH46" s="53">
        <f t="shared" si="90"/>
        <v>731.84999999999991</v>
      </c>
      <c r="AI46" s="53">
        <f t="shared" si="91"/>
        <v>731.84999999999991</v>
      </c>
      <c r="AJ46" s="76">
        <f t="shared" si="92"/>
        <v>2014.5833333333333</v>
      </c>
      <c r="AK46" s="52">
        <f t="shared" si="93"/>
        <v>2018.9166666666667</v>
      </c>
      <c r="AL46" s="76">
        <f t="shared" si="94"/>
        <v>2019.5833333333333</v>
      </c>
      <c r="AM46" s="52">
        <f t="shared" si="95"/>
        <v>2019</v>
      </c>
      <c r="AN46" s="52">
        <f t="shared" si="96"/>
        <v>-8.3333333333333329E-2</v>
      </c>
      <c r="AO46" s="46"/>
    </row>
    <row r="47" spans="1:41" ht="15.75">
      <c r="A47" s="88" t="s">
        <v>560</v>
      </c>
      <c r="B47" s="55">
        <v>12</v>
      </c>
      <c r="C47" s="55">
        <v>2014</v>
      </c>
      <c r="D47" s="72">
        <v>6033</v>
      </c>
      <c r="E47" s="73">
        <v>0</v>
      </c>
      <c r="F47" s="58">
        <v>5</v>
      </c>
      <c r="G47" s="52">
        <f t="shared" si="80"/>
        <v>2019</v>
      </c>
      <c r="H47" s="58"/>
      <c r="I47" s="58"/>
      <c r="J47" s="57"/>
      <c r="K47" s="53">
        <f t="shared" si="81"/>
        <v>6033</v>
      </c>
      <c r="L47" s="53">
        <f t="shared" si="82"/>
        <v>100.55</v>
      </c>
      <c r="M47" s="53">
        <f t="shared" si="83"/>
        <v>1206.5999999999999</v>
      </c>
      <c r="N47" s="53">
        <f>+L47*37</f>
        <v>3720.35</v>
      </c>
      <c r="O47" s="53">
        <f t="shared" si="85"/>
        <v>4926.95</v>
      </c>
      <c r="P47" s="299">
        <f t="shared" si="98"/>
        <v>1709.3500000000001</v>
      </c>
      <c r="Q47" s="53">
        <f t="shared" si="87"/>
        <v>0</v>
      </c>
      <c r="R47" s="53">
        <f t="shared" si="88"/>
        <v>1206.5999999999999</v>
      </c>
      <c r="S47" s="54">
        <v>1</v>
      </c>
      <c r="T47" s="74">
        <f t="shared" si="78"/>
        <v>0</v>
      </c>
      <c r="U47" s="74">
        <f t="shared" si="78"/>
        <v>0</v>
      </c>
      <c r="V47" s="74">
        <f t="shared" si="78"/>
        <v>0</v>
      </c>
      <c r="W47" s="74">
        <f t="shared" si="78"/>
        <v>0</v>
      </c>
      <c r="X47" s="74">
        <f t="shared" si="78"/>
        <v>0</v>
      </c>
      <c r="Y47" s="74">
        <f t="shared" si="78"/>
        <v>0</v>
      </c>
      <c r="Z47" s="53">
        <f t="shared" si="89"/>
        <v>1206.5999999999999</v>
      </c>
      <c r="AA47" s="75">
        <f t="shared" si="79"/>
        <v>0</v>
      </c>
      <c r="AB47" s="75">
        <f t="shared" si="79"/>
        <v>0</v>
      </c>
      <c r="AC47" s="75">
        <f t="shared" si="79"/>
        <v>0</v>
      </c>
      <c r="AD47" s="75">
        <f t="shared" si="79"/>
        <v>0</v>
      </c>
      <c r="AE47" s="75">
        <f t="shared" si="79"/>
        <v>0</v>
      </c>
      <c r="AF47" s="75">
        <f t="shared" si="79"/>
        <v>0</v>
      </c>
      <c r="AG47" s="54">
        <v>1</v>
      </c>
      <c r="AH47" s="53">
        <f t="shared" si="90"/>
        <v>3720.35</v>
      </c>
      <c r="AI47" s="53">
        <f t="shared" si="91"/>
        <v>3720.35</v>
      </c>
      <c r="AJ47" s="76">
        <f t="shared" si="92"/>
        <v>2014.9166666666667</v>
      </c>
      <c r="AK47" s="52">
        <f t="shared" si="93"/>
        <v>2018.9166666666667</v>
      </c>
      <c r="AL47" s="76">
        <f t="shared" si="94"/>
        <v>2019.9166666666667</v>
      </c>
      <c r="AM47" s="52">
        <f t="shared" si="95"/>
        <v>2019</v>
      </c>
      <c r="AN47" s="52">
        <f t="shared" si="96"/>
        <v>-8.3333333333333329E-2</v>
      </c>
      <c r="AO47" s="46"/>
    </row>
    <row r="48" spans="1:41" ht="15.75">
      <c r="A48" s="88" t="s">
        <v>561</v>
      </c>
      <c r="B48" s="55">
        <v>2</v>
      </c>
      <c r="C48" s="55">
        <v>2017</v>
      </c>
      <c r="D48" s="77">
        <v>4368</v>
      </c>
      <c r="E48" s="73">
        <v>0</v>
      </c>
      <c r="F48" s="58">
        <v>5</v>
      </c>
      <c r="G48" s="52">
        <f t="shared" si="80"/>
        <v>2022</v>
      </c>
      <c r="H48" s="58"/>
      <c r="I48" s="58"/>
      <c r="J48" s="57"/>
      <c r="K48" s="78">
        <f t="shared" si="81"/>
        <v>4368</v>
      </c>
      <c r="L48" s="78">
        <f t="shared" si="82"/>
        <v>72.8</v>
      </c>
      <c r="M48" s="78">
        <f t="shared" si="83"/>
        <v>873.59999999999991</v>
      </c>
      <c r="N48" s="78">
        <f>+L48*10</f>
        <v>728</v>
      </c>
      <c r="O48" s="78">
        <f t="shared" si="85"/>
        <v>1601.6</v>
      </c>
      <c r="P48" s="301">
        <f t="shared" si="98"/>
        <v>3203.2</v>
      </c>
      <c r="Q48" s="78">
        <f t="shared" si="87"/>
        <v>0</v>
      </c>
      <c r="R48" s="78">
        <f t="shared" si="88"/>
        <v>873.59999999999991</v>
      </c>
      <c r="S48" s="54">
        <v>1</v>
      </c>
      <c r="T48" s="74">
        <f t="shared" si="78"/>
        <v>0</v>
      </c>
      <c r="U48" s="74">
        <f t="shared" si="78"/>
        <v>0</v>
      </c>
      <c r="V48" s="74">
        <f t="shared" si="78"/>
        <v>0</v>
      </c>
      <c r="W48" s="74">
        <f t="shared" si="78"/>
        <v>0</v>
      </c>
      <c r="X48" s="74">
        <f t="shared" si="78"/>
        <v>0</v>
      </c>
      <c r="Y48" s="74">
        <f t="shared" si="78"/>
        <v>0</v>
      </c>
      <c r="Z48" s="53">
        <f t="shared" si="89"/>
        <v>873.59999999999991</v>
      </c>
      <c r="AA48" s="75">
        <f t="shared" si="79"/>
        <v>0</v>
      </c>
      <c r="AB48" s="75">
        <f t="shared" si="79"/>
        <v>0</v>
      </c>
      <c r="AC48" s="75">
        <f t="shared" si="79"/>
        <v>0</v>
      </c>
      <c r="AD48" s="75">
        <f t="shared" si="79"/>
        <v>0</v>
      </c>
      <c r="AE48" s="75">
        <f t="shared" si="79"/>
        <v>0</v>
      </c>
      <c r="AF48" s="75">
        <f t="shared" si="79"/>
        <v>0</v>
      </c>
      <c r="AG48" s="54">
        <v>1</v>
      </c>
      <c r="AH48" s="53">
        <f t="shared" si="90"/>
        <v>728</v>
      </c>
      <c r="AI48" s="53">
        <f t="shared" si="91"/>
        <v>728</v>
      </c>
      <c r="AJ48" s="76">
        <f t="shared" si="92"/>
        <v>2017.0833333333333</v>
      </c>
      <c r="AK48" s="52">
        <f t="shared" si="93"/>
        <v>2018.9166666666667</v>
      </c>
      <c r="AL48" s="76">
        <f t="shared" si="94"/>
        <v>2022.0833333333333</v>
      </c>
      <c r="AM48" s="52">
        <f t="shared" si="95"/>
        <v>2019</v>
      </c>
      <c r="AN48" s="52">
        <f t="shared" si="96"/>
        <v>-8.3333333333333329E-2</v>
      </c>
      <c r="AO48" s="46"/>
    </row>
    <row r="49" spans="1:41" ht="15.75">
      <c r="A49" s="55" t="s">
        <v>562</v>
      </c>
      <c r="B49" s="58"/>
      <c r="C49" s="58"/>
      <c r="D49" s="53">
        <f>SUM(D40:D48)</f>
        <v>54411</v>
      </c>
      <c r="E49" s="79"/>
      <c r="F49" s="52"/>
      <c r="G49" s="52"/>
      <c r="H49" s="52"/>
      <c r="I49" s="52"/>
      <c r="J49" s="53"/>
      <c r="K49" s="53">
        <f t="shared" ref="K49:R49" si="99">SUM(K40:K48)</f>
        <v>54411</v>
      </c>
      <c r="L49" s="53">
        <f t="shared" si="99"/>
        <v>906.85</v>
      </c>
      <c r="M49" s="53">
        <f t="shared" si="99"/>
        <v>5709.4</v>
      </c>
      <c r="N49" s="53">
        <f t="shared" si="99"/>
        <v>44545.933333333334</v>
      </c>
      <c r="O49" s="53">
        <f t="shared" si="99"/>
        <v>50255.333333333336</v>
      </c>
      <c r="P49" s="299">
        <f t="shared" si="99"/>
        <v>5540.2666666666664</v>
      </c>
      <c r="Q49" s="53">
        <f t="shared" si="99"/>
        <v>0</v>
      </c>
      <c r="R49" s="53">
        <f t="shared" si="99"/>
        <v>5709.4</v>
      </c>
      <c r="S49" s="53"/>
      <c r="T49" s="74">
        <f>SUM(T40)</f>
        <v>0</v>
      </c>
      <c r="U49" s="74">
        <f t="shared" ref="U49:AI49" si="100">SUM(U40)</f>
        <v>0</v>
      </c>
      <c r="V49" s="74">
        <f t="shared" si="100"/>
        <v>0</v>
      </c>
      <c r="W49" s="74">
        <f t="shared" si="100"/>
        <v>0</v>
      </c>
      <c r="X49" s="74">
        <f t="shared" si="100"/>
        <v>0</v>
      </c>
      <c r="Y49" s="74">
        <f t="shared" si="100"/>
        <v>0</v>
      </c>
      <c r="Z49" s="53">
        <f t="shared" si="100"/>
        <v>0</v>
      </c>
      <c r="AA49" s="75">
        <f t="shared" si="100"/>
        <v>0</v>
      </c>
      <c r="AB49" s="75">
        <f t="shared" si="100"/>
        <v>0</v>
      </c>
      <c r="AC49" s="75">
        <f t="shared" si="100"/>
        <v>0</v>
      </c>
      <c r="AD49" s="75">
        <f t="shared" si="100"/>
        <v>0</v>
      </c>
      <c r="AE49" s="75">
        <f t="shared" si="100"/>
        <v>0</v>
      </c>
      <c r="AF49" s="75">
        <f t="shared" si="100"/>
        <v>0</v>
      </c>
      <c r="AG49" s="53"/>
      <c r="AH49" s="53">
        <f t="shared" si="100"/>
        <v>24226</v>
      </c>
      <c r="AI49" s="53">
        <f t="shared" si="100"/>
        <v>24226</v>
      </c>
      <c r="AJ49" s="76"/>
      <c r="AK49" s="52"/>
      <c r="AL49" s="76"/>
      <c r="AM49" s="52"/>
      <c r="AN49" s="52"/>
      <c r="AO49" s="46"/>
    </row>
    <row r="50" spans="1:41" ht="15.75">
      <c r="A50" s="55"/>
      <c r="B50" s="58"/>
      <c r="C50" s="58"/>
      <c r="D50" s="72"/>
      <c r="E50" s="73"/>
      <c r="F50" s="58"/>
      <c r="G50" s="52"/>
      <c r="H50" s="58"/>
      <c r="I50" s="58"/>
      <c r="J50" s="57"/>
      <c r="K50" s="53"/>
      <c r="L50" s="53"/>
      <c r="M50" s="53"/>
      <c r="N50" s="53"/>
      <c r="O50" s="53"/>
      <c r="P50" s="299"/>
      <c r="Q50" s="53"/>
      <c r="R50" s="53"/>
      <c r="S50" s="54"/>
      <c r="T50" s="74"/>
      <c r="U50" s="74"/>
      <c r="V50" s="74"/>
      <c r="W50" s="74"/>
      <c r="X50" s="74"/>
      <c r="Y50" s="74"/>
      <c r="Z50" s="53"/>
      <c r="AA50" s="75"/>
      <c r="AB50" s="75"/>
      <c r="AC50" s="75"/>
      <c r="AD50" s="75"/>
      <c r="AE50" s="75"/>
      <c r="AF50" s="75"/>
      <c r="AG50" s="54"/>
      <c r="AH50" s="53"/>
      <c r="AI50" s="53"/>
      <c r="AJ50" s="76"/>
      <c r="AK50" s="52"/>
      <c r="AL50" s="76"/>
      <c r="AM50" s="52"/>
      <c r="AN50" s="52"/>
      <c r="AO50" s="46"/>
    </row>
    <row r="51" spans="1:41" ht="15.75">
      <c r="A51" s="68" t="s">
        <v>563</v>
      </c>
      <c r="B51" s="55"/>
      <c r="C51" s="55"/>
      <c r="D51" s="69"/>
      <c r="E51" s="70"/>
      <c r="F51" s="58"/>
      <c r="G51" s="58"/>
      <c r="H51" s="58"/>
      <c r="I51" s="58"/>
      <c r="J51" s="69"/>
      <c r="K51" s="69"/>
      <c r="L51" s="57"/>
      <c r="M51" s="57"/>
      <c r="N51" s="57"/>
      <c r="O51" s="57"/>
      <c r="P51" s="300"/>
      <c r="Q51" s="71"/>
      <c r="R51" s="71"/>
      <c r="S51" s="72"/>
      <c r="T51" s="80"/>
      <c r="U51" s="81"/>
      <c r="V51" s="81"/>
      <c r="W51" s="81"/>
      <c r="X51" s="81"/>
      <c r="Y51" s="81"/>
      <c r="Z51" s="71"/>
      <c r="AA51" s="82"/>
      <c r="AB51" s="82"/>
      <c r="AC51" s="82"/>
      <c r="AD51" s="82"/>
      <c r="AE51" s="82"/>
      <c r="AF51" s="82"/>
      <c r="AG51" s="72"/>
      <c r="AH51" s="72"/>
      <c r="AI51" s="72"/>
      <c r="AJ51" s="72"/>
      <c r="AK51" s="72"/>
      <c r="AL51" s="72"/>
      <c r="AM51" s="72"/>
      <c r="AN51" s="72"/>
      <c r="AO51" s="46"/>
    </row>
    <row r="52" spans="1:41" ht="15.75">
      <c r="A52" s="68" t="s">
        <v>564</v>
      </c>
      <c r="B52" s="55">
        <v>12</v>
      </c>
      <c r="C52" s="55">
        <v>2003</v>
      </c>
      <c r="D52" s="72">
        <v>54300</v>
      </c>
      <c r="E52" s="73">
        <v>0</v>
      </c>
      <c r="F52" s="58">
        <v>5</v>
      </c>
      <c r="G52" s="52">
        <f>C52+F52</f>
        <v>2008</v>
      </c>
      <c r="H52" s="58"/>
      <c r="I52" s="58"/>
      <c r="J52" s="57"/>
      <c r="K52" s="53">
        <f>D52-D52*E52</f>
        <v>54300</v>
      </c>
      <c r="L52" s="53">
        <f>K52/F52/12</f>
        <v>905</v>
      </c>
      <c r="M52" s="53">
        <f>IF(J52&gt;0,0,IF(OR(AJ52&gt;AK52,AL52&lt;AM52),0,IF(AND(AL52&gt;=AM52,AL52&lt;=AK52),L52*((AL52-AM52)*12),IF(AND(AM52&lt;=AJ52,AK52&gt;=AJ52),((AK52-AJ52)*12)*L52,IF(AL52&gt;AK52,12*L52,0)))))</f>
        <v>0</v>
      </c>
      <c r="N52" s="53">
        <f>IF(AJ52&gt;AK52,0,IF(AL52&lt;AM52,K52,IF(AND(AL52&gt;=AM52,AL52&lt;=AK52),(K52-R52),IF(AND(AM52&lt;=AJ52,AK52&gt;=AJ52),0,IF(AL52&gt;AK52,((AM52-AJ52)*12)*L52,0)))))</f>
        <v>54300</v>
      </c>
      <c r="O52" s="53">
        <f>IF(J52&gt;0,0,AI52+Z52*AG52)*AG52</f>
        <v>54300</v>
      </c>
      <c r="P52" s="299">
        <f>IF(J52&gt;0,(D52-AI52)/2,IF(AJ52&gt;=AM52,(((D52*S52)*AG52)-O52)/2,((((D52*S52)*AG52)-AI52)+(((D52*S52)*AG52)-O52))/2))</f>
        <v>0</v>
      </c>
      <c r="Q52" s="53">
        <f>IF(J52=0,0,IF(AND(AN52&gt;=AM52,AN52&lt;=AL52),((AN52-AM52)*12)*L52,0))</f>
        <v>0</v>
      </c>
      <c r="R52" s="53">
        <f>IF(Q52&gt;0,Q52,M52)</f>
        <v>0</v>
      </c>
      <c r="S52" s="54">
        <v>1</v>
      </c>
      <c r="T52" s="74">
        <f>S52*(M52+Q52)</f>
        <v>0</v>
      </c>
      <c r="U52" s="74"/>
      <c r="V52" s="74"/>
      <c r="W52" s="74"/>
      <c r="X52" s="74"/>
      <c r="Y52" s="74"/>
      <c r="Z52" s="53">
        <f>S52*(M52+Q52)</f>
        <v>0</v>
      </c>
      <c r="AA52" s="75">
        <f>P52*S52</f>
        <v>0</v>
      </c>
      <c r="AB52" s="75">
        <f t="shared" ref="AB52:AF56" si="101">Q52*T52</f>
        <v>0</v>
      </c>
      <c r="AC52" s="75">
        <f t="shared" si="101"/>
        <v>0</v>
      </c>
      <c r="AD52" s="75">
        <f t="shared" si="101"/>
        <v>0</v>
      </c>
      <c r="AE52" s="75">
        <f t="shared" si="101"/>
        <v>0</v>
      </c>
      <c r="AF52" s="75">
        <f t="shared" si="101"/>
        <v>0</v>
      </c>
      <c r="AG52" s="54">
        <v>1</v>
      </c>
      <c r="AH52" s="53">
        <f>N52*S52</f>
        <v>54300</v>
      </c>
      <c r="AI52" s="53">
        <f>AH52*AG52</f>
        <v>54300</v>
      </c>
      <c r="AJ52" s="76">
        <f>$C52+(($B52-1)/12)</f>
        <v>2003.9166666666667</v>
      </c>
      <c r="AK52" s="52">
        <f>($F$7+1)-($C$7/12)</f>
        <v>2018.9166666666667</v>
      </c>
      <c r="AL52" s="76">
        <f>$G52+(($B52-1)/12)</f>
        <v>2008.9166666666667</v>
      </c>
      <c r="AM52" s="52">
        <f>$D$7+($E$7/12)</f>
        <v>2019</v>
      </c>
      <c r="AN52" s="52">
        <f>$I52+(($H52-1)/12)</f>
        <v>-8.3333333333333329E-2</v>
      </c>
      <c r="AO52" s="46"/>
    </row>
    <row r="53" spans="1:41" ht="15.75">
      <c r="A53" s="88" t="s">
        <v>565</v>
      </c>
      <c r="B53" s="55">
        <v>4</v>
      </c>
      <c r="C53" s="55">
        <v>2014</v>
      </c>
      <c r="D53" s="72">
        <v>28000</v>
      </c>
      <c r="E53" s="73">
        <v>0</v>
      </c>
      <c r="F53" s="58">
        <v>5</v>
      </c>
      <c r="G53" s="52">
        <f t="shared" ref="G53:G56" si="102">C53+F53</f>
        <v>2019</v>
      </c>
      <c r="H53" s="58"/>
      <c r="I53" s="58"/>
      <c r="J53" s="57"/>
      <c r="K53" s="53">
        <f t="shared" ref="K53:K56" si="103">D53-D53*E53</f>
        <v>28000</v>
      </c>
      <c r="L53" s="53">
        <f t="shared" ref="L53:L56" si="104">K53/F53/12</f>
        <v>466.66666666666669</v>
      </c>
      <c r="M53" s="53">
        <f t="shared" ref="M53:M56" si="105">IF(J53&gt;0,0,IF(OR(AJ53&gt;AK53,AL53&lt;AM53),0,IF(AND(AL53&gt;=AM53,AL53&lt;=AK53),L53*((AL53-AM53)*12),IF(AND(AM53&lt;=AJ53,AK53&gt;=AJ53),((AK53-AJ53)*12)*L53,IF(AL53&gt;AK53,12*L53,0)))))</f>
        <v>5600</v>
      </c>
      <c r="N53" s="53">
        <f>+L53*45</f>
        <v>21000</v>
      </c>
      <c r="O53" s="53">
        <f t="shared" ref="O53:O56" si="106">IF(J53&gt;0,0,AI53+Z53*AG53)*AG53</f>
        <v>26600</v>
      </c>
      <c r="P53" s="299">
        <f t="shared" ref="P53:P56" si="107">((K53-N53)+(K53-O53))/2</f>
        <v>4200</v>
      </c>
      <c r="Q53" s="53">
        <f t="shared" ref="Q53:Q56" si="108">IF(J53=0,0,IF(AND(AN53&gt;=AM53,AN53&lt;=AL53),((AN53-AM53)*12)*L53,0))</f>
        <v>0</v>
      </c>
      <c r="R53" s="53">
        <f t="shared" ref="R53:R56" si="109">IF(Q53&gt;0,Q53,M53)</f>
        <v>5600</v>
      </c>
      <c r="S53" s="54">
        <v>1</v>
      </c>
      <c r="T53" s="74">
        <f t="shared" ref="T53:T56" si="110">S53*(M53+Q53)</f>
        <v>5600</v>
      </c>
      <c r="U53" s="74"/>
      <c r="V53" s="74"/>
      <c r="W53" s="74"/>
      <c r="X53" s="74"/>
      <c r="Y53" s="74"/>
      <c r="Z53" s="53">
        <f t="shared" ref="Z53:Z56" si="111">S53*(M53+Q53)</f>
        <v>5600</v>
      </c>
      <c r="AA53" s="75">
        <f t="shared" ref="AA53:AA56" si="112">P53*S53</f>
        <v>4200</v>
      </c>
      <c r="AB53" s="75">
        <f t="shared" si="101"/>
        <v>0</v>
      </c>
      <c r="AC53" s="75">
        <f t="shared" si="101"/>
        <v>0</v>
      </c>
      <c r="AD53" s="75">
        <f t="shared" si="101"/>
        <v>0</v>
      </c>
      <c r="AE53" s="75">
        <f t="shared" si="101"/>
        <v>0</v>
      </c>
      <c r="AF53" s="75">
        <f t="shared" si="101"/>
        <v>0</v>
      </c>
      <c r="AG53" s="54">
        <v>1</v>
      </c>
      <c r="AH53" s="53">
        <f t="shared" ref="AH53:AH56" si="113">N53*S53</f>
        <v>21000</v>
      </c>
      <c r="AI53" s="53">
        <f t="shared" ref="AI53:AI56" si="114">AH53*AG53</f>
        <v>21000</v>
      </c>
      <c r="AJ53" s="76">
        <f t="shared" ref="AJ53:AJ56" si="115">$C53+(($B53-1)/12)</f>
        <v>2014.25</v>
      </c>
      <c r="AK53" s="52">
        <f t="shared" ref="AK53:AK56" si="116">($F$7+1)-($C$7/12)</f>
        <v>2018.9166666666667</v>
      </c>
      <c r="AL53" s="76">
        <f t="shared" ref="AL53:AL56" si="117">$G53+(($B53-1)/12)</f>
        <v>2019.25</v>
      </c>
      <c r="AM53" s="52">
        <f t="shared" ref="AM53:AM56" si="118">$D$7+($E$7/12)</f>
        <v>2019</v>
      </c>
      <c r="AN53" s="52">
        <f t="shared" ref="AN53:AN56" si="119">$I53+(($H53-1)/12)</f>
        <v>-8.3333333333333329E-2</v>
      </c>
      <c r="AO53" s="46"/>
    </row>
    <row r="54" spans="1:41" ht="15.75">
      <c r="A54" s="88" t="s">
        <v>566</v>
      </c>
      <c r="B54" s="55">
        <v>9</v>
      </c>
      <c r="C54" s="55">
        <v>2015</v>
      </c>
      <c r="D54" s="72">
        <v>65592</v>
      </c>
      <c r="E54" s="73">
        <v>0</v>
      </c>
      <c r="F54" s="58">
        <v>5</v>
      </c>
      <c r="G54" s="52">
        <f t="shared" si="102"/>
        <v>2020</v>
      </c>
      <c r="H54" s="58"/>
      <c r="I54" s="58"/>
      <c r="J54" s="57"/>
      <c r="K54" s="53">
        <f t="shared" si="103"/>
        <v>65592</v>
      </c>
      <c r="L54" s="53">
        <f t="shared" si="104"/>
        <v>1093.2</v>
      </c>
      <c r="M54" s="53">
        <f t="shared" si="105"/>
        <v>13118.400000000001</v>
      </c>
      <c r="N54" s="53">
        <f>+L54*28</f>
        <v>30609.600000000002</v>
      </c>
      <c r="O54" s="53">
        <f t="shared" si="106"/>
        <v>43728</v>
      </c>
      <c r="P54" s="299">
        <f t="shared" si="107"/>
        <v>28423.199999999997</v>
      </c>
      <c r="Q54" s="53">
        <f t="shared" si="108"/>
        <v>0</v>
      </c>
      <c r="R54" s="53">
        <f t="shared" si="109"/>
        <v>13118.400000000001</v>
      </c>
      <c r="S54" s="54">
        <v>1</v>
      </c>
      <c r="T54" s="74">
        <f t="shared" si="110"/>
        <v>13118.400000000001</v>
      </c>
      <c r="U54" s="74"/>
      <c r="V54" s="74"/>
      <c r="W54" s="74"/>
      <c r="X54" s="74"/>
      <c r="Y54" s="74"/>
      <c r="Z54" s="53">
        <f t="shared" si="111"/>
        <v>13118.400000000001</v>
      </c>
      <c r="AA54" s="75">
        <f t="shared" si="112"/>
        <v>28423.199999999997</v>
      </c>
      <c r="AB54" s="75">
        <f t="shared" si="101"/>
        <v>0</v>
      </c>
      <c r="AC54" s="75">
        <f t="shared" si="101"/>
        <v>0</v>
      </c>
      <c r="AD54" s="75">
        <f t="shared" si="101"/>
        <v>0</v>
      </c>
      <c r="AE54" s="75">
        <f t="shared" si="101"/>
        <v>0</v>
      </c>
      <c r="AF54" s="75">
        <f t="shared" si="101"/>
        <v>0</v>
      </c>
      <c r="AG54" s="54">
        <v>1</v>
      </c>
      <c r="AH54" s="53">
        <f t="shared" si="113"/>
        <v>30609.600000000002</v>
      </c>
      <c r="AI54" s="53">
        <f t="shared" si="114"/>
        <v>30609.600000000002</v>
      </c>
      <c r="AJ54" s="76">
        <f t="shared" si="115"/>
        <v>2015.6666666666667</v>
      </c>
      <c r="AK54" s="52">
        <f t="shared" si="116"/>
        <v>2018.9166666666667</v>
      </c>
      <c r="AL54" s="76">
        <f t="shared" si="117"/>
        <v>2020.6666666666667</v>
      </c>
      <c r="AM54" s="52">
        <f t="shared" si="118"/>
        <v>2019</v>
      </c>
      <c r="AN54" s="52">
        <f t="shared" si="119"/>
        <v>-8.3333333333333329E-2</v>
      </c>
      <c r="AO54" s="46"/>
    </row>
    <row r="55" spans="1:41" ht="15.75">
      <c r="A55" s="88" t="s">
        <v>1253</v>
      </c>
      <c r="B55" s="55">
        <v>12</v>
      </c>
      <c r="C55" s="55">
        <v>2018</v>
      </c>
      <c r="D55" s="72">
        <v>9267</v>
      </c>
      <c r="E55" s="73">
        <v>0</v>
      </c>
      <c r="F55" s="58">
        <v>10</v>
      </c>
      <c r="G55" s="52">
        <f t="shared" si="102"/>
        <v>2028</v>
      </c>
      <c r="H55" s="58"/>
      <c r="I55" s="58"/>
      <c r="J55" s="57"/>
      <c r="K55" s="53">
        <f t="shared" si="103"/>
        <v>9267</v>
      </c>
      <c r="L55" s="53">
        <f t="shared" si="104"/>
        <v>77.225000000000009</v>
      </c>
      <c r="M55" s="53">
        <f t="shared" ref="M55" si="120">+L55*12</f>
        <v>926.7</v>
      </c>
      <c r="N55" s="53"/>
      <c r="O55" s="53">
        <f t="shared" si="106"/>
        <v>926.7</v>
      </c>
      <c r="P55" s="299">
        <f t="shared" si="107"/>
        <v>8803.65</v>
      </c>
      <c r="Q55" s="53">
        <f t="shared" si="108"/>
        <v>0</v>
      </c>
      <c r="R55" s="53">
        <f t="shared" si="109"/>
        <v>926.7</v>
      </c>
      <c r="S55" s="54">
        <v>1</v>
      </c>
      <c r="T55" s="74">
        <f t="shared" si="110"/>
        <v>926.7</v>
      </c>
      <c r="U55" s="74"/>
      <c r="V55" s="74"/>
      <c r="W55" s="74"/>
      <c r="X55" s="74"/>
      <c r="Y55" s="74"/>
      <c r="Z55" s="53">
        <f t="shared" si="111"/>
        <v>926.7</v>
      </c>
      <c r="AA55" s="75">
        <f t="shared" si="112"/>
        <v>8803.65</v>
      </c>
      <c r="AB55" s="75">
        <f t="shared" si="101"/>
        <v>0</v>
      </c>
      <c r="AC55" s="75">
        <f t="shared" si="101"/>
        <v>0</v>
      </c>
      <c r="AD55" s="75">
        <f t="shared" si="101"/>
        <v>0</v>
      </c>
      <c r="AE55" s="75">
        <f t="shared" si="101"/>
        <v>0</v>
      </c>
      <c r="AF55" s="75">
        <f t="shared" si="101"/>
        <v>0</v>
      </c>
      <c r="AG55" s="54">
        <v>1</v>
      </c>
      <c r="AH55" s="53">
        <f t="shared" si="113"/>
        <v>0</v>
      </c>
      <c r="AI55" s="53">
        <f t="shared" si="114"/>
        <v>0</v>
      </c>
      <c r="AJ55" s="76">
        <f t="shared" si="115"/>
        <v>2018.9166666666667</v>
      </c>
      <c r="AK55" s="52">
        <f t="shared" si="116"/>
        <v>2018.9166666666667</v>
      </c>
      <c r="AL55" s="76">
        <f t="shared" si="117"/>
        <v>2028.9166666666667</v>
      </c>
      <c r="AM55" s="52">
        <f t="shared" si="118"/>
        <v>2019</v>
      </c>
      <c r="AN55" s="52">
        <f t="shared" si="119"/>
        <v>-8.3333333333333329E-2</v>
      </c>
      <c r="AO55" s="46"/>
    </row>
    <row r="56" spans="1:41" ht="15.75">
      <c r="A56" s="88" t="s">
        <v>567</v>
      </c>
      <c r="B56" s="55">
        <v>6</v>
      </c>
      <c r="C56" s="55">
        <v>2017</v>
      </c>
      <c r="D56" s="77">
        <v>31276</v>
      </c>
      <c r="E56" s="73">
        <v>0</v>
      </c>
      <c r="F56" s="58">
        <v>5</v>
      </c>
      <c r="G56" s="52">
        <f t="shared" si="102"/>
        <v>2022</v>
      </c>
      <c r="H56" s="58"/>
      <c r="I56" s="58"/>
      <c r="J56" s="57"/>
      <c r="K56" s="78">
        <f t="shared" si="103"/>
        <v>31276</v>
      </c>
      <c r="L56" s="78">
        <f t="shared" si="104"/>
        <v>521.26666666666665</v>
      </c>
      <c r="M56" s="78">
        <f t="shared" si="105"/>
        <v>6255.2</v>
      </c>
      <c r="N56" s="78">
        <f>+L56*7</f>
        <v>3648.8666666666668</v>
      </c>
      <c r="O56" s="78">
        <f t="shared" si="106"/>
        <v>9904.0666666666657</v>
      </c>
      <c r="P56" s="301">
        <f t="shared" si="107"/>
        <v>24499.533333333333</v>
      </c>
      <c r="Q56" s="78">
        <f t="shared" si="108"/>
        <v>0</v>
      </c>
      <c r="R56" s="78">
        <f t="shared" si="109"/>
        <v>6255.2</v>
      </c>
      <c r="S56" s="54">
        <v>1</v>
      </c>
      <c r="T56" s="74">
        <f t="shared" si="110"/>
        <v>6255.2</v>
      </c>
      <c r="U56" s="74"/>
      <c r="V56" s="74"/>
      <c r="W56" s="74"/>
      <c r="X56" s="74"/>
      <c r="Y56" s="74"/>
      <c r="Z56" s="53">
        <f t="shared" si="111"/>
        <v>6255.2</v>
      </c>
      <c r="AA56" s="75">
        <f t="shared" si="112"/>
        <v>24499.533333333333</v>
      </c>
      <c r="AB56" s="75">
        <f t="shared" si="101"/>
        <v>0</v>
      </c>
      <c r="AC56" s="75">
        <f t="shared" si="101"/>
        <v>0</v>
      </c>
      <c r="AD56" s="75">
        <f t="shared" si="101"/>
        <v>0</v>
      </c>
      <c r="AE56" s="75">
        <f t="shared" si="101"/>
        <v>0</v>
      </c>
      <c r="AF56" s="75">
        <f t="shared" si="101"/>
        <v>0</v>
      </c>
      <c r="AG56" s="54">
        <v>1</v>
      </c>
      <c r="AH56" s="53">
        <f t="shared" si="113"/>
        <v>3648.8666666666668</v>
      </c>
      <c r="AI56" s="53">
        <f t="shared" si="114"/>
        <v>3648.8666666666668</v>
      </c>
      <c r="AJ56" s="76">
        <f t="shared" si="115"/>
        <v>2017.4166666666667</v>
      </c>
      <c r="AK56" s="52">
        <f t="shared" si="116"/>
        <v>2018.9166666666667</v>
      </c>
      <c r="AL56" s="76">
        <f t="shared" si="117"/>
        <v>2022.4166666666667</v>
      </c>
      <c r="AM56" s="52">
        <f t="shared" si="118"/>
        <v>2019</v>
      </c>
      <c r="AN56" s="52">
        <f t="shared" si="119"/>
        <v>-8.3333333333333329E-2</v>
      </c>
      <c r="AO56" s="46"/>
    </row>
    <row r="57" spans="1:41" ht="15.75">
      <c r="A57" s="55" t="s">
        <v>568</v>
      </c>
      <c r="B57" s="58"/>
      <c r="C57" s="58"/>
      <c r="D57" s="53">
        <f>SUM(D52:D56)</f>
        <v>188435</v>
      </c>
      <c r="E57" s="79"/>
      <c r="F57" s="52"/>
      <c r="G57" s="52"/>
      <c r="H57" s="52"/>
      <c r="I57" s="52"/>
      <c r="J57" s="53"/>
      <c r="K57" s="53">
        <f t="shared" ref="K57:R57" si="121">SUM(K52:K56)</f>
        <v>188435</v>
      </c>
      <c r="L57" s="53">
        <f t="shared" si="121"/>
        <v>3063.3583333333336</v>
      </c>
      <c r="M57" s="53">
        <f t="shared" si="121"/>
        <v>25900.300000000003</v>
      </c>
      <c r="N57" s="53">
        <f t="shared" si="121"/>
        <v>109558.46666666667</v>
      </c>
      <c r="O57" s="53">
        <f t="shared" si="121"/>
        <v>135458.76666666666</v>
      </c>
      <c r="P57" s="299">
        <f t="shared" si="121"/>
        <v>65926.383333333331</v>
      </c>
      <c r="Q57" s="53">
        <f t="shared" si="121"/>
        <v>0</v>
      </c>
      <c r="R57" s="53">
        <f t="shared" si="121"/>
        <v>25900.300000000003</v>
      </c>
      <c r="S57" s="53"/>
      <c r="T57" s="74">
        <f>SUM(T52)</f>
        <v>0</v>
      </c>
      <c r="U57" s="74"/>
      <c r="V57" s="74"/>
      <c r="W57" s="74"/>
      <c r="X57" s="74"/>
      <c r="Y57" s="74"/>
      <c r="Z57" s="53">
        <f t="shared" ref="Z57:AF57" si="122">SUM(Z52)</f>
        <v>0</v>
      </c>
      <c r="AA57" s="75">
        <f t="shared" si="122"/>
        <v>0</v>
      </c>
      <c r="AB57" s="75">
        <f t="shared" si="122"/>
        <v>0</v>
      </c>
      <c r="AC57" s="75">
        <f t="shared" si="122"/>
        <v>0</v>
      </c>
      <c r="AD57" s="75">
        <f t="shared" si="122"/>
        <v>0</v>
      </c>
      <c r="AE57" s="75">
        <f t="shared" si="122"/>
        <v>0</v>
      </c>
      <c r="AF57" s="75">
        <f t="shared" si="122"/>
        <v>0</v>
      </c>
      <c r="AG57" s="53"/>
      <c r="AH57" s="53">
        <f>SUM(AH52)</f>
        <v>54300</v>
      </c>
      <c r="AI57" s="53">
        <f>SUM(AI52)</f>
        <v>54300</v>
      </c>
      <c r="AJ57" s="76"/>
      <c r="AK57" s="52"/>
      <c r="AL57" s="76"/>
      <c r="AM57" s="52"/>
      <c r="AN57" s="52"/>
      <c r="AO57" s="46"/>
    </row>
    <row r="58" spans="1:41" ht="15.75">
      <c r="A58" s="55"/>
      <c r="B58" s="58"/>
      <c r="C58" s="58"/>
      <c r="D58" s="72"/>
      <c r="E58" s="73"/>
      <c r="F58" s="58"/>
      <c r="G58" s="52"/>
      <c r="H58" s="58"/>
      <c r="I58" s="58"/>
      <c r="J58" s="57"/>
      <c r="K58" s="53"/>
      <c r="L58" s="53"/>
      <c r="M58" s="53"/>
      <c r="N58" s="53"/>
      <c r="O58" s="53"/>
      <c r="P58" s="299"/>
      <c r="Q58" s="53"/>
      <c r="R58" s="53"/>
      <c r="S58" s="54"/>
      <c r="T58" s="74"/>
      <c r="U58" s="74"/>
      <c r="V58" s="74"/>
      <c r="W58" s="74"/>
      <c r="X58" s="74"/>
      <c r="Y58" s="74"/>
      <c r="Z58" s="53"/>
      <c r="AA58" s="75"/>
      <c r="AB58" s="75"/>
      <c r="AC58" s="75"/>
      <c r="AD58" s="75"/>
      <c r="AE58" s="75"/>
      <c r="AF58" s="75"/>
      <c r="AG58" s="54"/>
      <c r="AH58" s="53"/>
      <c r="AI58" s="53"/>
      <c r="AJ58" s="76"/>
      <c r="AK58" s="52"/>
      <c r="AL58" s="76"/>
      <c r="AM58" s="52"/>
      <c r="AN58" s="52"/>
      <c r="AO58" s="46"/>
    </row>
    <row r="59" spans="1:41" ht="15.75">
      <c r="A59" s="68" t="s">
        <v>569</v>
      </c>
      <c r="B59" s="55"/>
      <c r="C59" s="55"/>
      <c r="D59" s="69"/>
      <c r="E59" s="70"/>
      <c r="F59" s="58"/>
      <c r="G59" s="58"/>
      <c r="H59" s="58"/>
      <c r="I59" s="58"/>
      <c r="J59" s="69"/>
      <c r="K59" s="69"/>
      <c r="L59" s="57"/>
      <c r="M59" s="57"/>
      <c r="N59" s="57"/>
      <c r="O59" s="57"/>
      <c r="P59" s="300"/>
      <c r="Q59" s="71"/>
      <c r="R59" s="71"/>
      <c r="S59" s="72"/>
      <c r="T59" s="80"/>
      <c r="U59" s="81"/>
      <c r="V59" s="81"/>
      <c r="W59" s="81"/>
      <c r="X59" s="81"/>
      <c r="Y59" s="81"/>
      <c r="Z59" s="71"/>
      <c r="AA59" s="82"/>
      <c r="AB59" s="82"/>
      <c r="AC59" s="82"/>
      <c r="AD59" s="82"/>
      <c r="AE59" s="82"/>
      <c r="AF59" s="82"/>
      <c r="AG59" s="72"/>
      <c r="AH59" s="72"/>
      <c r="AI59" s="72"/>
      <c r="AJ59" s="72"/>
      <c r="AK59" s="72"/>
      <c r="AL59" s="72"/>
      <c r="AM59" s="72"/>
      <c r="AN59" s="72"/>
      <c r="AO59" s="46"/>
    </row>
    <row r="60" spans="1:41" ht="15.75">
      <c r="A60" s="68" t="s">
        <v>570</v>
      </c>
      <c r="B60" s="55">
        <v>8</v>
      </c>
      <c r="C60" s="55">
        <v>2004</v>
      </c>
      <c r="D60" s="72">
        <v>345807</v>
      </c>
      <c r="E60" s="73">
        <v>0</v>
      </c>
      <c r="F60" s="58">
        <v>7</v>
      </c>
      <c r="G60" s="52">
        <f>C60+F60</f>
        <v>2011</v>
      </c>
      <c r="H60" s="58"/>
      <c r="I60" s="58"/>
      <c r="J60" s="57"/>
      <c r="K60" s="53">
        <f>D60-D60*E60</f>
        <v>345807</v>
      </c>
      <c r="L60" s="53">
        <f>K60/F60/12</f>
        <v>4116.75</v>
      </c>
      <c r="M60" s="53">
        <f>IF(J60&gt;0,0,IF(OR(AJ60&gt;AK60,AL60&lt;AM60),0,IF(AND(AL60&gt;=AM60,AL60&lt;=AK60),L60*((AL60-AM60)*12),IF(AND(AM60&lt;=AJ60,AK60&gt;=AJ60),((AK60-AJ60)*12)*L60,IF(AL60&gt;AK60,12*L60,0)))))</f>
        <v>0</v>
      </c>
      <c r="N60" s="53">
        <f>IF(AJ60&gt;AK60,0,IF(AL60&lt;AM60,K60,IF(AND(AL60&gt;=AM60,AL60&lt;=AK60),(K60-R60),IF(AND(AM60&lt;=AJ60,AK60&gt;=AJ60),0,IF(AL60&gt;AK60,((AM60-AJ60)*12)*L60,0)))))</f>
        <v>345807</v>
      </c>
      <c r="O60" s="53">
        <f>IF(J60&gt;0,0,AI60+Z60*AG60)*AG60</f>
        <v>345807</v>
      </c>
      <c r="P60" s="299">
        <f>IF(J60&gt;0,(D60-AI60)/2,IF(AJ60&gt;=AM60,(((D60*S60)*AG60)-O60)/2,((((D60*S60)*AG60)-AI60)+(((D60*S60)*AG60)-O60))/2))</f>
        <v>0</v>
      </c>
      <c r="Q60" s="53">
        <f>IF(J60=0,0,IF(AND(AN60&gt;=AM60,AN60&lt;=AL60),((AN60-AM60)*12)*L60,0))</f>
        <v>0</v>
      </c>
      <c r="R60" s="53">
        <f>IF(Q60&gt;0,Q60,M60)</f>
        <v>0</v>
      </c>
      <c r="S60" s="54">
        <v>1</v>
      </c>
      <c r="T60" s="74">
        <f>$S$60*($M$60+$Q$60)*T10</f>
        <v>0</v>
      </c>
      <c r="U60" s="74">
        <f>$S$60*($M$60+$Q$60)*0</f>
        <v>0</v>
      </c>
      <c r="V60" s="74">
        <f>$S$60*($M$60+$Q$60)*V10</f>
        <v>0</v>
      </c>
      <c r="W60" s="74">
        <f>$S$60*($M$60+$Q$60)*0</f>
        <v>0</v>
      </c>
      <c r="X60" s="74">
        <f>$S$60*($M$60+$Q$60)*0</f>
        <v>0</v>
      </c>
      <c r="Y60" s="74">
        <f>$S$60*($M$60+$Q$60)*0</f>
        <v>0</v>
      </c>
      <c r="Z60" s="53">
        <f>S60*(M60+Q60)</f>
        <v>0</v>
      </c>
      <c r="AA60" s="52"/>
      <c r="AB60" s="75"/>
      <c r="AC60" s="75"/>
      <c r="AD60" s="75">
        <f>P60*S60</f>
        <v>0</v>
      </c>
      <c r="AE60" s="75">
        <f>T60*W60</f>
        <v>0</v>
      </c>
      <c r="AF60" s="75">
        <f>U60*X60</f>
        <v>0</v>
      </c>
      <c r="AG60" s="54">
        <v>1</v>
      </c>
      <c r="AH60" s="53">
        <f>N60*S60</f>
        <v>345807</v>
      </c>
      <c r="AI60" s="53">
        <f>AH60*AG60</f>
        <v>345807</v>
      </c>
      <c r="AJ60" s="76">
        <f>$C60+(($B60-1)/12)</f>
        <v>2004.5833333333333</v>
      </c>
      <c r="AK60" s="52">
        <f>($F$7+1)-($C$7/12)</f>
        <v>2018.9166666666667</v>
      </c>
      <c r="AL60" s="76">
        <f>$G60+(($B60-1)/12)</f>
        <v>2011.5833333333333</v>
      </c>
      <c r="AM60" s="52">
        <f>$D$7+($E$7/12)</f>
        <v>2019</v>
      </c>
      <c r="AN60" s="52">
        <f>$I60+(($H60-1)/12)</f>
        <v>-8.3333333333333329E-2</v>
      </c>
      <c r="AO60" s="46"/>
    </row>
    <row r="61" spans="1:41" ht="15.75">
      <c r="A61" s="55" t="s">
        <v>571</v>
      </c>
      <c r="B61" s="55">
        <v>12</v>
      </c>
      <c r="C61" s="55">
        <v>2009</v>
      </c>
      <c r="D61" s="72">
        <v>109275</v>
      </c>
      <c r="E61" s="73">
        <v>0</v>
      </c>
      <c r="F61" s="58">
        <v>7</v>
      </c>
      <c r="G61" s="52">
        <f>C61+F61</f>
        <v>2016</v>
      </c>
      <c r="H61" s="58"/>
      <c r="I61" s="58"/>
      <c r="J61" s="57"/>
      <c r="K61" s="53">
        <f>D61-D61*E61</f>
        <v>109275</v>
      </c>
      <c r="L61" s="53">
        <f t="shared" ref="L61:L63" si="123">K61/F61/12</f>
        <v>1300.8928571428571</v>
      </c>
      <c r="M61" s="53">
        <f>IF(J61&gt;0,0,IF(OR(AJ61&gt;AK61,AL61&lt;AM61),0,IF(AND(AL61&gt;=AM61,AL61&lt;=AK61),L61*((AL61-AM61)*12),IF(AND(AM61&lt;=AJ61,AK61&gt;=AJ61),((AK61-AJ61)*12)*L61,IF(AL61&gt;AK61,12*L61,0)))))</f>
        <v>0</v>
      </c>
      <c r="N61" s="53">
        <f>IF(AJ61&gt;AK61,0,IF(AL61&lt;AM61,K61,IF(AND(AL61&gt;=AM61,AL61&lt;=AK61),(K61-R61),IF(AND(AM61&lt;=AJ61,AK61&gt;=AJ61),0,IF(AL61&gt;AK61,((AM61-AJ61)*12)*L61,0)))))</f>
        <v>109275</v>
      </c>
      <c r="O61" s="53">
        <f>IF(J61&gt;0,0,AI61+Z61*AG61)*AG61</f>
        <v>109275</v>
      </c>
      <c r="P61" s="299">
        <f>IF(J61&gt;0,(D61-AI61)/2,IF(AJ61&gt;=AM61,(((D61*S61)*AG61)-O61)/2,((((D61*S61)*AG61)-AI61)+(((D61*S61)*AG61)-O61))/2))</f>
        <v>0</v>
      </c>
      <c r="Q61" s="53">
        <f>IF(J61=0,0,IF(AND(AN61&gt;=AM61,AN61&lt;=AL61),((AN61-AM61)*12)*L61,0))</f>
        <v>0</v>
      </c>
      <c r="R61" s="53">
        <f t="shared" ref="R61:R63" si="124">IF(Q61&gt;0,Q61,M61)</f>
        <v>0</v>
      </c>
      <c r="S61" s="54">
        <v>1</v>
      </c>
      <c r="T61" s="74">
        <f>$S$61*($M$61+$Q$61)*0</f>
        <v>0</v>
      </c>
      <c r="U61" s="74">
        <f>$S$61*($M$61+$Q$61)*0</f>
        <v>0</v>
      </c>
      <c r="V61" s="74">
        <f>$S$61*($M$61+$Q$61)*0.8</f>
        <v>0</v>
      </c>
      <c r="W61" s="74">
        <f>$S$61*($M$61+$Q$61)*0.2</f>
        <v>0</v>
      </c>
      <c r="X61" s="74">
        <f>$S$61*($M$61+$Q$61)*0</f>
        <v>0</v>
      </c>
      <c r="Y61" s="74">
        <f>$S$61*($M$61+$Q$61)*0</f>
        <v>0</v>
      </c>
      <c r="Z61" s="53">
        <f t="shared" ref="Z61:Z63" si="125">S61*(M61+Q61)</f>
        <v>0</v>
      </c>
      <c r="AA61" s="52"/>
      <c r="AB61" s="75"/>
      <c r="AC61" s="75"/>
      <c r="AD61" s="75">
        <f>P61*S61*0.8</f>
        <v>0</v>
      </c>
      <c r="AE61" s="75">
        <f>P61*S61*0.2</f>
        <v>0</v>
      </c>
      <c r="AF61" s="75">
        <f>U61*X61</f>
        <v>0</v>
      </c>
      <c r="AG61" s="54">
        <v>1</v>
      </c>
      <c r="AH61" s="53">
        <f>N61*S61</f>
        <v>109275</v>
      </c>
      <c r="AI61" s="53">
        <f>AH61*AG61</f>
        <v>109275</v>
      </c>
      <c r="AJ61" s="76">
        <f t="shared" ref="AJ61:AJ63" si="126">$C61+(($B61-1)/12)</f>
        <v>2009.9166666666667</v>
      </c>
      <c r="AK61" s="52">
        <f t="shared" ref="AK61:AK63" si="127">($F$7+1)-($C$7/12)</f>
        <v>2018.9166666666667</v>
      </c>
      <c r="AL61" s="76">
        <f t="shared" ref="AL61:AL63" si="128">$G61+(($B61-1)/12)</f>
        <v>2016.9166666666667</v>
      </c>
      <c r="AM61" s="52">
        <f t="shared" ref="AM61:AM63" si="129">$D$7+($E$7/12)</f>
        <v>2019</v>
      </c>
      <c r="AN61" s="52">
        <f t="shared" ref="AN61:AN63" si="130">$I61+(($H61-1)/12)</f>
        <v>-8.3333333333333329E-2</v>
      </c>
      <c r="AO61" s="46"/>
    </row>
    <row r="62" spans="1:41" ht="15.75">
      <c r="A62" s="55" t="s">
        <v>572</v>
      </c>
      <c r="B62" s="55">
        <v>12</v>
      </c>
      <c r="C62" s="55">
        <v>2009</v>
      </c>
      <c r="D62" s="72">
        <v>109275</v>
      </c>
      <c r="E62" s="73">
        <v>0</v>
      </c>
      <c r="F62" s="58">
        <v>7</v>
      </c>
      <c r="G62" s="52">
        <f>C62+F62</f>
        <v>2016</v>
      </c>
      <c r="H62" s="58"/>
      <c r="I62" s="58"/>
      <c r="J62" s="57"/>
      <c r="K62" s="53">
        <f>D62-D62*E62</f>
        <v>109275</v>
      </c>
      <c r="L62" s="53">
        <f t="shared" si="123"/>
        <v>1300.8928571428571</v>
      </c>
      <c r="M62" s="53">
        <f>IF(J62&gt;0,0,IF(OR(AJ62&gt;AK62,AL62&lt;AM62),0,IF(AND(AL62&gt;=AM62,AL62&lt;=AK62),L62*((AL62-AM62)*12),IF(AND(AM62&lt;=AJ62,AK62&gt;=AJ62),((AK62-AJ62)*12)*L62,IF(AL62&gt;AK62,12*L62,0)))))</f>
        <v>0</v>
      </c>
      <c r="N62" s="53">
        <f>IF(AJ62&gt;AK62,0,IF(AL62&lt;AM62,K62,IF(AND(AL62&gt;=AM62,AL62&lt;=AK62),(K62-R62),IF(AND(AM62&lt;=AJ62,AK62&gt;=AJ62),0,IF(AL62&gt;AK62,((AM62-AJ62)*12)*L62,0)))))</f>
        <v>109275</v>
      </c>
      <c r="O62" s="53">
        <f>IF(J62&gt;0,0,AI62+Z62*AG62)*AG62</f>
        <v>109275</v>
      </c>
      <c r="P62" s="299">
        <f>IF(J62&gt;0,(D62-AI62)/2,IF(AJ62&gt;=AM62,(((D62*S62)*AG62)-O62)/2,((((D62*S62)*AG62)-AI62)+(((D62*S62)*AG62)-O62))/2))</f>
        <v>0</v>
      </c>
      <c r="Q62" s="53">
        <f>IF(J62=0,0,IF(AND(AN62&gt;=AM62,AN62&lt;=AL62),((AN62-AM62)*12)*L62,0))</f>
        <v>0</v>
      </c>
      <c r="R62" s="53">
        <f t="shared" si="124"/>
        <v>0</v>
      </c>
      <c r="S62" s="54">
        <v>1</v>
      </c>
      <c r="T62" s="74">
        <f>$S$62*($M$62+$Q$62)*0</f>
        <v>0</v>
      </c>
      <c r="U62" s="74">
        <f>$S$62*($M$62+$Q$62)*0</f>
        <v>0</v>
      </c>
      <c r="V62" s="74">
        <f>$S$62*($M$62+$Q$62)</f>
        <v>0</v>
      </c>
      <c r="W62" s="74">
        <f t="shared" ref="W62:Y63" si="131">$S$62*($M$62+$Q$62)*0</f>
        <v>0</v>
      </c>
      <c r="X62" s="74">
        <f t="shared" si="131"/>
        <v>0</v>
      </c>
      <c r="Y62" s="74">
        <f t="shared" si="131"/>
        <v>0</v>
      </c>
      <c r="Z62" s="53">
        <f t="shared" si="125"/>
        <v>0</v>
      </c>
      <c r="AA62" s="52"/>
      <c r="AB62" s="75"/>
      <c r="AC62" s="75"/>
      <c r="AD62" s="75">
        <f>P62*S62</f>
        <v>0</v>
      </c>
      <c r="AE62" s="75">
        <f>T62*W62</f>
        <v>0</v>
      </c>
      <c r="AF62" s="75">
        <f>U62*X62</f>
        <v>0</v>
      </c>
      <c r="AG62" s="54">
        <v>1</v>
      </c>
      <c r="AH62" s="53">
        <f>N62*S62</f>
        <v>109275</v>
      </c>
      <c r="AI62" s="53">
        <f>AH62*AG62</f>
        <v>109275</v>
      </c>
      <c r="AJ62" s="76">
        <f t="shared" si="126"/>
        <v>2009.9166666666667</v>
      </c>
      <c r="AK62" s="52">
        <f t="shared" si="127"/>
        <v>2018.9166666666667</v>
      </c>
      <c r="AL62" s="76">
        <f t="shared" si="128"/>
        <v>2016.9166666666667</v>
      </c>
      <c r="AM62" s="52">
        <f t="shared" si="129"/>
        <v>2019</v>
      </c>
      <c r="AN62" s="52">
        <f t="shared" si="130"/>
        <v>-8.3333333333333329E-2</v>
      </c>
      <c r="AO62" s="46"/>
    </row>
    <row r="63" spans="1:41" ht="15.75">
      <c r="A63" s="88" t="s">
        <v>573</v>
      </c>
      <c r="B63" s="55">
        <v>7</v>
      </c>
      <c r="C63" s="55">
        <v>2014</v>
      </c>
      <c r="D63" s="77">
        <v>23932.87</v>
      </c>
      <c r="E63" s="73">
        <v>0</v>
      </c>
      <c r="F63" s="58">
        <v>7</v>
      </c>
      <c r="G63" s="52">
        <f>C63+F63</f>
        <v>2021</v>
      </c>
      <c r="H63" s="58"/>
      <c r="I63" s="58"/>
      <c r="J63" s="57"/>
      <c r="K63" s="78">
        <f>D63-D63*E63</f>
        <v>23932.87</v>
      </c>
      <c r="L63" s="78">
        <f t="shared" si="123"/>
        <v>284.91511904761904</v>
      </c>
      <c r="M63" s="78">
        <f>IF(J63&gt;0,0,IF(OR(AJ63&gt;AK63,AL63&lt;AM63),0,IF(AND(AL63&gt;=AM63,AL63&lt;=AK63),L63*((AL63-AM63)*12),IF(AND(AM63&lt;=AJ63,AK63&gt;=AJ63),((AK63-AJ63)*12)*L63,IF(AL63&gt;AK63,12*L63,0)))))</f>
        <v>3418.9814285714283</v>
      </c>
      <c r="N63" s="78">
        <f>+L63*42</f>
        <v>11966.434999999999</v>
      </c>
      <c r="O63" s="78">
        <f>IF(J63&gt;0,0,AI63+Z63*AG63)*AG63</f>
        <v>15385.416428571429</v>
      </c>
      <c r="P63" s="301">
        <f t="shared" ref="P63" si="132">((K63-N63)+(K63-O63))/2</f>
        <v>10256.944285714286</v>
      </c>
      <c r="Q63" s="78">
        <f>IF(J63=0,0,IF(AND(AN63&gt;=AM63,AN63&lt;=AL63),((AN63-AM63)*12)*L63,0))</f>
        <v>0</v>
      </c>
      <c r="R63" s="78">
        <f t="shared" si="124"/>
        <v>3418.9814285714283</v>
      </c>
      <c r="S63" s="54">
        <v>1</v>
      </c>
      <c r="T63" s="74">
        <f>$S$62*($M$62+$Q$62)*0</f>
        <v>0</v>
      </c>
      <c r="U63" s="74">
        <f>$S$62*($M$62+$Q$62)*0</f>
        <v>0</v>
      </c>
      <c r="V63" s="74">
        <f>$S$62*($M$62+$Q$62)</f>
        <v>0</v>
      </c>
      <c r="W63" s="74">
        <f t="shared" si="131"/>
        <v>0</v>
      </c>
      <c r="X63" s="74">
        <f t="shared" si="131"/>
        <v>0</v>
      </c>
      <c r="Y63" s="74">
        <f t="shared" si="131"/>
        <v>0</v>
      </c>
      <c r="Z63" s="53">
        <f t="shared" si="125"/>
        <v>3418.9814285714283</v>
      </c>
      <c r="AA63" s="52"/>
      <c r="AB63" s="75"/>
      <c r="AC63" s="75"/>
      <c r="AD63" s="75">
        <f>P63*S63</f>
        <v>10256.944285714286</v>
      </c>
      <c r="AE63" s="75">
        <f>T63*W63</f>
        <v>0</v>
      </c>
      <c r="AF63" s="75">
        <f>U63*X63</f>
        <v>0</v>
      </c>
      <c r="AG63" s="54">
        <v>1</v>
      </c>
      <c r="AH63" s="53">
        <f>N63*S63</f>
        <v>11966.434999999999</v>
      </c>
      <c r="AI63" s="53">
        <f>AH63*AG63</f>
        <v>11966.434999999999</v>
      </c>
      <c r="AJ63" s="76">
        <f t="shared" si="126"/>
        <v>2014.5</v>
      </c>
      <c r="AK63" s="52">
        <f t="shared" si="127"/>
        <v>2018.9166666666667</v>
      </c>
      <c r="AL63" s="76">
        <f t="shared" si="128"/>
        <v>2021.5</v>
      </c>
      <c r="AM63" s="52">
        <f t="shared" si="129"/>
        <v>2019</v>
      </c>
      <c r="AN63" s="52">
        <f t="shared" si="130"/>
        <v>-8.3333333333333329E-2</v>
      </c>
      <c r="AO63" s="46"/>
    </row>
    <row r="64" spans="1:41" ht="15.75">
      <c r="A64" s="55" t="s">
        <v>574</v>
      </c>
      <c r="B64" s="58"/>
      <c r="C64" s="58"/>
      <c r="D64" s="53">
        <f>SUM(D60:D63)</f>
        <v>588289.87</v>
      </c>
      <c r="E64" s="79"/>
      <c r="F64" s="52"/>
      <c r="G64" s="52"/>
      <c r="H64" s="52"/>
      <c r="I64" s="52"/>
      <c r="J64" s="53"/>
      <c r="K64" s="53">
        <f t="shared" ref="K64:R64" si="133">SUM(K60:K63)</f>
        <v>588289.87</v>
      </c>
      <c r="L64" s="53">
        <f t="shared" si="133"/>
        <v>7003.4508333333324</v>
      </c>
      <c r="M64" s="53">
        <f t="shared" si="133"/>
        <v>3418.9814285714283</v>
      </c>
      <c r="N64" s="53">
        <f t="shared" si="133"/>
        <v>576323.43500000006</v>
      </c>
      <c r="O64" s="53">
        <f t="shared" si="133"/>
        <v>579742.41642857145</v>
      </c>
      <c r="P64" s="299">
        <f t="shared" si="133"/>
        <v>10256.944285714286</v>
      </c>
      <c r="Q64" s="53">
        <f t="shared" si="133"/>
        <v>0</v>
      </c>
      <c r="R64" s="53">
        <f t="shared" si="133"/>
        <v>3418.9814285714283</v>
      </c>
      <c r="S64" s="53"/>
      <c r="T64" s="74">
        <f>SUM(T60:T62)</f>
        <v>0</v>
      </c>
      <c r="U64" s="74">
        <f t="shared" ref="U64:Y64" si="134">SUM(U60:U62)</f>
        <v>0</v>
      </c>
      <c r="V64" s="74">
        <f t="shared" si="134"/>
        <v>0</v>
      </c>
      <c r="W64" s="74">
        <f t="shared" si="134"/>
        <v>0</v>
      </c>
      <c r="X64" s="74">
        <f t="shared" si="134"/>
        <v>0</v>
      </c>
      <c r="Y64" s="74">
        <f t="shared" si="134"/>
        <v>0</v>
      </c>
      <c r="Z64" s="53">
        <f>SUM(Z60:Z62)</f>
        <v>0</v>
      </c>
      <c r="AA64" s="75">
        <f>SUM(AA60:AA62)</f>
        <v>0</v>
      </c>
      <c r="AB64" s="75">
        <f t="shared" ref="AB64:AF64" si="135">SUM(AB60:AB62)</f>
        <v>0</v>
      </c>
      <c r="AC64" s="75">
        <f t="shared" si="135"/>
        <v>0</v>
      </c>
      <c r="AD64" s="75">
        <f t="shared" si="135"/>
        <v>0</v>
      </c>
      <c r="AE64" s="75">
        <f t="shared" si="135"/>
        <v>0</v>
      </c>
      <c r="AF64" s="75">
        <f t="shared" si="135"/>
        <v>0</v>
      </c>
      <c r="AG64" s="53"/>
      <c r="AH64" s="53">
        <f>SUM(AH60:AH62)</f>
        <v>564357</v>
      </c>
      <c r="AI64" s="53">
        <f>SUM(AI60:AI62)</f>
        <v>564357</v>
      </c>
      <c r="AJ64" s="76"/>
      <c r="AK64" s="52"/>
      <c r="AL64" s="76"/>
      <c r="AM64" s="52"/>
      <c r="AN64" s="52"/>
      <c r="AO64" s="46"/>
    </row>
    <row r="65" spans="1:41" ht="15.75">
      <c r="A65" s="55"/>
      <c r="B65" s="58"/>
      <c r="C65" s="58"/>
      <c r="D65" s="69"/>
      <c r="E65" s="70"/>
      <c r="F65" s="58"/>
      <c r="G65" s="58"/>
      <c r="H65" s="58"/>
      <c r="I65" s="58"/>
      <c r="J65" s="69"/>
      <c r="K65" s="69"/>
      <c r="L65" s="57"/>
      <c r="M65" s="57"/>
      <c r="N65" s="57"/>
      <c r="O65" s="57"/>
      <c r="P65" s="300"/>
      <c r="Q65" s="71"/>
      <c r="R65" s="71"/>
      <c r="S65" s="72"/>
      <c r="T65" s="80"/>
      <c r="U65" s="81"/>
      <c r="V65" s="81"/>
      <c r="W65" s="81"/>
      <c r="X65" s="81"/>
      <c r="Y65" s="81"/>
      <c r="Z65" s="71"/>
      <c r="AA65" s="82"/>
      <c r="AB65" s="82"/>
      <c r="AC65" s="82"/>
      <c r="AD65" s="82"/>
      <c r="AE65" s="82"/>
      <c r="AF65" s="82"/>
      <c r="AG65" s="72"/>
      <c r="AH65" s="72"/>
      <c r="AI65" s="72"/>
      <c r="AJ65" s="72"/>
      <c r="AK65" s="72"/>
      <c r="AL65" s="72"/>
      <c r="AM65" s="72"/>
      <c r="AN65" s="72"/>
      <c r="AO65" s="46"/>
    </row>
    <row r="66" spans="1:41" ht="15.75">
      <c r="A66" s="68" t="s">
        <v>575</v>
      </c>
      <c r="B66" s="55"/>
      <c r="C66" s="55"/>
      <c r="D66" s="69"/>
      <c r="E66" s="70"/>
      <c r="F66" s="58"/>
      <c r="G66" s="58"/>
      <c r="H66" s="58"/>
      <c r="I66" s="58"/>
      <c r="J66" s="69"/>
      <c r="K66" s="69"/>
      <c r="L66" s="57"/>
      <c r="M66" s="57"/>
      <c r="N66" s="57"/>
      <c r="O66" s="57"/>
      <c r="P66" s="300"/>
      <c r="Q66" s="71"/>
      <c r="R66" s="71"/>
      <c r="S66" s="72"/>
      <c r="T66" s="80"/>
      <c r="U66" s="81"/>
      <c r="V66" s="81"/>
      <c r="W66" s="81"/>
      <c r="X66" s="81"/>
      <c r="Y66" s="81"/>
      <c r="Z66" s="71"/>
      <c r="AA66" s="82"/>
      <c r="AB66" s="82"/>
      <c r="AC66" s="82"/>
      <c r="AD66" s="82"/>
      <c r="AE66" s="82"/>
      <c r="AF66" s="82"/>
      <c r="AG66" s="72"/>
      <c r="AH66" s="72"/>
      <c r="AI66" s="72"/>
      <c r="AJ66" s="72"/>
      <c r="AK66" s="72"/>
      <c r="AL66" s="72"/>
      <c r="AM66" s="72"/>
      <c r="AN66" s="72"/>
      <c r="AO66" s="46"/>
    </row>
    <row r="67" spans="1:41" ht="15.75">
      <c r="A67" s="55" t="s">
        <v>576</v>
      </c>
      <c r="B67" s="55">
        <v>9</v>
      </c>
      <c r="C67" s="55">
        <v>1998</v>
      </c>
      <c r="D67" s="72">
        <v>171040</v>
      </c>
      <c r="E67" s="73">
        <v>0</v>
      </c>
      <c r="F67" s="58">
        <v>7</v>
      </c>
      <c r="G67" s="52">
        <f t="shared" ref="G67:G73" si="136">C67+F67</f>
        <v>2005</v>
      </c>
      <c r="H67" s="58"/>
      <c r="I67" s="58"/>
      <c r="J67" s="57"/>
      <c r="K67" s="53">
        <f t="shared" ref="K67:K73" si="137">D67-D67*E67</f>
        <v>171040</v>
      </c>
      <c r="L67" s="53">
        <f t="shared" ref="L67:L73" si="138">K67/F67/12</f>
        <v>2036.1904761904761</v>
      </c>
      <c r="M67" s="53">
        <f t="shared" ref="M67:M73" si="139">IF(J67&gt;0,0,IF(OR(AJ67&gt;AK67,AL67&lt;AM67),0,IF(AND(AL67&gt;=AM67,AL67&lt;=AK67),L67*((AL67-AM67)*12),IF(AND(AM67&lt;=AJ67,AK67&gt;=AJ67),((AK67-AJ67)*12)*L67,IF(AL67&gt;AK67,12*L67,0)))))</f>
        <v>0</v>
      </c>
      <c r="N67" s="53">
        <f t="shared" ref="N67:N70" si="140">IF(AJ67&gt;AK67,0,IF(AL67&lt;AM67,K67,IF(AND(AL67&gt;=AM67,AL67&lt;=AK67),(K67-R67),IF(AND(AM67&lt;=AJ67,AK67&gt;=AJ67),0,IF(AL67&gt;AK67,((AM67-AJ67)*12)*L67,0)))))</f>
        <v>171040</v>
      </c>
      <c r="O67" s="53">
        <f t="shared" ref="O67:O73" si="141">IF(J67&gt;0,0,AI67+Z67*AG67)*AG67</f>
        <v>171040</v>
      </c>
      <c r="P67" s="299">
        <f t="shared" ref="P67:P70" si="142">IF(J67&gt;0,(D67-AI67)/2,IF(AJ67&gt;=AM67,(((D67*S67)*AG67)-O67)/2,((((D67*S67)*AG67)-AI67)+(((D67*S67)*AG67)-O67))/2))</f>
        <v>0</v>
      </c>
      <c r="Q67" s="53">
        <f t="shared" ref="Q67:Q73" si="143">IF(J67=0,0,IF(AND(AN67&gt;=AM67,AN67&lt;=AL67),((AN67-AM67)*12)*L67,0))</f>
        <v>0</v>
      </c>
      <c r="R67" s="53">
        <f t="shared" ref="R67:R73" si="144">IF(Q67&gt;0,Q67,M67)</f>
        <v>0</v>
      </c>
      <c r="S67" s="54">
        <v>1</v>
      </c>
      <c r="T67" s="74">
        <f>$S$67*($M$67+$Q$67)*0.25</f>
        <v>0</v>
      </c>
      <c r="U67" s="74">
        <f>$S$67*($M$67+$Q$67)*0.5</f>
        <v>0</v>
      </c>
      <c r="V67" s="74">
        <f t="shared" ref="V67" si="145">$S$67*($M$67+$Q$67)*0.25</f>
        <v>0</v>
      </c>
      <c r="W67" s="74"/>
      <c r="X67" s="74"/>
      <c r="Y67" s="74"/>
      <c r="Z67" s="53">
        <f t="shared" ref="Z67:Z73" si="146">S67*(M67+Q67)</f>
        <v>0</v>
      </c>
      <c r="AA67" s="75">
        <f>$P$67*$S$67*0.25</f>
        <v>0</v>
      </c>
      <c r="AB67" s="75">
        <f>$P$67*$S$67*0.5</f>
        <v>0</v>
      </c>
      <c r="AC67" s="75">
        <f t="shared" ref="AC67" si="147">$P$67*$S$67*0.25</f>
        <v>0</v>
      </c>
      <c r="AD67" s="75"/>
      <c r="AE67" s="75"/>
      <c r="AF67" s="75"/>
      <c r="AG67" s="54">
        <v>1</v>
      </c>
      <c r="AH67" s="53">
        <f t="shared" ref="AH67:AH73" si="148">N67*S67</f>
        <v>171040</v>
      </c>
      <c r="AI67" s="53">
        <f t="shared" ref="AI67:AI73" si="149">AH67*AG67</f>
        <v>171040</v>
      </c>
      <c r="AJ67" s="76">
        <f t="shared" ref="AJ67:AJ73" si="150">$C67+(($B67-1)/12)</f>
        <v>1998.6666666666667</v>
      </c>
      <c r="AK67" s="52">
        <f t="shared" ref="AK67:AK73" si="151">($F$7+1)-($C$7/12)</f>
        <v>2018.9166666666667</v>
      </c>
      <c r="AL67" s="76">
        <f t="shared" ref="AL67:AL73" si="152">$G67+(($B67-1)/12)</f>
        <v>2005.6666666666667</v>
      </c>
      <c r="AM67" s="52">
        <f t="shared" ref="AM67:AM73" si="153">$D$7+($E$7/12)</f>
        <v>2019</v>
      </c>
      <c r="AN67" s="52">
        <f t="shared" ref="AN67:AN73" si="154">$I67+(($H67-1)/12)</f>
        <v>-8.3333333333333329E-2</v>
      </c>
      <c r="AO67" s="46"/>
    </row>
    <row r="68" spans="1:41" ht="15.75">
      <c r="A68" s="55" t="s">
        <v>577</v>
      </c>
      <c r="B68" s="55">
        <v>10</v>
      </c>
      <c r="C68" s="55">
        <v>1998</v>
      </c>
      <c r="D68" s="72">
        <v>171040</v>
      </c>
      <c r="E68" s="73">
        <v>0</v>
      </c>
      <c r="F68" s="58">
        <v>7</v>
      </c>
      <c r="G68" s="52">
        <f t="shared" si="136"/>
        <v>2005</v>
      </c>
      <c r="H68" s="58"/>
      <c r="I68" s="58"/>
      <c r="J68" s="57"/>
      <c r="K68" s="53">
        <f t="shared" si="137"/>
        <v>171040</v>
      </c>
      <c r="L68" s="53">
        <f t="shared" si="138"/>
        <v>2036.1904761904761</v>
      </c>
      <c r="M68" s="53">
        <f t="shared" si="139"/>
        <v>0</v>
      </c>
      <c r="N68" s="53">
        <f t="shared" si="140"/>
        <v>171040</v>
      </c>
      <c r="O68" s="53">
        <f t="shared" si="141"/>
        <v>171040</v>
      </c>
      <c r="P68" s="299">
        <f t="shared" si="142"/>
        <v>0</v>
      </c>
      <c r="Q68" s="53">
        <f t="shared" si="143"/>
        <v>0</v>
      </c>
      <c r="R68" s="53">
        <f t="shared" si="144"/>
        <v>0</v>
      </c>
      <c r="S68" s="54">
        <v>1</v>
      </c>
      <c r="T68" s="74">
        <f>$S$68*($M$68+$Q$68)*0.25</f>
        <v>0</v>
      </c>
      <c r="U68" s="74">
        <f>$S$68*($M$68+$Q$68)*0.5</f>
        <v>0</v>
      </c>
      <c r="V68" s="74">
        <f t="shared" ref="V68" si="155">$S$68*($M$68+$Q$68)*0.25</f>
        <v>0</v>
      </c>
      <c r="W68" s="74"/>
      <c r="X68" s="74"/>
      <c r="Y68" s="74"/>
      <c r="Z68" s="53">
        <f t="shared" si="146"/>
        <v>0</v>
      </c>
      <c r="AA68" s="75">
        <f>$P$68*$S$68*0.25</f>
        <v>0</v>
      </c>
      <c r="AB68" s="75">
        <f>$P$68*$S$68*0.5</f>
        <v>0</v>
      </c>
      <c r="AC68" s="75">
        <f t="shared" ref="AC68" si="156">$P$68*$S$68*0.25</f>
        <v>0</v>
      </c>
      <c r="AD68" s="75"/>
      <c r="AE68" s="75"/>
      <c r="AF68" s="75"/>
      <c r="AG68" s="54">
        <v>1</v>
      </c>
      <c r="AH68" s="53">
        <f t="shared" si="148"/>
        <v>171040</v>
      </c>
      <c r="AI68" s="53">
        <f t="shared" si="149"/>
        <v>171040</v>
      </c>
      <c r="AJ68" s="76">
        <f t="shared" si="150"/>
        <v>1998.75</v>
      </c>
      <c r="AK68" s="52">
        <f t="shared" si="151"/>
        <v>2018.9166666666667</v>
      </c>
      <c r="AL68" s="76">
        <f t="shared" si="152"/>
        <v>2005.75</v>
      </c>
      <c r="AM68" s="52">
        <f t="shared" si="153"/>
        <v>2019</v>
      </c>
      <c r="AN68" s="52">
        <f t="shared" si="154"/>
        <v>-8.3333333333333329E-2</v>
      </c>
      <c r="AO68" s="46"/>
    </row>
    <row r="69" spans="1:41" ht="15.75">
      <c r="A69" s="55" t="s">
        <v>578</v>
      </c>
      <c r="B69" s="55">
        <v>6</v>
      </c>
      <c r="C69" s="55">
        <v>2000</v>
      </c>
      <c r="D69" s="72">
        <v>176150</v>
      </c>
      <c r="E69" s="73">
        <v>0</v>
      </c>
      <c r="F69" s="58">
        <v>7</v>
      </c>
      <c r="G69" s="52">
        <f t="shared" si="136"/>
        <v>2007</v>
      </c>
      <c r="H69" s="58"/>
      <c r="I69" s="58"/>
      <c r="J69" s="57"/>
      <c r="K69" s="53">
        <f t="shared" si="137"/>
        <v>176150</v>
      </c>
      <c r="L69" s="53">
        <f t="shared" si="138"/>
        <v>2097.0238095238096</v>
      </c>
      <c r="M69" s="53">
        <f t="shared" si="139"/>
        <v>0</v>
      </c>
      <c r="N69" s="53">
        <f t="shared" si="140"/>
        <v>176150</v>
      </c>
      <c r="O69" s="53">
        <f t="shared" si="141"/>
        <v>176150</v>
      </c>
      <c r="P69" s="299">
        <f t="shared" si="142"/>
        <v>0</v>
      </c>
      <c r="Q69" s="53">
        <f t="shared" si="143"/>
        <v>0</v>
      </c>
      <c r="R69" s="53">
        <f t="shared" si="144"/>
        <v>0</v>
      </c>
      <c r="S69" s="54">
        <v>1</v>
      </c>
      <c r="T69" s="74">
        <f>$S$69*($M$69+$Q$69)*0.25</f>
        <v>0</v>
      </c>
      <c r="U69" s="74">
        <f>$S$69*($M$69+$Q$69)*0.5</f>
        <v>0</v>
      </c>
      <c r="V69" s="74">
        <f t="shared" ref="V69" si="157">$S$69*($M$69+$Q$69)*0.25</f>
        <v>0</v>
      </c>
      <c r="W69" s="74"/>
      <c r="X69" s="74"/>
      <c r="Y69" s="74"/>
      <c r="Z69" s="53">
        <f t="shared" si="146"/>
        <v>0</v>
      </c>
      <c r="AA69" s="75">
        <f>$P$69*$S$69*0.25</f>
        <v>0</v>
      </c>
      <c r="AB69" s="75">
        <f>$P$69*$S$69*0.5</f>
        <v>0</v>
      </c>
      <c r="AC69" s="75">
        <f t="shared" ref="AC69" si="158">$P$69*$S$69*0.25</f>
        <v>0</v>
      </c>
      <c r="AD69" s="75"/>
      <c r="AE69" s="75"/>
      <c r="AF69" s="75"/>
      <c r="AG69" s="54">
        <v>1</v>
      </c>
      <c r="AH69" s="53">
        <f t="shared" si="148"/>
        <v>176150</v>
      </c>
      <c r="AI69" s="53">
        <f t="shared" si="149"/>
        <v>176150</v>
      </c>
      <c r="AJ69" s="76">
        <f t="shared" si="150"/>
        <v>2000.4166666666667</v>
      </c>
      <c r="AK69" s="52">
        <f t="shared" si="151"/>
        <v>2018.9166666666667</v>
      </c>
      <c r="AL69" s="76">
        <f t="shared" si="152"/>
        <v>2007.4166666666667</v>
      </c>
      <c r="AM69" s="52">
        <f t="shared" si="153"/>
        <v>2019</v>
      </c>
      <c r="AN69" s="52">
        <f t="shared" si="154"/>
        <v>-8.3333333333333329E-2</v>
      </c>
      <c r="AO69" s="46"/>
    </row>
    <row r="70" spans="1:41" ht="15.75">
      <c r="A70" s="55" t="s">
        <v>579</v>
      </c>
      <c r="B70" s="55">
        <v>12</v>
      </c>
      <c r="C70" s="55">
        <v>2009</v>
      </c>
      <c r="D70" s="72">
        <v>272605</v>
      </c>
      <c r="E70" s="73">
        <v>0</v>
      </c>
      <c r="F70" s="58">
        <v>7</v>
      </c>
      <c r="G70" s="52">
        <f t="shared" si="136"/>
        <v>2016</v>
      </c>
      <c r="H70" s="58"/>
      <c r="I70" s="58"/>
      <c r="J70" s="57"/>
      <c r="K70" s="53">
        <f t="shared" si="137"/>
        <v>272605</v>
      </c>
      <c r="L70" s="53">
        <f t="shared" si="138"/>
        <v>3245.2976190476188</v>
      </c>
      <c r="M70" s="53">
        <f t="shared" si="139"/>
        <v>0</v>
      </c>
      <c r="N70" s="53">
        <f t="shared" si="140"/>
        <v>272605</v>
      </c>
      <c r="O70" s="53">
        <f t="shared" si="141"/>
        <v>272605</v>
      </c>
      <c r="P70" s="299">
        <f t="shared" si="142"/>
        <v>0</v>
      </c>
      <c r="Q70" s="53">
        <f t="shared" si="143"/>
        <v>0</v>
      </c>
      <c r="R70" s="53">
        <f t="shared" si="144"/>
        <v>0</v>
      </c>
      <c r="S70" s="54">
        <v>1</v>
      </c>
      <c r="T70" s="74">
        <f>$S$70*($M$70+$Q$70)*0.25</f>
        <v>0</v>
      </c>
      <c r="U70" s="74">
        <f>$S$70*($M$70+$Q$70)*0.5</f>
        <v>0</v>
      </c>
      <c r="V70" s="74">
        <f t="shared" ref="V70" si="159">$S$70*($M$70+$Q$70)*0.25</f>
        <v>0</v>
      </c>
      <c r="W70" s="74"/>
      <c r="X70" s="74"/>
      <c r="Y70" s="74"/>
      <c r="Z70" s="53">
        <f t="shared" si="146"/>
        <v>0</v>
      </c>
      <c r="AA70" s="75">
        <f>$P$70*$S$70*0.25</f>
        <v>0</v>
      </c>
      <c r="AB70" s="75">
        <f>$P$70*$S$70*0.5</f>
        <v>0</v>
      </c>
      <c r="AC70" s="75">
        <f t="shared" ref="AC70" si="160">$P$70*$S$70*0.25</f>
        <v>0</v>
      </c>
      <c r="AD70" s="75"/>
      <c r="AE70" s="75"/>
      <c r="AF70" s="75"/>
      <c r="AG70" s="54">
        <v>1</v>
      </c>
      <c r="AH70" s="53">
        <f t="shared" si="148"/>
        <v>272605</v>
      </c>
      <c r="AI70" s="53">
        <f t="shared" si="149"/>
        <v>272605</v>
      </c>
      <c r="AJ70" s="76">
        <f t="shared" si="150"/>
        <v>2009.9166666666667</v>
      </c>
      <c r="AK70" s="52">
        <f t="shared" si="151"/>
        <v>2018.9166666666667</v>
      </c>
      <c r="AL70" s="76">
        <f t="shared" si="152"/>
        <v>2016.9166666666667</v>
      </c>
      <c r="AM70" s="52">
        <f t="shared" si="153"/>
        <v>2019</v>
      </c>
      <c r="AN70" s="52">
        <f t="shared" si="154"/>
        <v>-8.3333333333333329E-2</v>
      </c>
      <c r="AO70" s="46"/>
    </row>
    <row r="71" spans="1:41" ht="15.75">
      <c r="A71" s="55" t="s">
        <v>580</v>
      </c>
      <c r="B71" s="55">
        <v>8</v>
      </c>
      <c r="C71" s="55">
        <v>2013</v>
      </c>
      <c r="D71" s="72">
        <v>331074</v>
      </c>
      <c r="E71" s="73">
        <v>0</v>
      </c>
      <c r="F71" s="58">
        <v>7</v>
      </c>
      <c r="G71" s="52">
        <f t="shared" si="136"/>
        <v>2020</v>
      </c>
      <c r="H71" s="58"/>
      <c r="I71" s="58"/>
      <c r="J71" s="57"/>
      <c r="K71" s="53">
        <f t="shared" si="137"/>
        <v>331074</v>
      </c>
      <c r="L71" s="53">
        <f t="shared" si="138"/>
        <v>3941.3571428571431</v>
      </c>
      <c r="M71" s="53">
        <f t="shared" si="139"/>
        <v>47296.285714285717</v>
      </c>
      <c r="N71" s="53">
        <f>+L71*53</f>
        <v>208891.92857142858</v>
      </c>
      <c r="O71" s="53">
        <f t="shared" si="141"/>
        <v>256188.21428571429</v>
      </c>
      <c r="P71" s="299">
        <f t="shared" ref="P71:P73" si="161">((K71-N71)+(K71-O71))/2</f>
        <v>98533.928571428565</v>
      </c>
      <c r="Q71" s="53">
        <f t="shared" si="143"/>
        <v>0</v>
      </c>
      <c r="R71" s="53">
        <f t="shared" si="144"/>
        <v>47296.285714285717</v>
      </c>
      <c r="S71" s="54">
        <v>1</v>
      </c>
      <c r="T71" s="74">
        <f>$S$71*($M$71+$Q$71)*0.25</f>
        <v>11824.071428571429</v>
      </c>
      <c r="U71" s="74">
        <f>$S$71*($M$71+$Q$71)*0.5</f>
        <v>23648.142857142859</v>
      </c>
      <c r="V71" s="74">
        <f t="shared" ref="V71:V73" si="162">$S$71*($M$71+$Q$71)*0.25</f>
        <v>11824.071428571429</v>
      </c>
      <c r="W71" s="74"/>
      <c r="X71" s="74"/>
      <c r="Y71" s="74"/>
      <c r="Z71" s="53">
        <f t="shared" si="146"/>
        <v>47296.285714285717</v>
      </c>
      <c r="AA71" s="75">
        <f>$P$71*$S$71*0.25</f>
        <v>24633.482142857141</v>
      </c>
      <c r="AB71" s="75">
        <f>$P$71*$S$71*0.5</f>
        <v>49266.964285714283</v>
      </c>
      <c r="AC71" s="75">
        <f t="shared" ref="AC71:AC73" si="163">$P$71*$S$71*0.25</f>
        <v>24633.482142857141</v>
      </c>
      <c r="AD71" s="75"/>
      <c r="AE71" s="75"/>
      <c r="AF71" s="75"/>
      <c r="AG71" s="54">
        <v>1</v>
      </c>
      <c r="AH71" s="53">
        <f t="shared" si="148"/>
        <v>208891.92857142858</v>
      </c>
      <c r="AI71" s="53">
        <f t="shared" si="149"/>
        <v>208891.92857142858</v>
      </c>
      <c r="AJ71" s="76">
        <f t="shared" si="150"/>
        <v>2013.5833333333333</v>
      </c>
      <c r="AK71" s="52">
        <f t="shared" si="151"/>
        <v>2018.9166666666667</v>
      </c>
      <c r="AL71" s="76">
        <f t="shared" si="152"/>
        <v>2020.5833333333333</v>
      </c>
      <c r="AM71" s="52">
        <f t="shared" si="153"/>
        <v>2019</v>
      </c>
      <c r="AN71" s="52">
        <f t="shared" si="154"/>
        <v>-8.3333333333333329E-2</v>
      </c>
      <c r="AO71" s="46"/>
    </row>
    <row r="72" spans="1:41" ht="15.75">
      <c r="A72" s="88" t="s">
        <v>1398</v>
      </c>
      <c r="B72" s="55">
        <v>12</v>
      </c>
      <c r="C72" s="55">
        <v>2018</v>
      </c>
      <c r="D72" s="72">
        <v>18840</v>
      </c>
      <c r="E72" s="73">
        <v>0</v>
      </c>
      <c r="F72" s="58">
        <v>10</v>
      </c>
      <c r="G72" s="52">
        <f t="shared" si="136"/>
        <v>2028</v>
      </c>
      <c r="H72" s="58"/>
      <c r="I72" s="58"/>
      <c r="J72" s="57"/>
      <c r="K72" s="53">
        <f t="shared" si="137"/>
        <v>18840</v>
      </c>
      <c r="L72" s="53">
        <f t="shared" si="138"/>
        <v>157</v>
      </c>
      <c r="M72" s="53">
        <f t="shared" ref="M72" si="164">+L72*12</f>
        <v>1884</v>
      </c>
      <c r="N72" s="53"/>
      <c r="O72" s="53">
        <f t="shared" si="141"/>
        <v>1884</v>
      </c>
      <c r="P72" s="299">
        <f t="shared" si="161"/>
        <v>17898</v>
      </c>
      <c r="Q72" s="53">
        <f t="shared" si="143"/>
        <v>0</v>
      </c>
      <c r="R72" s="53">
        <f t="shared" si="144"/>
        <v>1884</v>
      </c>
      <c r="S72" s="54">
        <v>1</v>
      </c>
      <c r="T72" s="74">
        <f t="shared" ref="T72" si="165">S72*(M72+Q72)</f>
        <v>1884</v>
      </c>
      <c r="U72" s="74"/>
      <c r="V72" s="74"/>
      <c r="W72" s="74"/>
      <c r="X72" s="74"/>
      <c r="Y72" s="74"/>
      <c r="Z72" s="53">
        <f t="shared" si="146"/>
        <v>1884</v>
      </c>
      <c r="AA72" s="75">
        <f t="shared" ref="AA72" si="166">P72*S72</f>
        <v>17898</v>
      </c>
      <c r="AB72" s="75">
        <f t="shared" ref="AB72" si="167">Q72*T72</f>
        <v>0</v>
      </c>
      <c r="AC72" s="75">
        <f t="shared" ref="AC72" si="168">R72*U72</f>
        <v>0</v>
      </c>
      <c r="AD72" s="75">
        <f t="shared" ref="AD72" si="169">S72*V72</f>
        <v>0</v>
      </c>
      <c r="AE72" s="75">
        <f t="shared" ref="AE72" si="170">T72*W72</f>
        <v>0</v>
      </c>
      <c r="AF72" s="75">
        <f t="shared" ref="AF72" si="171">U72*X72</f>
        <v>0</v>
      </c>
      <c r="AG72" s="54">
        <v>1</v>
      </c>
      <c r="AH72" s="53">
        <f t="shared" si="148"/>
        <v>0</v>
      </c>
      <c r="AI72" s="53">
        <f t="shared" si="149"/>
        <v>0</v>
      </c>
      <c r="AJ72" s="76">
        <f t="shared" si="150"/>
        <v>2018.9166666666667</v>
      </c>
      <c r="AK72" s="52">
        <f t="shared" si="151"/>
        <v>2018.9166666666667</v>
      </c>
      <c r="AL72" s="76">
        <f t="shared" si="152"/>
        <v>2028.9166666666667</v>
      </c>
      <c r="AM72" s="52">
        <f t="shared" si="153"/>
        <v>2019</v>
      </c>
      <c r="AN72" s="52">
        <f t="shared" si="154"/>
        <v>-8.3333333333333329E-2</v>
      </c>
      <c r="AO72" s="46"/>
    </row>
    <row r="73" spans="1:41" ht="15.75">
      <c r="A73" s="88" t="s">
        <v>1256</v>
      </c>
      <c r="B73" s="55">
        <v>7</v>
      </c>
      <c r="C73" s="55">
        <v>2014</v>
      </c>
      <c r="D73" s="77">
        <v>14304</v>
      </c>
      <c r="E73" s="73">
        <v>0</v>
      </c>
      <c r="F73" s="58">
        <v>7</v>
      </c>
      <c r="G73" s="52">
        <f t="shared" si="136"/>
        <v>2021</v>
      </c>
      <c r="H73" s="58"/>
      <c r="I73" s="58"/>
      <c r="J73" s="57"/>
      <c r="K73" s="78">
        <f t="shared" si="137"/>
        <v>14304</v>
      </c>
      <c r="L73" s="78">
        <f t="shared" si="138"/>
        <v>170.28571428571428</v>
      </c>
      <c r="M73" s="78">
        <f t="shared" si="139"/>
        <v>2043.4285714285713</v>
      </c>
      <c r="N73" s="78">
        <f>+L73*42</f>
        <v>7152</v>
      </c>
      <c r="O73" s="78">
        <f t="shared" si="141"/>
        <v>9195.4285714285706</v>
      </c>
      <c r="P73" s="301">
        <f t="shared" si="161"/>
        <v>6130.2857142857147</v>
      </c>
      <c r="Q73" s="78">
        <f t="shared" si="143"/>
        <v>0</v>
      </c>
      <c r="R73" s="78">
        <f t="shared" si="144"/>
        <v>2043.4285714285713</v>
      </c>
      <c r="S73" s="54">
        <v>1</v>
      </c>
      <c r="T73" s="74">
        <f>$S$71*($M$71+$Q$71)*0.25</f>
        <v>11824.071428571429</v>
      </c>
      <c r="U73" s="74">
        <f>$S$71*($M$71+$Q$71)*0.5</f>
        <v>23648.142857142859</v>
      </c>
      <c r="V73" s="74">
        <f t="shared" si="162"/>
        <v>11824.071428571429</v>
      </c>
      <c r="W73" s="74"/>
      <c r="X73" s="74"/>
      <c r="Y73" s="74"/>
      <c r="Z73" s="53">
        <f t="shared" si="146"/>
        <v>2043.4285714285713</v>
      </c>
      <c r="AA73" s="75">
        <f>$P$71*$S$71*0.25</f>
        <v>24633.482142857141</v>
      </c>
      <c r="AB73" s="75">
        <f>$P$71*$S$71*0.5</f>
        <v>49266.964285714283</v>
      </c>
      <c r="AC73" s="75">
        <f t="shared" si="163"/>
        <v>24633.482142857141</v>
      </c>
      <c r="AD73" s="75"/>
      <c r="AE73" s="75"/>
      <c r="AF73" s="75"/>
      <c r="AG73" s="54">
        <v>1</v>
      </c>
      <c r="AH73" s="53">
        <f t="shared" si="148"/>
        <v>7152</v>
      </c>
      <c r="AI73" s="53">
        <f t="shared" si="149"/>
        <v>7152</v>
      </c>
      <c r="AJ73" s="76">
        <f t="shared" si="150"/>
        <v>2014.5</v>
      </c>
      <c r="AK73" s="52">
        <f t="shared" si="151"/>
        <v>2018.9166666666667</v>
      </c>
      <c r="AL73" s="76">
        <f t="shared" si="152"/>
        <v>2021.5</v>
      </c>
      <c r="AM73" s="52">
        <f t="shared" si="153"/>
        <v>2019</v>
      </c>
      <c r="AN73" s="52">
        <f t="shared" si="154"/>
        <v>-8.3333333333333329E-2</v>
      </c>
      <c r="AO73" s="46"/>
    </row>
    <row r="74" spans="1:41" ht="15.75">
      <c r="A74" s="55" t="s">
        <v>581</v>
      </c>
      <c r="B74" s="58"/>
      <c r="C74" s="58"/>
      <c r="D74" s="53">
        <f>SUM(D67:D73)</f>
        <v>1155053</v>
      </c>
      <c r="E74" s="79"/>
      <c r="F74" s="52"/>
      <c r="G74" s="52"/>
      <c r="H74" s="52"/>
      <c r="I74" s="52"/>
      <c r="J74" s="53"/>
      <c r="K74" s="53">
        <f t="shared" ref="K74:R74" si="172">SUM(K67:K73)</f>
        <v>1155053</v>
      </c>
      <c r="L74" s="53">
        <f t="shared" si="172"/>
        <v>13683.345238095237</v>
      </c>
      <c r="M74" s="53">
        <f t="shared" si="172"/>
        <v>51223.71428571429</v>
      </c>
      <c r="N74" s="53">
        <f t="shared" si="172"/>
        <v>1006878.9285714286</v>
      </c>
      <c r="O74" s="53">
        <f t="shared" si="172"/>
        <v>1058102.642857143</v>
      </c>
      <c r="P74" s="299">
        <f t="shared" si="172"/>
        <v>122562.21428571428</v>
      </c>
      <c r="Q74" s="53">
        <f t="shared" si="172"/>
        <v>0</v>
      </c>
      <c r="R74" s="53">
        <f t="shared" si="172"/>
        <v>51223.71428571429</v>
      </c>
      <c r="S74" s="53"/>
      <c r="T74" s="74">
        <f>SUM(T67:T71)</f>
        <v>11824.071428571429</v>
      </c>
      <c r="U74" s="74">
        <f t="shared" ref="U74:AI74" si="173">SUM(U67:U71)</f>
        <v>23648.142857142859</v>
      </c>
      <c r="V74" s="74">
        <f t="shared" si="173"/>
        <v>11824.071428571429</v>
      </c>
      <c r="W74" s="74">
        <f t="shared" si="173"/>
        <v>0</v>
      </c>
      <c r="X74" s="74">
        <f t="shared" si="173"/>
        <v>0</v>
      </c>
      <c r="Y74" s="74">
        <f t="shared" si="173"/>
        <v>0</v>
      </c>
      <c r="Z74" s="53">
        <f t="shared" si="173"/>
        <v>47296.285714285717</v>
      </c>
      <c r="AA74" s="75">
        <f t="shared" si="173"/>
        <v>24633.482142857141</v>
      </c>
      <c r="AB74" s="75">
        <f t="shared" si="173"/>
        <v>49266.964285714283</v>
      </c>
      <c r="AC74" s="75">
        <f t="shared" si="173"/>
        <v>24633.482142857141</v>
      </c>
      <c r="AD74" s="75">
        <f t="shared" si="173"/>
        <v>0</v>
      </c>
      <c r="AE74" s="75">
        <f t="shared" si="173"/>
        <v>0</v>
      </c>
      <c r="AF74" s="75">
        <f t="shared" si="173"/>
        <v>0</v>
      </c>
      <c r="AG74" s="53"/>
      <c r="AH74" s="53">
        <f t="shared" si="173"/>
        <v>999726.92857142864</v>
      </c>
      <c r="AI74" s="53">
        <f t="shared" si="173"/>
        <v>999726.92857142864</v>
      </c>
      <c r="AJ74" s="76"/>
      <c r="AK74" s="52"/>
      <c r="AL74" s="76"/>
      <c r="AM74" s="52"/>
      <c r="AN74" s="52"/>
      <c r="AO74" s="46"/>
    </row>
    <row r="75" spans="1:41" ht="15.75">
      <c r="A75" s="55"/>
      <c r="B75" s="58"/>
      <c r="C75" s="58"/>
      <c r="D75" s="69"/>
      <c r="E75" s="70"/>
      <c r="F75" s="58"/>
      <c r="G75" s="58"/>
      <c r="H75" s="58"/>
      <c r="I75" s="58"/>
      <c r="J75" s="69"/>
      <c r="K75" s="69"/>
      <c r="L75" s="57"/>
      <c r="M75" s="57"/>
      <c r="N75" s="57"/>
      <c r="O75" s="57"/>
      <c r="P75" s="300"/>
      <c r="Q75" s="71"/>
      <c r="R75" s="71"/>
      <c r="S75" s="72"/>
      <c r="T75" s="80"/>
      <c r="U75" s="81"/>
      <c r="V75" s="81"/>
      <c r="W75" s="81"/>
      <c r="X75" s="81"/>
      <c r="Y75" s="81"/>
      <c r="Z75" s="71"/>
      <c r="AA75" s="82"/>
      <c r="AB75" s="82"/>
      <c r="AC75" s="82"/>
      <c r="AD75" s="82"/>
      <c r="AE75" s="82"/>
      <c r="AF75" s="82"/>
      <c r="AG75" s="72"/>
      <c r="AH75" s="72"/>
      <c r="AI75" s="72"/>
      <c r="AJ75" s="72"/>
      <c r="AK75" s="72"/>
      <c r="AL75" s="72"/>
      <c r="AM75" s="72"/>
      <c r="AN75" s="72"/>
      <c r="AO75" s="46"/>
    </row>
    <row r="76" spans="1:41" ht="15.75">
      <c r="A76" s="68" t="s">
        <v>1399</v>
      </c>
      <c r="B76" s="55"/>
      <c r="C76" s="55"/>
      <c r="D76" s="69"/>
      <c r="E76" s="70"/>
      <c r="F76" s="58"/>
      <c r="G76" s="58"/>
      <c r="H76" s="58"/>
      <c r="I76" s="58"/>
      <c r="J76" s="69"/>
      <c r="K76" s="69"/>
      <c r="L76" s="57"/>
      <c r="M76" s="57"/>
      <c r="N76" s="57"/>
      <c r="O76" s="57"/>
      <c r="P76" s="300"/>
      <c r="Q76" s="71"/>
      <c r="R76" s="71"/>
      <c r="S76" s="72"/>
      <c r="T76" s="80"/>
      <c r="U76" s="81"/>
      <c r="V76" s="81"/>
      <c r="W76" s="81"/>
      <c r="X76" s="81"/>
      <c r="Y76" s="81"/>
      <c r="Z76" s="71"/>
      <c r="AA76" s="82"/>
      <c r="AB76" s="82"/>
      <c r="AC76" s="82"/>
      <c r="AD76" s="82"/>
      <c r="AE76" s="82"/>
      <c r="AF76" s="82"/>
      <c r="AG76" s="72"/>
      <c r="AH76" s="72"/>
      <c r="AI76" s="72"/>
      <c r="AJ76" s="72"/>
      <c r="AK76" s="72"/>
      <c r="AL76" s="72"/>
      <c r="AM76" s="72"/>
      <c r="AN76" s="72"/>
      <c r="AO76" s="46"/>
    </row>
    <row r="77" spans="1:41" ht="15.75">
      <c r="A77" s="68" t="s">
        <v>582</v>
      </c>
      <c r="B77" s="55">
        <v>9</v>
      </c>
      <c r="C77" s="55">
        <v>2001</v>
      </c>
      <c r="D77" s="72">
        <v>735124</v>
      </c>
      <c r="E77" s="73">
        <v>0</v>
      </c>
      <c r="F77" s="58">
        <v>10</v>
      </c>
      <c r="G77" s="52">
        <f t="shared" ref="G77:G84" si="174">C77+F77</f>
        <v>2011</v>
      </c>
      <c r="H77" s="58"/>
      <c r="I77" s="58"/>
      <c r="J77" s="57"/>
      <c r="K77" s="53">
        <f t="shared" ref="K77:K84" si="175">D77-D77*E77</f>
        <v>735124</v>
      </c>
      <c r="L77" s="53">
        <f t="shared" ref="L77:L84" si="176">K77/F77/12</f>
        <v>6126.0333333333328</v>
      </c>
      <c r="M77" s="53">
        <f t="shared" ref="M77:M82" si="177">IF(J77&gt;0,0,IF(OR(AJ77&gt;AK77,AL77&lt;AM77),0,IF(AND(AL77&gt;=AM77,AL77&lt;=AK77),L77*((AL77-AM77)*12),IF(AND(AM77&lt;=AJ77,AK77&gt;=AJ77),((AK77-AJ77)*12)*L77,IF(AL77&gt;AK77,12*L77,0)))))</f>
        <v>0</v>
      </c>
      <c r="N77" s="53">
        <f t="shared" ref="N77:N81" si="178">IF(AJ77&gt;AK77,0,IF(AL77&lt;AM77,K77,IF(AND(AL77&gt;=AM77,AL77&lt;=AK77),(K77-R77),IF(AND(AM77&lt;=AJ77,AK77&gt;=AJ77),0,IF(AL77&gt;AK77,((AM77-AJ77)*12)*L77,0)))))</f>
        <v>735124</v>
      </c>
      <c r="O77" s="53">
        <f t="shared" ref="O77:O84" si="179">IF(J77&gt;0,0,AI77+Z77*AG77)*AG77</f>
        <v>735124</v>
      </c>
      <c r="P77" s="299">
        <f t="shared" ref="P77:P81" si="180">IF(J77&gt;0,(D77-AI77)/2,IF(AJ77&gt;=AM77,(((D77*S77)*AG77)-O77)/2,((((D77*S77)*AG77)-AI77)+(((D77*S77)*AG77)-O77))/2))</f>
        <v>0</v>
      </c>
      <c r="Q77" s="53">
        <f t="shared" ref="Q77:Q84" si="181">IF(J77=0,0,IF(AND(AN77&gt;=AM77,AN77&lt;=AL77),((AN77-AM77)*12)*L77,0))</f>
        <v>0</v>
      </c>
      <c r="R77" s="53">
        <f t="shared" ref="R77:R84" si="182">IF(Q77&gt;0,Q77,M77)</f>
        <v>0</v>
      </c>
      <c r="S77" s="54">
        <v>1</v>
      </c>
      <c r="T77" s="74">
        <f>S77*(M77+Q77)</f>
        <v>0</v>
      </c>
      <c r="U77" s="74"/>
      <c r="V77" s="74"/>
      <c r="W77" s="74"/>
      <c r="X77" s="74"/>
      <c r="Y77" s="74"/>
      <c r="Z77" s="53">
        <f t="shared" ref="Z77:Z84" si="183">S77*(M77+Q77)</f>
        <v>0</v>
      </c>
      <c r="AA77" s="75">
        <f t="shared" ref="AA77:AA84" si="184">P77*S77</f>
        <v>0</v>
      </c>
      <c r="AB77" s="75"/>
      <c r="AC77" s="75"/>
      <c r="AD77" s="75"/>
      <c r="AE77" s="75"/>
      <c r="AF77" s="75"/>
      <c r="AG77" s="54">
        <v>1</v>
      </c>
      <c r="AH77" s="53">
        <f t="shared" ref="AH77:AH84" si="185">N77*S77</f>
        <v>735124</v>
      </c>
      <c r="AI77" s="53">
        <f t="shared" ref="AI77:AI84" si="186">AH77*AG77</f>
        <v>735124</v>
      </c>
      <c r="AJ77" s="76">
        <f t="shared" ref="AJ77:AJ84" si="187">$C77+(($B77-1)/12)</f>
        <v>2001.6666666666667</v>
      </c>
      <c r="AK77" s="52">
        <f t="shared" ref="AK77:AK84" si="188">($F$7+1)-($C$7/12)</f>
        <v>2018.9166666666667</v>
      </c>
      <c r="AL77" s="76">
        <f t="shared" ref="AL77:AL84" si="189">$G77+(($B77-1)/12)</f>
        <v>2011.6666666666667</v>
      </c>
      <c r="AM77" s="52">
        <f t="shared" ref="AM77:AM84" si="190">$D$7+($E$7/12)</f>
        <v>2019</v>
      </c>
      <c r="AN77" s="52">
        <f t="shared" ref="AN77:AN84" si="191">$I77+(($H77-1)/12)</f>
        <v>-8.3333333333333329E-2</v>
      </c>
      <c r="AO77" s="46"/>
    </row>
    <row r="78" spans="1:41" ht="15.75">
      <c r="A78" s="55" t="s">
        <v>583</v>
      </c>
      <c r="B78" s="55">
        <v>4</v>
      </c>
      <c r="C78" s="55">
        <v>2005</v>
      </c>
      <c r="D78" s="72">
        <v>73158</v>
      </c>
      <c r="E78" s="73">
        <v>0</v>
      </c>
      <c r="F78" s="58">
        <v>10</v>
      </c>
      <c r="G78" s="52">
        <f t="shared" si="174"/>
        <v>2015</v>
      </c>
      <c r="H78" s="58"/>
      <c r="I78" s="58"/>
      <c r="J78" s="57"/>
      <c r="K78" s="53">
        <f t="shared" si="175"/>
        <v>73158</v>
      </c>
      <c r="L78" s="53">
        <f t="shared" si="176"/>
        <v>609.65</v>
      </c>
      <c r="M78" s="53">
        <f t="shared" si="177"/>
        <v>0</v>
      </c>
      <c r="N78" s="53">
        <f t="shared" si="178"/>
        <v>73158</v>
      </c>
      <c r="O78" s="53">
        <f t="shared" si="179"/>
        <v>73158</v>
      </c>
      <c r="P78" s="299">
        <f t="shared" si="180"/>
        <v>0</v>
      </c>
      <c r="Q78" s="53">
        <f t="shared" si="181"/>
        <v>0</v>
      </c>
      <c r="R78" s="53">
        <f t="shared" si="182"/>
        <v>0</v>
      </c>
      <c r="S78" s="54">
        <v>1</v>
      </c>
      <c r="T78" s="74">
        <f t="shared" ref="T78:T84" si="192">S78*(M78+Q78)</f>
        <v>0</v>
      </c>
      <c r="U78" s="74"/>
      <c r="V78" s="74"/>
      <c r="W78" s="74"/>
      <c r="X78" s="74"/>
      <c r="Y78" s="74"/>
      <c r="Z78" s="53">
        <f t="shared" si="183"/>
        <v>0</v>
      </c>
      <c r="AA78" s="75">
        <f t="shared" si="184"/>
        <v>0</v>
      </c>
      <c r="AB78" s="75"/>
      <c r="AC78" s="75"/>
      <c r="AD78" s="75"/>
      <c r="AE78" s="75"/>
      <c r="AF78" s="75"/>
      <c r="AG78" s="54">
        <v>1</v>
      </c>
      <c r="AH78" s="53">
        <f t="shared" si="185"/>
        <v>73158</v>
      </c>
      <c r="AI78" s="53">
        <f t="shared" si="186"/>
        <v>73158</v>
      </c>
      <c r="AJ78" s="76">
        <f t="shared" si="187"/>
        <v>2005.25</v>
      </c>
      <c r="AK78" s="52">
        <f t="shared" si="188"/>
        <v>2018.9166666666667</v>
      </c>
      <c r="AL78" s="76">
        <f t="shared" si="189"/>
        <v>2015.25</v>
      </c>
      <c r="AM78" s="52">
        <f t="shared" si="190"/>
        <v>2019</v>
      </c>
      <c r="AN78" s="52">
        <f t="shared" si="191"/>
        <v>-8.3333333333333329E-2</v>
      </c>
      <c r="AO78" s="46"/>
    </row>
    <row r="79" spans="1:41" ht="15.75">
      <c r="A79" s="55" t="s">
        <v>584</v>
      </c>
      <c r="B79" s="55">
        <v>7</v>
      </c>
      <c r="C79" s="55">
        <v>2006</v>
      </c>
      <c r="D79" s="72">
        <v>73006</v>
      </c>
      <c r="E79" s="73">
        <v>0</v>
      </c>
      <c r="F79" s="58">
        <v>10</v>
      </c>
      <c r="G79" s="52">
        <f t="shared" si="174"/>
        <v>2016</v>
      </c>
      <c r="H79" s="58"/>
      <c r="I79" s="58"/>
      <c r="J79" s="57"/>
      <c r="K79" s="53">
        <f t="shared" si="175"/>
        <v>73006</v>
      </c>
      <c r="L79" s="53">
        <f t="shared" si="176"/>
        <v>608.38333333333333</v>
      </c>
      <c r="M79" s="53">
        <f t="shared" si="177"/>
        <v>0</v>
      </c>
      <c r="N79" s="53">
        <f t="shared" si="178"/>
        <v>73006</v>
      </c>
      <c r="O79" s="53">
        <f t="shared" si="179"/>
        <v>73006</v>
      </c>
      <c r="P79" s="299">
        <f t="shared" si="180"/>
        <v>0</v>
      </c>
      <c r="Q79" s="53">
        <f t="shared" si="181"/>
        <v>0</v>
      </c>
      <c r="R79" s="53">
        <f t="shared" si="182"/>
        <v>0</v>
      </c>
      <c r="S79" s="54">
        <v>1</v>
      </c>
      <c r="T79" s="74">
        <f t="shared" si="192"/>
        <v>0</v>
      </c>
      <c r="U79" s="74"/>
      <c r="V79" s="74"/>
      <c r="W79" s="74"/>
      <c r="X79" s="74"/>
      <c r="Y79" s="74"/>
      <c r="Z79" s="53">
        <f t="shared" si="183"/>
        <v>0</v>
      </c>
      <c r="AA79" s="75">
        <f t="shared" si="184"/>
        <v>0</v>
      </c>
      <c r="AB79" s="75"/>
      <c r="AC79" s="75"/>
      <c r="AD79" s="75"/>
      <c r="AE79" s="75"/>
      <c r="AF79" s="75"/>
      <c r="AG79" s="54">
        <v>1</v>
      </c>
      <c r="AH79" s="53">
        <f t="shared" si="185"/>
        <v>73006</v>
      </c>
      <c r="AI79" s="53">
        <f t="shared" si="186"/>
        <v>73006</v>
      </c>
      <c r="AJ79" s="76">
        <f t="shared" si="187"/>
        <v>2006.5</v>
      </c>
      <c r="AK79" s="52">
        <f t="shared" si="188"/>
        <v>2018.9166666666667</v>
      </c>
      <c r="AL79" s="76">
        <f t="shared" si="189"/>
        <v>2016.5</v>
      </c>
      <c r="AM79" s="52">
        <f t="shared" si="190"/>
        <v>2019</v>
      </c>
      <c r="AN79" s="52">
        <f t="shared" si="191"/>
        <v>-8.3333333333333329E-2</v>
      </c>
      <c r="AO79" s="46"/>
    </row>
    <row r="80" spans="1:41" ht="15.75">
      <c r="A80" s="55" t="s">
        <v>585</v>
      </c>
      <c r="B80" s="55">
        <v>6</v>
      </c>
      <c r="C80" s="55">
        <v>2007</v>
      </c>
      <c r="D80" s="72">
        <v>216326</v>
      </c>
      <c r="E80" s="73">
        <v>0</v>
      </c>
      <c r="F80" s="58">
        <v>10</v>
      </c>
      <c r="G80" s="52">
        <f t="shared" si="174"/>
        <v>2017</v>
      </c>
      <c r="H80" s="58"/>
      <c r="I80" s="58"/>
      <c r="J80" s="57"/>
      <c r="K80" s="53">
        <f t="shared" si="175"/>
        <v>216326</v>
      </c>
      <c r="L80" s="53">
        <f t="shared" si="176"/>
        <v>1802.7166666666665</v>
      </c>
      <c r="M80" s="53">
        <f t="shared" si="177"/>
        <v>0</v>
      </c>
      <c r="N80" s="53">
        <f t="shared" si="178"/>
        <v>216326</v>
      </c>
      <c r="O80" s="53">
        <f t="shared" si="179"/>
        <v>216326</v>
      </c>
      <c r="P80" s="299">
        <f t="shared" si="180"/>
        <v>0</v>
      </c>
      <c r="Q80" s="53">
        <f t="shared" si="181"/>
        <v>0</v>
      </c>
      <c r="R80" s="53">
        <f t="shared" si="182"/>
        <v>0</v>
      </c>
      <c r="S80" s="54">
        <v>1</v>
      </c>
      <c r="T80" s="74">
        <f t="shared" si="192"/>
        <v>0</v>
      </c>
      <c r="U80" s="74"/>
      <c r="V80" s="74"/>
      <c r="W80" s="74"/>
      <c r="X80" s="74"/>
      <c r="Y80" s="74"/>
      <c r="Z80" s="53">
        <f t="shared" si="183"/>
        <v>0</v>
      </c>
      <c r="AA80" s="75">
        <f t="shared" si="184"/>
        <v>0</v>
      </c>
      <c r="AB80" s="75"/>
      <c r="AC80" s="75"/>
      <c r="AD80" s="75"/>
      <c r="AE80" s="75"/>
      <c r="AF80" s="75"/>
      <c r="AG80" s="54">
        <v>1</v>
      </c>
      <c r="AH80" s="53">
        <f t="shared" si="185"/>
        <v>216326</v>
      </c>
      <c r="AI80" s="53">
        <f t="shared" si="186"/>
        <v>216326</v>
      </c>
      <c r="AJ80" s="76">
        <f t="shared" si="187"/>
        <v>2007.4166666666667</v>
      </c>
      <c r="AK80" s="52">
        <f t="shared" si="188"/>
        <v>2018.9166666666667</v>
      </c>
      <c r="AL80" s="76">
        <f t="shared" si="189"/>
        <v>2017.4166666666667</v>
      </c>
      <c r="AM80" s="52">
        <f t="shared" si="190"/>
        <v>2019</v>
      </c>
      <c r="AN80" s="52">
        <f t="shared" si="191"/>
        <v>-8.3333333333333329E-2</v>
      </c>
      <c r="AO80" s="46"/>
    </row>
    <row r="81" spans="1:41" ht="15.75">
      <c r="A81" s="55" t="s">
        <v>586</v>
      </c>
      <c r="B81" s="55">
        <v>7</v>
      </c>
      <c r="C81" s="55">
        <v>2008</v>
      </c>
      <c r="D81" s="72">
        <v>226031</v>
      </c>
      <c r="E81" s="73">
        <v>0</v>
      </c>
      <c r="F81" s="58">
        <v>10</v>
      </c>
      <c r="G81" s="52">
        <f t="shared" si="174"/>
        <v>2018</v>
      </c>
      <c r="H81" s="58"/>
      <c r="I81" s="58"/>
      <c r="J81" s="57"/>
      <c r="K81" s="53">
        <f t="shared" si="175"/>
        <v>226031</v>
      </c>
      <c r="L81" s="53">
        <f t="shared" si="176"/>
        <v>1883.5916666666665</v>
      </c>
      <c r="M81" s="53">
        <f t="shared" si="177"/>
        <v>0</v>
      </c>
      <c r="N81" s="53">
        <f t="shared" si="178"/>
        <v>226031</v>
      </c>
      <c r="O81" s="53">
        <f t="shared" si="179"/>
        <v>226031</v>
      </c>
      <c r="P81" s="299">
        <f t="shared" si="180"/>
        <v>0</v>
      </c>
      <c r="Q81" s="53">
        <f t="shared" si="181"/>
        <v>0</v>
      </c>
      <c r="R81" s="53">
        <f t="shared" si="182"/>
        <v>0</v>
      </c>
      <c r="S81" s="54">
        <v>1</v>
      </c>
      <c r="T81" s="74">
        <f t="shared" si="192"/>
        <v>0</v>
      </c>
      <c r="U81" s="74"/>
      <c r="V81" s="74"/>
      <c r="W81" s="74"/>
      <c r="X81" s="74"/>
      <c r="Y81" s="74"/>
      <c r="Z81" s="53">
        <f t="shared" si="183"/>
        <v>0</v>
      </c>
      <c r="AA81" s="75">
        <f t="shared" si="184"/>
        <v>0</v>
      </c>
      <c r="AB81" s="75"/>
      <c r="AC81" s="75"/>
      <c r="AD81" s="75"/>
      <c r="AE81" s="75"/>
      <c r="AF81" s="75"/>
      <c r="AG81" s="54">
        <v>1</v>
      </c>
      <c r="AH81" s="53">
        <f t="shared" si="185"/>
        <v>226031</v>
      </c>
      <c r="AI81" s="53">
        <f t="shared" si="186"/>
        <v>226031</v>
      </c>
      <c r="AJ81" s="76">
        <f t="shared" si="187"/>
        <v>2008.5</v>
      </c>
      <c r="AK81" s="52">
        <f t="shared" si="188"/>
        <v>2018.9166666666667</v>
      </c>
      <c r="AL81" s="76">
        <f t="shared" si="189"/>
        <v>2018.5</v>
      </c>
      <c r="AM81" s="52">
        <f t="shared" si="190"/>
        <v>2019</v>
      </c>
      <c r="AN81" s="52">
        <f t="shared" si="191"/>
        <v>-8.3333333333333329E-2</v>
      </c>
      <c r="AO81" s="46"/>
    </row>
    <row r="82" spans="1:41" ht="15.75">
      <c r="A82" s="88" t="s">
        <v>587</v>
      </c>
      <c r="B82" s="55">
        <v>6</v>
      </c>
      <c r="C82" s="55">
        <v>2011</v>
      </c>
      <c r="D82" s="72">
        <v>61256.84</v>
      </c>
      <c r="E82" s="73">
        <v>0</v>
      </c>
      <c r="F82" s="58">
        <v>10</v>
      </c>
      <c r="G82" s="52">
        <f t="shared" si="174"/>
        <v>2021</v>
      </c>
      <c r="H82" s="58"/>
      <c r="I82" s="58"/>
      <c r="J82" s="57"/>
      <c r="K82" s="53">
        <f t="shared" si="175"/>
        <v>61256.84</v>
      </c>
      <c r="L82" s="53">
        <f t="shared" si="176"/>
        <v>510.47366666666659</v>
      </c>
      <c r="M82" s="53">
        <f t="shared" si="177"/>
        <v>6125.6839999999993</v>
      </c>
      <c r="N82" s="53">
        <f>+L82*79</f>
        <v>40327.419666666661</v>
      </c>
      <c r="O82" s="53">
        <f t="shared" si="179"/>
        <v>46453.103666666662</v>
      </c>
      <c r="P82" s="299">
        <f t="shared" ref="P82:P84" si="193">((K82-N82)+(K82-O82))/2</f>
        <v>17866.578333333335</v>
      </c>
      <c r="Q82" s="53">
        <f t="shared" si="181"/>
        <v>0</v>
      </c>
      <c r="R82" s="53">
        <f t="shared" si="182"/>
        <v>6125.6839999999993</v>
      </c>
      <c r="S82" s="54">
        <v>1</v>
      </c>
      <c r="T82" s="74">
        <f t="shared" si="192"/>
        <v>6125.6839999999993</v>
      </c>
      <c r="U82" s="74"/>
      <c r="V82" s="74"/>
      <c r="W82" s="74"/>
      <c r="X82" s="74"/>
      <c r="Y82" s="74"/>
      <c r="Z82" s="53">
        <f t="shared" si="183"/>
        <v>6125.6839999999993</v>
      </c>
      <c r="AA82" s="75">
        <f t="shared" si="184"/>
        <v>17866.578333333335</v>
      </c>
      <c r="AB82" s="75"/>
      <c r="AC82" s="75"/>
      <c r="AD82" s="75"/>
      <c r="AE82" s="75"/>
      <c r="AF82" s="75"/>
      <c r="AG82" s="54">
        <v>1</v>
      </c>
      <c r="AH82" s="53">
        <f t="shared" si="185"/>
        <v>40327.419666666661</v>
      </c>
      <c r="AI82" s="53">
        <f t="shared" si="186"/>
        <v>40327.419666666661</v>
      </c>
      <c r="AJ82" s="76">
        <f t="shared" si="187"/>
        <v>2011.4166666666667</v>
      </c>
      <c r="AK82" s="52">
        <f t="shared" si="188"/>
        <v>2018.9166666666667</v>
      </c>
      <c r="AL82" s="76">
        <f t="shared" si="189"/>
        <v>2021.4166666666667</v>
      </c>
      <c r="AM82" s="52">
        <f t="shared" si="190"/>
        <v>2019</v>
      </c>
      <c r="AN82" s="52">
        <f t="shared" si="191"/>
        <v>-8.3333333333333329E-2</v>
      </c>
      <c r="AO82" s="46"/>
    </row>
    <row r="83" spans="1:41" ht="15.75">
      <c r="A83" s="88" t="s">
        <v>588</v>
      </c>
      <c r="B83" s="55">
        <v>11</v>
      </c>
      <c r="C83" s="55">
        <v>2017</v>
      </c>
      <c r="D83" s="72">
        <v>2527</v>
      </c>
      <c r="E83" s="73">
        <v>0</v>
      </c>
      <c r="F83" s="58">
        <v>10</v>
      </c>
      <c r="G83" s="52">
        <f t="shared" si="174"/>
        <v>2027</v>
      </c>
      <c r="H83" s="58"/>
      <c r="I83" s="58"/>
      <c r="J83" s="57"/>
      <c r="K83" s="53">
        <f t="shared" si="175"/>
        <v>2527</v>
      </c>
      <c r="L83" s="53">
        <f t="shared" si="176"/>
        <v>21.058333333333334</v>
      </c>
      <c r="M83" s="53">
        <f t="shared" ref="M83:M84" si="194">+L83*12</f>
        <v>252.7</v>
      </c>
      <c r="N83" s="53">
        <f>+L83*2</f>
        <v>42.116666666666667</v>
      </c>
      <c r="O83" s="53">
        <f t="shared" si="179"/>
        <v>294.81666666666666</v>
      </c>
      <c r="P83" s="299">
        <f t="shared" si="193"/>
        <v>2358.5333333333333</v>
      </c>
      <c r="Q83" s="53">
        <f t="shared" si="181"/>
        <v>0</v>
      </c>
      <c r="R83" s="53">
        <f t="shared" si="182"/>
        <v>252.7</v>
      </c>
      <c r="S83" s="54">
        <v>1</v>
      </c>
      <c r="T83" s="74">
        <f t="shared" si="192"/>
        <v>252.7</v>
      </c>
      <c r="U83" s="74"/>
      <c r="V83" s="74"/>
      <c r="W83" s="74"/>
      <c r="X83" s="74"/>
      <c r="Y83" s="74"/>
      <c r="Z83" s="53">
        <f t="shared" si="183"/>
        <v>252.7</v>
      </c>
      <c r="AA83" s="75">
        <f t="shared" si="184"/>
        <v>2358.5333333333333</v>
      </c>
      <c r="AB83" s="75"/>
      <c r="AC83" s="75"/>
      <c r="AD83" s="75"/>
      <c r="AE83" s="75"/>
      <c r="AF83" s="75"/>
      <c r="AG83" s="54">
        <v>1</v>
      </c>
      <c r="AH83" s="53">
        <f t="shared" si="185"/>
        <v>42.116666666666667</v>
      </c>
      <c r="AI83" s="53">
        <f t="shared" si="186"/>
        <v>42.116666666666667</v>
      </c>
      <c r="AJ83" s="76">
        <f t="shared" si="187"/>
        <v>2017.8333333333333</v>
      </c>
      <c r="AK83" s="52">
        <f t="shared" si="188"/>
        <v>2018.9166666666667</v>
      </c>
      <c r="AL83" s="76">
        <f t="shared" si="189"/>
        <v>2027.8333333333333</v>
      </c>
      <c r="AM83" s="52">
        <f t="shared" si="190"/>
        <v>2019</v>
      </c>
      <c r="AN83" s="52">
        <f t="shared" si="191"/>
        <v>-8.3333333333333329E-2</v>
      </c>
      <c r="AO83" s="46"/>
    </row>
    <row r="84" spans="1:41" ht="15.75">
      <c r="A84" s="88" t="s">
        <v>589</v>
      </c>
      <c r="B84" s="55">
        <v>1</v>
      </c>
      <c r="C84" s="55">
        <v>2018</v>
      </c>
      <c r="D84" s="77">
        <v>10926</v>
      </c>
      <c r="E84" s="73">
        <v>0</v>
      </c>
      <c r="F84" s="58">
        <v>10</v>
      </c>
      <c r="G84" s="52">
        <f t="shared" si="174"/>
        <v>2028</v>
      </c>
      <c r="H84" s="58"/>
      <c r="I84" s="58"/>
      <c r="J84" s="57"/>
      <c r="K84" s="78">
        <f t="shared" si="175"/>
        <v>10926</v>
      </c>
      <c r="L84" s="78">
        <f t="shared" si="176"/>
        <v>91.05</v>
      </c>
      <c r="M84" s="78">
        <f t="shared" si="194"/>
        <v>1092.5999999999999</v>
      </c>
      <c r="N84" s="78">
        <v>0</v>
      </c>
      <c r="O84" s="78">
        <f t="shared" si="179"/>
        <v>1092.5999999999999</v>
      </c>
      <c r="P84" s="301">
        <f t="shared" si="193"/>
        <v>10379.700000000001</v>
      </c>
      <c r="Q84" s="78">
        <f t="shared" si="181"/>
        <v>0</v>
      </c>
      <c r="R84" s="78">
        <f t="shared" si="182"/>
        <v>1092.5999999999999</v>
      </c>
      <c r="S84" s="54">
        <v>1</v>
      </c>
      <c r="T84" s="74">
        <f t="shared" si="192"/>
        <v>1092.5999999999999</v>
      </c>
      <c r="U84" s="74"/>
      <c r="V84" s="74"/>
      <c r="W84" s="74"/>
      <c r="X84" s="74"/>
      <c r="Y84" s="74"/>
      <c r="Z84" s="53">
        <f t="shared" si="183"/>
        <v>1092.5999999999999</v>
      </c>
      <c r="AA84" s="75">
        <f t="shared" si="184"/>
        <v>10379.700000000001</v>
      </c>
      <c r="AB84" s="75"/>
      <c r="AC84" s="75"/>
      <c r="AD84" s="75"/>
      <c r="AE84" s="75"/>
      <c r="AF84" s="75"/>
      <c r="AG84" s="54">
        <v>1</v>
      </c>
      <c r="AH84" s="53">
        <f t="shared" si="185"/>
        <v>0</v>
      </c>
      <c r="AI84" s="53">
        <f t="shared" si="186"/>
        <v>0</v>
      </c>
      <c r="AJ84" s="76">
        <f t="shared" si="187"/>
        <v>2018</v>
      </c>
      <c r="AK84" s="52">
        <f t="shared" si="188"/>
        <v>2018.9166666666667</v>
      </c>
      <c r="AL84" s="76">
        <f t="shared" si="189"/>
        <v>2028</v>
      </c>
      <c r="AM84" s="52">
        <f t="shared" si="190"/>
        <v>2019</v>
      </c>
      <c r="AN84" s="52">
        <f t="shared" si="191"/>
        <v>-8.3333333333333329E-2</v>
      </c>
      <c r="AO84" s="46"/>
    </row>
    <row r="85" spans="1:41" ht="15.75">
      <c r="A85" s="662" t="s">
        <v>1400</v>
      </c>
      <c r="B85" s="58"/>
      <c r="C85" s="58"/>
      <c r="D85" s="53">
        <f>SUM(D77:D84)</f>
        <v>1398354.84</v>
      </c>
      <c r="E85" s="79"/>
      <c r="F85" s="52"/>
      <c r="G85" s="52"/>
      <c r="H85" s="52"/>
      <c r="I85" s="52"/>
      <c r="J85" s="53"/>
      <c r="K85" s="53">
        <f t="shared" ref="K85:T85" si="195">SUM(K77:K84)</f>
        <v>1398354.84</v>
      </c>
      <c r="L85" s="53">
        <f t="shared" si="195"/>
        <v>11652.956999999999</v>
      </c>
      <c r="M85" s="53">
        <f t="shared" si="195"/>
        <v>7470.9839999999986</v>
      </c>
      <c r="N85" s="53">
        <f t="shared" si="195"/>
        <v>1364014.5363333335</v>
      </c>
      <c r="O85" s="53">
        <f t="shared" si="195"/>
        <v>1371485.5203333334</v>
      </c>
      <c r="P85" s="299">
        <f t="shared" si="195"/>
        <v>30604.811666666668</v>
      </c>
      <c r="Q85" s="53">
        <f t="shared" si="195"/>
        <v>0</v>
      </c>
      <c r="R85" s="53">
        <f t="shared" si="195"/>
        <v>7470.9839999999986</v>
      </c>
      <c r="S85" s="53"/>
      <c r="T85" s="53">
        <f t="shared" si="195"/>
        <v>7470.9839999999986</v>
      </c>
      <c r="U85" s="74"/>
      <c r="V85" s="74"/>
      <c r="W85" s="74"/>
      <c r="X85" s="74"/>
      <c r="Y85" s="74"/>
      <c r="Z85" s="53">
        <f t="shared" ref="Z85:AF85" si="196">SUM(Z77:Z81)</f>
        <v>0</v>
      </c>
      <c r="AA85" s="75">
        <f t="shared" si="196"/>
        <v>0</v>
      </c>
      <c r="AB85" s="75">
        <f t="shared" si="196"/>
        <v>0</v>
      </c>
      <c r="AC85" s="75">
        <f t="shared" si="196"/>
        <v>0</v>
      </c>
      <c r="AD85" s="75">
        <f t="shared" si="196"/>
        <v>0</v>
      </c>
      <c r="AE85" s="75">
        <f t="shared" si="196"/>
        <v>0</v>
      </c>
      <c r="AF85" s="75">
        <f t="shared" si="196"/>
        <v>0</v>
      </c>
      <c r="AG85" s="53"/>
      <c r="AH85" s="53">
        <f>SUM(AH77:AH81)</f>
        <v>1323645</v>
      </c>
      <c r="AI85" s="53">
        <f>SUM(AI77:AI81)</f>
        <v>1323645</v>
      </c>
      <c r="AJ85" s="76"/>
      <c r="AK85" s="52"/>
      <c r="AL85" s="76"/>
      <c r="AM85" s="52"/>
      <c r="AN85" s="52"/>
      <c r="AO85" s="46"/>
    </row>
    <row r="86" spans="1:41" ht="15.75">
      <c r="A86" s="55"/>
      <c r="B86" s="58"/>
      <c r="C86" s="58"/>
      <c r="D86" s="69"/>
      <c r="E86" s="70"/>
      <c r="F86" s="58"/>
      <c r="G86" s="58"/>
      <c r="H86" s="58"/>
      <c r="I86" s="58"/>
      <c r="J86" s="69"/>
      <c r="K86" s="69"/>
      <c r="L86" s="57"/>
      <c r="M86" s="57"/>
      <c r="N86" s="57"/>
      <c r="O86" s="57"/>
      <c r="P86" s="300"/>
      <c r="Q86" s="71"/>
      <c r="R86" s="71"/>
      <c r="S86" s="72"/>
      <c r="T86" s="80"/>
      <c r="U86" s="81"/>
      <c r="V86" s="81"/>
      <c r="W86" s="81"/>
      <c r="X86" s="81"/>
      <c r="Y86" s="81"/>
      <c r="Z86" s="71"/>
      <c r="AA86" s="82"/>
      <c r="AB86" s="82"/>
      <c r="AC86" s="82"/>
      <c r="AD86" s="82"/>
      <c r="AE86" s="82"/>
      <c r="AF86" s="82"/>
      <c r="AG86" s="72"/>
      <c r="AH86" s="72"/>
      <c r="AI86" s="72"/>
      <c r="AJ86" s="72"/>
      <c r="AK86" s="72"/>
      <c r="AL86" s="72"/>
      <c r="AM86" s="72"/>
      <c r="AN86" s="72"/>
      <c r="AO86" s="46"/>
    </row>
    <row r="87" spans="1:41" ht="15.75">
      <c r="A87" s="68" t="s">
        <v>590</v>
      </c>
      <c r="B87" s="55"/>
      <c r="C87" s="55"/>
      <c r="D87" s="69"/>
      <c r="E87" s="70"/>
      <c r="F87" s="58"/>
      <c r="G87" s="58"/>
      <c r="H87" s="58"/>
      <c r="I87" s="58"/>
      <c r="J87" s="69"/>
      <c r="K87" s="69"/>
      <c r="L87" s="57"/>
      <c r="M87" s="57"/>
      <c r="N87" s="57"/>
      <c r="O87" s="57"/>
      <c r="P87" s="300"/>
      <c r="Q87" s="71"/>
      <c r="R87" s="71"/>
      <c r="S87" s="72"/>
      <c r="T87" s="80"/>
      <c r="U87" s="81"/>
      <c r="V87" s="81"/>
      <c r="W87" s="81"/>
      <c r="X87" s="81"/>
      <c r="Y87" s="81"/>
      <c r="Z87" s="71"/>
      <c r="AA87" s="82"/>
      <c r="AB87" s="82"/>
      <c r="AC87" s="82"/>
      <c r="AD87" s="82"/>
      <c r="AE87" s="82"/>
      <c r="AF87" s="82"/>
      <c r="AG87" s="72"/>
      <c r="AH87" s="72"/>
      <c r="AI87" s="72"/>
      <c r="AJ87" s="72"/>
      <c r="AK87" s="72"/>
      <c r="AL87" s="72"/>
      <c r="AM87" s="72"/>
      <c r="AN87" s="72"/>
      <c r="AO87" s="46"/>
    </row>
    <row r="88" spans="1:41" ht="15.75">
      <c r="A88" s="68" t="s">
        <v>591</v>
      </c>
      <c r="B88" s="55">
        <v>9</v>
      </c>
      <c r="C88" s="55">
        <v>1998</v>
      </c>
      <c r="D88" s="72">
        <v>1179513</v>
      </c>
      <c r="E88" s="73">
        <v>0</v>
      </c>
      <c r="F88" s="58">
        <v>10</v>
      </c>
      <c r="G88" s="52">
        <f t="shared" ref="G88:G110" si="197">C88+F88</f>
        <v>2008</v>
      </c>
      <c r="H88" s="58"/>
      <c r="I88" s="58"/>
      <c r="J88" s="57"/>
      <c r="K88" s="53">
        <f t="shared" ref="K88:K110" si="198">D88-D88*E88</f>
        <v>1179513</v>
      </c>
      <c r="L88" s="53">
        <f t="shared" ref="L88:L110" si="199">K88/F88/12</f>
        <v>9829.2749999999996</v>
      </c>
      <c r="M88" s="53">
        <f t="shared" ref="M88:M100" si="200">IF(J88&gt;0,0,IF(OR(AJ88&gt;AK88,AL88&lt;AM88),0,IF(AND(AL88&gt;=AM88,AL88&lt;=AK88),L88*((AL88-AM88)*12),IF(AND(AM88&lt;=AJ88,AK88&gt;=AJ88),((AK88-AJ88)*12)*L88,IF(AL88&gt;AK88,12*L88,0)))))</f>
        <v>0</v>
      </c>
      <c r="N88" s="53">
        <f t="shared" ref="N88:N91" si="201">IF(AJ88&gt;AK88,0,IF(AL88&lt;AM88,K88,IF(AND(AL88&gt;=AM88,AL88&lt;=AK88),(K88-R88),IF(AND(AM88&lt;=AJ88,AK88&gt;=AJ88),0,IF(AL88&gt;AK88,((AM88-AJ88)*12)*L88,0)))))</f>
        <v>1179513</v>
      </c>
      <c r="O88" s="53">
        <f t="shared" ref="O88:O110" si="202">IF(J88&gt;0,0,AI88+Z88*AG88)*AG88</f>
        <v>1179513</v>
      </c>
      <c r="P88" s="299">
        <f t="shared" ref="P88:P91" si="203">IF(J88&gt;0,(D88-AI88)/2,IF(AJ88&gt;=AM88,(((D88*S88)*AG88)-O88)/2,((((D88*S88)*AG88)-AI88)+(((D88*S88)*AG88)-O88))/2))</f>
        <v>0</v>
      </c>
      <c r="Q88" s="53">
        <f t="shared" ref="Q88:Q110" si="204">IF(J88=0,0,IF(AND(AN88&gt;=AM88,AN88&lt;=AL88),((AN88-AM88)*12)*L88,0))</f>
        <v>0</v>
      </c>
      <c r="R88" s="53">
        <f t="shared" ref="R88:R110" si="205">IF(Q88&gt;0,Q88,M88)</f>
        <v>0</v>
      </c>
      <c r="S88" s="54">
        <v>1</v>
      </c>
      <c r="T88" s="74">
        <f>S88*(M88+Q88)</f>
        <v>0</v>
      </c>
      <c r="U88" s="74"/>
      <c r="V88" s="74"/>
      <c r="W88" s="74"/>
      <c r="X88" s="74"/>
      <c r="Y88" s="74"/>
      <c r="Z88" s="53">
        <f t="shared" ref="Z88:Z110" si="206">S88*(M88+Q88)</f>
        <v>0</v>
      </c>
      <c r="AA88" s="75">
        <f t="shared" ref="AA88:AA110" si="207">P88*S88</f>
        <v>0</v>
      </c>
      <c r="AB88" s="75"/>
      <c r="AC88" s="75"/>
      <c r="AD88" s="75"/>
      <c r="AE88" s="75"/>
      <c r="AF88" s="75"/>
      <c r="AG88" s="54">
        <v>1</v>
      </c>
      <c r="AH88" s="53">
        <f t="shared" ref="AH88:AH110" si="208">N88*S88</f>
        <v>1179513</v>
      </c>
      <c r="AI88" s="53">
        <f t="shared" ref="AI88:AI110" si="209">AH88*AG88</f>
        <v>1179513</v>
      </c>
      <c r="AJ88" s="76">
        <f t="shared" ref="AJ88:AJ110" si="210">$C88+(($B88-1)/12)</f>
        <v>1998.6666666666667</v>
      </c>
      <c r="AK88" s="52">
        <f t="shared" ref="AK88:AK110" si="211">($F$7+1)-($C$7/12)</f>
        <v>2018.9166666666667</v>
      </c>
      <c r="AL88" s="76">
        <f t="shared" ref="AL88:AL110" si="212">$G88+(($B88-1)/12)</f>
        <v>2008.6666666666667</v>
      </c>
      <c r="AM88" s="52">
        <f t="shared" ref="AM88:AM110" si="213">$D$7+($E$7/12)</f>
        <v>2019</v>
      </c>
      <c r="AN88" s="52">
        <f t="shared" ref="AN88:AN110" si="214">$I88+(($H88-1)/12)</f>
        <v>-8.3333333333333329E-2</v>
      </c>
      <c r="AO88" s="46"/>
    </row>
    <row r="89" spans="1:41" ht="15.75">
      <c r="A89" s="55" t="s">
        <v>592</v>
      </c>
      <c r="B89" s="55">
        <v>12</v>
      </c>
      <c r="C89" s="55">
        <v>2005</v>
      </c>
      <c r="D89" s="72">
        <v>18069</v>
      </c>
      <c r="E89" s="73">
        <v>0</v>
      </c>
      <c r="F89" s="58">
        <v>10</v>
      </c>
      <c r="G89" s="52">
        <f t="shared" si="197"/>
        <v>2015</v>
      </c>
      <c r="H89" s="58"/>
      <c r="I89" s="58"/>
      <c r="J89" s="57"/>
      <c r="K89" s="53">
        <f t="shared" si="198"/>
        <v>18069</v>
      </c>
      <c r="L89" s="53">
        <f t="shared" si="199"/>
        <v>150.57500000000002</v>
      </c>
      <c r="M89" s="53">
        <f t="shared" si="200"/>
        <v>0</v>
      </c>
      <c r="N89" s="53">
        <f t="shared" si="201"/>
        <v>18069</v>
      </c>
      <c r="O89" s="53">
        <f t="shared" si="202"/>
        <v>18069</v>
      </c>
      <c r="P89" s="299">
        <f t="shared" si="203"/>
        <v>0</v>
      </c>
      <c r="Q89" s="53">
        <f t="shared" si="204"/>
        <v>0</v>
      </c>
      <c r="R89" s="53">
        <f t="shared" si="205"/>
        <v>0</v>
      </c>
      <c r="S89" s="54">
        <v>1</v>
      </c>
      <c r="T89" s="74">
        <f t="shared" ref="T89:T110" si="215">S89*(M89+Q89)</f>
        <v>0</v>
      </c>
      <c r="U89" s="74"/>
      <c r="V89" s="74"/>
      <c r="W89" s="74"/>
      <c r="X89" s="74"/>
      <c r="Y89" s="74"/>
      <c r="Z89" s="53">
        <f t="shared" si="206"/>
        <v>0</v>
      </c>
      <c r="AA89" s="75">
        <f t="shared" si="207"/>
        <v>0</v>
      </c>
      <c r="AB89" s="75"/>
      <c r="AC89" s="75"/>
      <c r="AD89" s="75"/>
      <c r="AE89" s="75"/>
      <c r="AF89" s="75"/>
      <c r="AG89" s="54">
        <v>1</v>
      </c>
      <c r="AH89" s="53">
        <f t="shared" si="208"/>
        <v>18069</v>
      </c>
      <c r="AI89" s="53">
        <f t="shared" si="209"/>
        <v>18069</v>
      </c>
      <c r="AJ89" s="76">
        <f t="shared" si="210"/>
        <v>2005.9166666666667</v>
      </c>
      <c r="AK89" s="52">
        <f t="shared" si="211"/>
        <v>2018.9166666666667</v>
      </c>
      <c r="AL89" s="76">
        <f t="shared" si="212"/>
        <v>2015.9166666666667</v>
      </c>
      <c r="AM89" s="52">
        <f t="shared" si="213"/>
        <v>2019</v>
      </c>
      <c r="AN89" s="52">
        <f t="shared" si="214"/>
        <v>-8.3333333333333329E-2</v>
      </c>
      <c r="AO89" s="46"/>
    </row>
    <row r="90" spans="1:41" ht="15.75">
      <c r="A90" s="55" t="s">
        <v>593</v>
      </c>
      <c r="B90" s="55">
        <v>7</v>
      </c>
      <c r="C90" s="55">
        <v>2006</v>
      </c>
      <c r="D90" s="72">
        <v>103430</v>
      </c>
      <c r="E90" s="73">
        <v>0</v>
      </c>
      <c r="F90" s="58">
        <v>10</v>
      </c>
      <c r="G90" s="52">
        <f t="shared" si="197"/>
        <v>2016</v>
      </c>
      <c r="H90" s="58"/>
      <c r="I90" s="58"/>
      <c r="J90" s="57"/>
      <c r="K90" s="53">
        <f t="shared" si="198"/>
        <v>103430</v>
      </c>
      <c r="L90" s="53">
        <f t="shared" si="199"/>
        <v>861.91666666666663</v>
      </c>
      <c r="M90" s="53">
        <f t="shared" si="200"/>
        <v>0</v>
      </c>
      <c r="N90" s="53">
        <f t="shared" si="201"/>
        <v>103430</v>
      </c>
      <c r="O90" s="53">
        <f t="shared" si="202"/>
        <v>103430</v>
      </c>
      <c r="P90" s="299">
        <f t="shared" si="203"/>
        <v>0</v>
      </c>
      <c r="Q90" s="53">
        <f t="shared" si="204"/>
        <v>0</v>
      </c>
      <c r="R90" s="53">
        <f t="shared" si="205"/>
        <v>0</v>
      </c>
      <c r="S90" s="54">
        <v>1</v>
      </c>
      <c r="T90" s="74">
        <f t="shared" si="215"/>
        <v>0</v>
      </c>
      <c r="U90" s="74"/>
      <c r="V90" s="74"/>
      <c r="W90" s="74"/>
      <c r="X90" s="74"/>
      <c r="Y90" s="74"/>
      <c r="Z90" s="53">
        <f t="shared" si="206"/>
        <v>0</v>
      </c>
      <c r="AA90" s="75">
        <f t="shared" si="207"/>
        <v>0</v>
      </c>
      <c r="AB90" s="75"/>
      <c r="AC90" s="75"/>
      <c r="AD90" s="75"/>
      <c r="AE90" s="75"/>
      <c r="AF90" s="75"/>
      <c r="AG90" s="54">
        <v>1</v>
      </c>
      <c r="AH90" s="53">
        <f t="shared" si="208"/>
        <v>103430</v>
      </c>
      <c r="AI90" s="53">
        <f t="shared" si="209"/>
        <v>103430</v>
      </c>
      <c r="AJ90" s="76">
        <f t="shared" si="210"/>
        <v>2006.5</v>
      </c>
      <c r="AK90" s="52">
        <f t="shared" si="211"/>
        <v>2018.9166666666667</v>
      </c>
      <c r="AL90" s="76">
        <f t="shared" si="212"/>
        <v>2016.5</v>
      </c>
      <c r="AM90" s="52">
        <f t="shared" si="213"/>
        <v>2019</v>
      </c>
      <c r="AN90" s="52">
        <f t="shared" si="214"/>
        <v>-8.3333333333333329E-2</v>
      </c>
      <c r="AO90" s="46"/>
    </row>
    <row r="91" spans="1:41" ht="15.75">
      <c r="A91" s="55" t="s">
        <v>594</v>
      </c>
      <c r="B91" s="55">
        <v>6</v>
      </c>
      <c r="C91" s="55">
        <v>2007</v>
      </c>
      <c r="D91" s="72">
        <v>81493</v>
      </c>
      <c r="E91" s="73">
        <v>0</v>
      </c>
      <c r="F91" s="58">
        <v>10</v>
      </c>
      <c r="G91" s="52">
        <f t="shared" si="197"/>
        <v>2017</v>
      </c>
      <c r="H91" s="58"/>
      <c r="I91" s="58"/>
      <c r="J91" s="57"/>
      <c r="K91" s="53">
        <f t="shared" si="198"/>
        <v>81493</v>
      </c>
      <c r="L91" s="53">
        <f t="shared" si="199"/>
        <v>679.10833333333335</v>
      </c>
      <c r="M91" s="53">
        <f t="shared" si="200"/>
        <v>0</v>
      </c>
      <c r="N91" s="53">
        <f t="shared" si="201"/>
        <v>81493</v>
      </c>
      <c r="O91" s="53">
        <f t="shared" si="202"/>
        <v>81493</v>
      </c>
      <c r="P91" s="299">
        <f t="shared" si="203"/>
        <v>0</v>
      </c>
      <c r="Q91" s="53">
        <f t="shared" si="204"/>
        <v>0</v>
      </c>
      <c r="R91" s="53">
        <f t="shared" si="205"/>
        <v>0</v>
      </c>
      <c r="S91" s="54">
        <v>1</v>
      </c>
      <c r="T91" s="74">
        <f t="shared" si="215"/>
        <v>0</v>
      </c>
      <c r="U91" s="74"/>
      <c r="V91" s="74"/>
      <c r="W91" s="74"/>
      <c r="X91" s="74"/>
      <c r="Y91" s="74"/>
      <c r="Z91" s="53">
        <f t="shared" si="206"/>
        <v>0</v>
      </c>
      <c r="AA91" s="75">
        <f t="shared" si="207"/>
        <v>0</v>
      </c>
      <c r="AB91" s="75"/>
      <c r="AC91" s="75"/>
      <c r="AD91" s="75"/>
      <c r="AE91" s="75"/>
      <c r="AF91" s="75"/>
      <c r="AG91" s="54">
        <v>1</v>
      </c>
      <c r="AH91" s="53">
        <f t="shared" si="208"/>
        <v>81493</v>
      </c>
      <c r="AI91" s="53">
        <f t="shared" si="209"/>
        <v>81493</v>
      </c>
      <c r="AJ91" s="76">
        <f t="shared" si="210"/>
        <v>2007.4166666666667</v>
      </c>
      <c r="AK91" s="52">
        <f t="shared" si="211"/>
        <v>2018.9166666666667</v>
      </c>
      <c r="AL91" s="76">
        <f t="shared" si="212"/>
        <v>2017.4166666666667</v>
      </c>
      <c r="AM91" s="52">
        <f t="shared" si="213"/>
        <v>2019</v>
      </c>
      <c r="AN91" s="52">
        <f t="shared" si="214"/>
        <v>-8.3333333333333329E-2</v>
      </c>
      <c r="AO91" s="46"/>
    </row>
    <row r="92" spans="1:41" ht="15.75">
      <c r="A92" s="55" t="s">
        <v>595</v>
      </c>
      <c r="B92" s="55">
        <v>7</v>
      </c>
      <c r="C92" s="55">
        <v>2008</v>
      </c>
      <c r="D92" s="72">
        <v>52604</v>
      </c>
      <c r="E92" s="73">
        <v>0</v>
      </c>
      <c r="F92" s="58">
        <v>10</v>
      </c>
      <c r="G92" s="52">
        <f t="shared" si="197"/>
        <v>2018</v>
      </c>
      <c r="H92" s="58"/>
      <c r="I92" s="58"/>
      <c r="J92" s="57"/>
      <c r="K92" s="53">
        <f t="shared" si="198"/>
        <v>52604</v>
      </c>
      <c r="L92" s="53">
        <f t="shared" si="199"/>
        <v>438.36666666666662</v>
      </c>
      <c r="M92" s="53">
        <f>+L92*6</f>
        <v>2630.2</v>
      </c>
      <c r="N92" s="53">
        <f>+D92-M92</f>
        <v>49973.8</v>
      </c>
      <c r="O92" s="53">
        <f t="shared" si="202"/>
        <v>52604</v>
      </c>
      <c r="P92" s="299">
        <f t="shared" ref="P92" si="216">+K92-O92</f>
        <v>0</v>
      </c>
      <c r="Q92" s="53">
        <f t="shared" si="204"/>
        <v>0</v>
      </c>
      <c r="R92" s="53">
        <f t="shared" si="205"/>
        <v>2630.2</v>
      </c>
      <c r="S92" s="54">
        <v>1</v>
      </c>
      <c r="T92" s="74">
        <f t="shared" si="215"/>
        <v>2630.2</v>
      </c>
      <c r="U92" s="74"/>
      <c r="V92" s="74"/>
      <c r="W92" s="74"/>
      <c r="X92" s="74"/>
      <c r="Y92" s="74"/>
      <c r="Z92" s="53">
        <f t="shared" si="206"/>
        <v>2630.2</v>
      </c>
      <c r="AA92" s="75">
        <f t="shared" si="207"/>
        <v>0</v>
      </c>
      <c r="AB92" s="75"/>
      <c r="AC92" s="75"/>
      <c r="AD92" s="75"/>
      <c r="AE92" s="75"/>
      <c r="AF92" s="75"/>
      <c r="AG92" s="54">
        <v>1</v>
      </c>
      <c r="AH92" s="53">
        <f t="shared" si="208"/>
        <v>49973.8</v>
      </c>
      <c r="AI92" s="53">
        <f t="shared" si="209"/>
        <v>49973.8</v>
      </c>
      <c r="AJ92" s="76">
        <f t="shared" si="210"/>
        <v>2008.5</v>
      </c>
      <c r="AK92" s="52">
        <f t="shared" si="211"/>
        <v>2018.9166666666667</v>
      </c>
      <c r="AL92" s="76">
        <f t="shared" si="212"/>
        <v>2018.5</v>
      </c>
      <c r="AM92" s="52">
        <f t="shared" si="213"/>
        <v>2019</v>
      </c>
      <c r="AN92" s="52">
        <f t="shared" si="214"/>
        <v>-8.3333333333333329E-2</v>
      </c>
      <c r="AO92" s="46"/>
    </row>
    <row r="93" spans="1:41" ht="15.75">
      <c r="A93" s="55" t="s">
        <v>596</v>
      </c>
      <c r="B93" s="55">
        <v>9</v>
      </c>
      <c r="C93" s="55">
        <v>2009</v>
      </c>
      <c r="D93" s="72">
        <v>52088</v>
      </c>
      <c r="E93" s="73">
        <v>0</v>
      </c>
      <c r="F93" s="58">
        <v>10</v>
      </c>
      <c r="G93" s="52">
        <f t="shared" si="197"/>
        <v>2019</v>
      </c>
      <c r="H93" s="58"/>
      <c r="I93" s="58"/>
      <c r="J93" s="57"/>
      <c r="K93" s="53">
        <f t="shared" si="198"/>
        <v>52088</v>
      </c>
      <c r="L93" s="53">
        <f t="shared" si="199"/>
        <v>434.06666666666666</v>
      </c>
      <c r="M93" s="53">
        <f t="shared" si="200"/>
        <v>5208.8</v>
      </c>
      <c r="N93" s="53">
        <f>+L93*100</f>
        <v>43406.666666666664</v>
      </c>
      <c r="O93" s="53">
        <f t="shared" si="202"/>
        <v>48615.466666666667</v>
      </c>
      <c r="P93" s="299">
        <f t="shared" ref="P93:P110" si="217">((K93-N93)+(K93-O93))/2</f>
        <v>6076.9333333333343</v>
      </c>
      <c r="Q93" s="53">
        <f t="shared" si="204"/>
        <v>0</v>
      </c>
      <c r="R93" s="53">
        <f t="shared" si="205"/>
        <v>5208.8</v>
      </c>
      <c r="S93" s="54">
        <v>1</v>
      </c>
      <c r="T93" s="74">
        <f t="shared" si="215"/>
        <v>5208.8</v>
      </c>
      <c r="U93" s="74"/>
      <c r="V93" s="74"/>
      <c r="W93" s="74"/>
      <c r="X93" s="74"/>
      <c r="Y93" s="74"/>
      <c r="Z93" s="53">
        <f t="shared" si="206"/>
        <v>5208.8</v>
      </c>
      <c r="AA93" s="75">
        <f t="shared" si="207"/>
        <v>6076.9333333333343</v>
      </c>
      <c r="AB93" s="75"/>
      <c r="AC93" s="75"/>
      <c r="AD93" s="75"/>
      <c r="AE93" s="75"/>
      <c r="AF93" s="75"/>
      <c r="AG93" s="54">
        <v>1</v>
      </c>
      <c r="AH93" s="53">
        <f t="shared" si="208"/>
        <v>43406.666666666664</v>
      </c>
      <c r="AI93" s="53">
        <f t="shared" si="209"/>
        <v>43406.666666666664</v>
      </c>
      <c r="AJ93" s="76">
        <f t="shared" si="210"/>
        <v>2009.6666666666667</v>
      </c>
      <c r="AK93" s="52">
        <f t="shared" si="211"/>
        <v>2018.9166666666667</v>
      </c>
      <c r="AL93" s="76">
        <f t="shared" si="212"/>
        <v>2019.6666666666667</v>
      </c>
      <c r="AM93" s="52">
        <f t="shared" si="213"/>
        <v>2019</v>
      </c>
      <c r="AN93" s="52">
        <f t="shared" si="214"/>
        <v>-8.3333333333333329E-2</v>
      </c>
      <c r="AO93" s="46"/>
    </row>
    <row r="94" spans="1:41" ht="15.75">
      <c r="A94" s="55" t="s">
        <v>597</v>
      </c>
      <c r="B94" s="55">
        <v>8</v>
      </c>
      <c r="C94" s="55">
        <v>2013</v>
      </c>
      <c r="D94" s="72">
        <v>23423</v>
      </c>
      <c r="E94" s="73">
        <v>0</v>
      </c>
      <c r="F94" s="58">
        <v>10</v>
      </c>
      <c r="G94" s="52">
        <f t="shared" si="197"/>
        <v>2023</v>
      </c>
      <c r="H94" s="58"/>
      <c r="I94" s="58"/>
      <c r="J94" s="57"/>
      <c r="K94" s="53">
        <f t="shared" si="198"/>
        <v>23423</v>
      </c>
      <c r="L94" s="53">
        <f t="shared" si="199"/>
        <v>195.19166666666669</v>
      </c>
      <c r="M94" s="53">
        <f t="shared" si="200"/>
        <v>2342.3000000000002</v>
      </c>
      <c r="N94" s="53">
        <f>+L94*53</f>
        <v>10345.158333333335</v>
      </c>
      <c r="O94" s="53">
        <f t="shared" si="202"/>
        <v>12687.458333333336</v>
      </c>
      <c r="P94" s="299">
        <f t="shared" si="217"/>
        <v>11906.691666666666</v>
      </c>
      <c r="Q94" s="53">
        <f t="shared" si="204"/>
        <v>0</v>
      </c>
      <c r="R94" s="53">
        <f t="shared" si="205"/>
        <v>2342.3000000000002</v>
      </c>
      <c r="S94" s="54">
        <v>1</v>
      </c>
      <c r="T94" s="74">
        <f t="shared" si="215"/>
        <v>2342.3000000000002</v>
      </c>
      <c r="U94" s="74"/>
      <c r="V94" s="74"/>
      <c r="W94" s="74"/>
      <c r="X94" s="74"/>
      <c r="Y94" s="74"/>
      <c r="Z94" s="53">
        <f t="shared" si="206"/>
        <v>2342.3000000000002</v>
      </c>
      <c r="AA94" s="75">
        <f t="shared" si="207"/>
        <v>11906.691666666666</v>
      </c>
      <c r="AB94" s="75"/>
      <c r="AC94" s="75"/>
      <c r="AD94" s="75"/>
      <c r="AE94" s="75"/>
      <c r="AF94" s="75"/>
      <c r="AG94" s="54">
        <v>1</v>
      </c>
      <c r="AH94" s="53">
        <f t="shared" si="208"/>
        <v>10345.158333333335</v>
      </c>
      <c r="AI94" s="53">
        <f t="shared" si="209"/>
        <v>10345.158333333335</v>
      </c>
      <c r="AJ94" s="76">
        <f t="shared" si="210"/>
        <v>2013.5833333333333</v>
      </c>
      <c r="AK94" s="52">
        <f t="shared" si="211"/>
        <v>2018.9166666666667</v>
      </c>
      <c r="AL94" s="76">
        <f t="shared" si="212"/>
        <v>2023.5833333333333</v>
      </c>
      <c r="AM94" s="52">
        <f t="shared" si="213"/>
        <v>2019</v>
      </c>
      <c r="AN94" s="52">
        <f t="shared" si="214"/>
        <v>-8.3333333333333329E-2</v>
      </c>
      <c r="AO94" s="46"/>
    </row>
    <row r="95" spans="1:41" ht="15.75">
      <c r="A95" s="88" t="s">
        <v>598</v>
      </c>
      <c r="B95" s="55">
        <v>4</v>
      </c>
      <c r="C95" s="55">
        <v>2014</v>
      </c>
      <c r="D95" s="72">
        <v>43331</v>
      </c>
      <c r="E95" s="73">
        <v>0</v>
      </c>
      <c r="F95" s="58">
        <v>10</v>
      </c>
      <c r="G95" s="52">
        <f t="shared" si="197"/>
        <v>2024</v>
      </c>
      <c r="H95" s="58"/>
      <c r="I95" s="58"/>
      <c r="J95" s="57"/>
      <c r="K95" s="53">
        <f t="shared" si="198"/>
        <v>43331</v>
      </c>
      <c r="L95" s="53">
        <f t="shared" si="199"/>
        <v>361.0916666666667</v>
      </c>
      <c r="M95" s="53">
        <f t="shared" si="200"/>
        <v>4333.1000000000004</v>
      </c>
      <c r="N95" s="53">
        <f>+L95*45</f>
        <v>16249.125000000002</v>
      </c>
      <c r="O95" s="53">
        <f t="shared" si="202"/>
        <v>20582.225000000002</v>
      </c>
      <c r="P95" s="299">
        <f t="shared" si="217"/>
        <v>24915.324999999997</v>
      </c>
      <c r="Q95" s="53">
        <f t="shared" si="204"/>
        <v>0</v>
      </c>
      <c r="R95" s="53">
        <f t="shared" si="205"/>
        <v>4333.1000000000004</v>
      </c>
      <c r="S95" s="54">
        <v>1</v>
      </c>
      <c r="T95" s="74">
        <f t="shared" si="215"/>
        <v>4333.1000000000004</v>
      </c>
      <c r="U95" s="74"/>
      <c r="V95" s="74"/>
      <c r="W95" s="74"/>
      <c r="X95" s="74"/>
      <c r="Y95" s="74"/>
      <c r="Z95" s="53">
        <f t="shared" si="206"/>
        <v>4333.1000000000004</v>
      </c>
      <c r="AA95" s="75">
        <f t="shared" si="207"/>
        <v>24915.324999999997</v>
      </c>
      <c r="AB95" s="75"/>
      <c r="AC95" s="75"/>
      <c r="AD95" s="75"/>
      <c r="AE95" s="75"/>
      <c r="AF95" s="75"/>
      <c r="AG95" s="54">
        <v>1</v>
      </c>
      <c r="AH95" s="53">
        <f t="shared" si="208"/>
        <v>16249.125000000002</v>
      </c>
      <c r="AI95" s="53">
        <f t="shared" si="209"/>
        <v>16249.125000000002</v>
      </c>
      <c r="AJ95" s="76">
        <f t="shared" si="210"/>
        <v>2014.25</v>
      </c>
      <c r="AK95" s="52">
        <f t="shared" si="211"/>
        <v>2018.9166666666667</v>
      </c>
      <c r="AL95" s="76">
        <f t="shared" si="212"/>
        <v>2024.25</v>
      </c>
      <c r="AM95" s="52">
        <f t="shared" si="213"/>
        <v>2019</v>
      </c>
      <c r="AN95" s="52">
        <f t="shared" si="214"/>
        <v>-8.3333333333333329E-2</v>
      </c>
      <c r="AO95" s="46"/>
    </row>
    <row r="96" spans="1:41" ht="15.75">
      <c r="A96" s="88" t="s">
        <v>598</v>
      </c>
      <c r="B96" s="55">
        <v>9</v>
      </c>
      <c r="C96" s="55">
        <v>2014</v>
      </c>
      <c r="D96" s="72">
        <v>11717</v>
      </c>
      <c r="E96" s="73">
        <v>0</v>
      </c>
      <c r="F96" s="58">
        <v>10</v>
      </c>
      <c r="G96" s="52">
        <f t="shared" si="197"/>
        <v>2024</v>
      </c>
      <c r="H96" s="58"/>
      <c r="I96" s="58"/>
      <c r="J96" s="57"/>
      <c r="K96" s="53">
        <f t="shared" si="198"/>
        <v>11717</v>
      </c>
      <c r="L96" s="53">
        <f t="shared" si="199"/>
        <v>97.641666666666666</v>
      </c>
      <c r="M96" s="53">
        <f t="shared" si="200"/>
        <v>1171.7</v>
      </c>
      <c r="N96" s="53">
        <f>+L96*40</f>
        <v>3905.6666666666665</v>
      </c>
      <c r="O96" s="53">
        <f t="shared" si="202"/>
        <v>5077.3666666666668</v>
      </c>
      <c r="P96" s="299">
        <f t="shared" si="217"/>
        <v>7225.4833333333336</v>
      </c>
      <c r="Q96" s="53">
        <f t="shared" si="204"/>
        <v>0</v>
      </c>
      <c r="R96" s="53">
        <f t="shared" si="205"/>
        <v>1171.7</v>
      </c>
      <c r="S96" s="54">
        <v>1</v>
      </c>
      <c r="T96" s="74">
        <f t="shared" si="215"/>
        <v>1171.7</v>
      </c>
      <c r="U96" s="74"/>
      <c r="V96" s="74"/>
      <c r="W96" s="74"/>
      <c r="X96" s="74"/>
      <c r="Y96" s="74"/>
      <c r="Z96" s="53">
        <f t="shared" si="206"/>
        <v>1171.7</v>
      </c>
      <c r="AA96" s="75">
        <f t="shared" si="207"/>
        <v>7225.4833333333336</v>
      </c>
      <c r="AB96" s="75"/>
      <c r="AC96" s="75"/>
      <c r="AD96" s="75"/>
      <c r="AE96" s="75"/>
      <c r="AF96" s="75"/>
      <c r="AG96" s="54">
        <v>1</v>
      </c>
      <c r="AH96" s="53">
        <f t="shared" si="208"/>
        <v>3905.6666666666665</v>
      </c>
      <c r="AI96" s="53">
        <f t="shared" si="209"/>
        <v>3905.6666666666665</v>
      </c>
      <c r="AJ96" s="76">
        <f t="shared" si="210"/>
        <v>2014.6666666666667</v>
      </c>
      <c r="AK96" s="52">
        <f t="shared" si="211"/>
        <v>2018.9166666666667</v>
      </c>
      <c r="AL96" s="76">
        <f t="shared" si="212"/>
        <v>2024.6666666666667</v>
      </c>
      <c r="AM96" s="52">
        <f t="shared" si="213"/>
        <v>2019</v>
      </c>
      <c r="AN96" s="52">
        <f t="shared" si="214"/>
        <v>-8.3333333333333329E-2</v>
      </c>
      <c r="AO96" s="46"/>
    </row>
    <row r="97" spans="1:41" ht="15.75">
      <c r="A97" s="88" t="s">
        <v>598</v>
      </c>
      <c r="B97" s="55">
        <v>11</v>
      </c>
      <c r="C97" s="55">
        <v>2014</v>
      </c>
      <c r="D97" s="72">
        <f>14082.43+18415.49+9631.44+8828.82+13644.54</f>
        <v>64602.720000000001</v>
      </c>
      <c r="E97" s="73">
        <v>0</v>
      </c>
      <c r="F97" s="58">
        <v>10</v>
      </c>
      <c r="G97" s="52">
        <f t="shared" si="197"/>
        <v>2024</v>
      </c>
      <c r="H97" s="58"/>
      <c r="I97" s="58"/>
      <c r="J97" s="57"/>
      <c r="K97" s="53">
        <f t="shared" si="198"/>
        <v>64602.720000000001</v>
      </c>
      <c r="L97" s="53">
        <f t="shared" si="199"/>
        <v>538.35599999999999</v>
      </c>
      <c r="M97" s="53">
        <f t="shared" si="200"/>
        <v>6460.2719999999999</v>
      </c>
      <c r="N97" s="53">
        <f>+L97*38</f>
        <v>20457.527999999998</v>
      </c>
      <c r="O97" s="53">
        <f t="shared" si="202"/>
        <v>26917.8</v>
      </c>
      <c r="P97" s="299">
        <f t="shared" si="217"/>
        <v>40915.055999999997</v>
      </c>
      <c r="Q97" s="53">
        <f t="shared" si="204"/>
        <v>0</v>
      </c>
      <c r="R97" s="53">
        <f t="shared" si="205"/>
        <v>6460.2719999999999</v>
      </c>
      <c r="S97" s="54">
        <v>1</v>
      </c>
      <c r="T97" s="74">
        <f t="shared" si="215"/>
        <v>6460.2719999999999</v>
      </c>
      <c r="U97" s="74"/>
      <c r="V97" s="74"/>
      <c r="W97" s="74"/>
      <c r="X97" s="74"/>
      <c r="Y97" s="74"/>
      <c r="Z97" s="53">
        <f t="shared" si="206"/>
        <v>6460.2719999999999</v>
      </c>
      <c r="AA97" s="75">
        <f t="shared" si="207"/>
        <v>40915.055999999997</v>
      </c>
      <c r="AB97" s="75"/>
      <c r="AC97" s="75"/>
      <c r="AD97" s="75"/>
      <c r="AE97" s="75"/>
      <c r="AF97" s="75"/>
      <c r="AG97" s="54">
        <v>1</v>
      </c>
      <c r="AH97" s="53">
        <f t="shared" si="208"/>
        <v>20457.527999999998</v>
      </c>
      <c r="AI97" s="53">
        <f t="shared" si="209"/>
        <v>20457.527999999998</v>
      </c>
      <c r="AJ97" s="76">
        <f t="shared" si="210"/>
        <v>2014.8333333333333</v>
      </c>
      <c r="AK97" s="52">
        <f t="shared" si="211"/>
        <v>2018.9166666666667</v>
      </c>
      <c r="AL97" s="76">
        <f t="shared" si="212"/>
        <v>2024.8333333333333</v>
      </c>
      <c r="AM97" s="52">
        <f t="shared" si="213"/>
        <v>2019</v>
      </c>
      <c r="AN97" s="52">
        <f t="shared" si="214"/>
        <v>-8.3333333333333329E-2</v>
      </c>
      <c r="AO97" s="46"/>
    </row>
    <row r="98" spans="1:41" ht="15.75">
      <c r="A98" s="88" t="s">
        <v>599</v>
      </c>
      <c r="B98" s="55">
        <v>7</v>
      </c>
      <c r="C98" s="55">
        <v>2015</v>
      </c>
      <c r="D98" s="72">
        <f>9041.76+9041.76</f>
        <v>18083.52</v>
      </c>
      <c r="E98" s="73">
        <v>0</v>
      </c>
      <c r="F98" s="58">
        <v>10</v>
      </c>
      <c r="G98" s="52">
        <f t="shared" si="197"/>
        <v>2025</v>
      </c>
      <c r="H98" s="58"/>
      <c r="I98" s="58"/>
      <c r="J98" s="57"/>
      <c r="K98" s="53">
        <f t="shared" si="198"/>
        <v>18083.52</v>
      </c>
      <c r="L98" s="53">
        <f t="shared" si="199"/>
        <v>150.696</v>
      </c>
      <c r="M98" s="53">
        <f t="shared" si="200"/>
        <v>1808.3519999999999</v>
      </c>
      <c r="N98" s="53">
        <f>+L98*30</f>
        <v>4520.88</v>
      </c>
      <c r="O98" s="53">
        <f t="shared" si="202"/>
        <v>6329.232</v>
      </c>
      <c r="P98" s="299">
        <f t="shared" si="217"/>
        <v>12658.464</v>
      </c>
      <c r="Q98" s="53">
        <f t="shared" si="204"/>
        <v>0</v>
      </c>
      <c r="R98" s="53">
        <f t="shared" si="205"/>
        <v>1808.3519999999999</v>
      </c>
      <c r="S98" s="54">
        <v>1</v>
      </c>
      <c r="T98" s="74">
        <f t="shared" si="215"/>
        <v>1808.3519999999999</v>
      </c>
      <c r="U98" s="74"/>
      <c r="V98" s="74"/>
      <c r="W98" s="74"/>
      <c r="X98" s="74"/>
      <c r="Y98" s="74"/>
      <c r="Z98" s="53">
        <f t="shared" si="206"/>
        <v>1808.3519999999999</v>
      </c>
      <c r="AA98" s="75">
        <f t="shared" si="207"/>
        <v>12658.464</v>
      </c>
      <c r="AB98" s="75"/>
      <c r="AC98" s="75"/>
      <c r="AD98" s="75"/>
      <c r="AE98" s="75"/>
      <c r="AF98" s="75"/>
      <c r="AG98" s="54">
        <v>1</v>
      </c>
      <c r="AH98" s="53">
        <f t="shared" si="208"/>
        <v>4520.88</v>
      </c>
      <c r="AI98" s="53">
        <f t="shared" si="209"/>
        <v>4520.88</v>
      </c>
      <c r="AJ98" s="76">
        <f t="shared" si="210"/>
        <v>2015.5</v>
      </c>
      <c r="AK98" s="52">
        <f t="shared" si="211"/>
        <v>2018.9166666666667</v>
      </c>
      <c r="AL98" s="76">
        <f t="shared" si="212"/>
        <v>2025.5</v>
      </c>
      <c r="AM98" s="52">
        <f t="shared" si="213"/>
        <v>2019</v>
      </c>
      <c r="AN98" s="52">
        <f t="shared" si="214"/>
        <v>-8.3333333333333329E-2</v>
      </c>
      <c r="AO98" s="46"/>
    </row>
    <row r="99" spans="1:41" ht="15.75">
      <c r="A99" s="88" t="s">
        <v>599</v>
      </c>
      <c r="B99" s="55">
        <v>11</v>
      </c>
      <c r="C99" s="55">
        <v>2015</v>
      </c>
      <c r="D99" s="72">
        <v>5964</v>
      </c>
      <c r="E99" s="73">
        <v>0</v>
      </c>
      <c r="F99" s="58">
        <v>10</v>
      </c>
      <c r="G99" s="52">
        <f t="shared" si="197"/>
        <v>2025</v>
      </c>
      <c r="H99" s="58"/>
      <c r="I99" s="58"/>
      <c r="J99" s="57"/>
      <c r="K99" s="53">
        <f t="shared" si="198"/>
        <v>5964</v>
      </c>
      <c r="L99" s="53">
        <f t="shared" si="199"/>
        <v>49.699999999999996</v>
      </c>
      <c r="M99" s="53">
        <f t="shared" si="200"/>
        <v>596.4</v>
      </c>
      <c r="N99" s="53">
        <f>+L99*26</f>
        <v>1292.1999999999998</v>
      </c>
      <c r="O99" s="53">
        <f t="shared" si="202"/>
        <v>1888.6</v>
      </c>
      <c r="P99" s="299">
        <f t="shared" si="217"/>
        <v>4373.6000000000004</v>
      </c>
      <c r="Q99" s="53">
        <f t="shared" si="204"/>
        <v>0</v>
      </c>
      <c r="R99" s="53">
        <f t="shared" si="205"/>
        <v>596.4</v>
      </c>
      <c r="S99" s="54">
        <v>1</v>
      </c>
      <c r="T99" s="74">
        <f t="shared" si="215"/>
        <v>596.4</v>
      </c>
      <c r="U99" s="74"/>
      <c r="V99" s="74"/>
      <c r="W99" s="74"/>
      <c r="X99" s="74"/>
      <c r="Y99" s="74"/>
      <c r="Z99" s="53">
        <f t="shared" si="206"/>
        <v>596.4</v>
      </c>
      <c r="AA99" s="75">
        <f t="shared" si="207"/>
        <v>4373.6000000000004</v>
      </c>
      <c r="AB99" s="75"/>
      <c r="AC99" s="75"/>
      <c r="AD99" s="75"/>
      <c r="AE99" s="75"/>
      <c r="AF99" s="75"/>
      <c r="AG99" s="54">
        <v>1</v>
      </c>
      <c r="AH99" s="53">
        <f t="shared" si="208"/>
        <v>1292.1999999999998</v>
      </c>
      <c r="AI99" s="53">
        <f t="shared" si="209"/>
        <v>1292.1999999999998</v>
      </c>
      <c r="AJ99" s="76">
        <f t="shared" si="210"/>
        <v>2015.8333333333333</v>
      </c>
      <c r="AK99" s="52">
        <f t="shared" si="211"/>
        <v>2018.9166666666667</v>
      </c>
      <c r="AL99" s="76">
        <f t="shared" si="212"/>
        <v>2025.8333333333333</v>
      </c>
      <c r="AM99" s="52">
        <f t="shared" si="213"/>
        <v>2019</v>
      </c>
      <c r="AN99" s="52">
        <f t="shared" si="214"/>
        <v>-8.3333333333333329E-2</v>
      </c>
      <c r="AO99" s="46"/>
    </row>
    <row r="100" spans="1:41" ht="15.75">
      <c r="A100" s="88" t="s">
        <v>600</v>
      </c>
      <c r="B100" s="55">
        <v>2</v>
      </c>
      <c r="C100" s="55">
        <v>2016</v>
      </c>
      <c r="D100" s="72">
        <f>8293.74+10663.38+10663.38</f>
        <v>29620.5</v>
      </c>
      <c r="E100" s="73">
        <v>0</v>
      </c>
      <c r="F100" s="58">
        <v>10</v>
      </c>
      <c r="G100" s="52">
        <f t="shared" si="197"/>
        <v>2026</v>
      </c>
      <c r="H100" s="58"/>
      <c r="I100" s="58"/>
      <c r="J100" s="57"/>
      <c r="K100" s="53">
        <f t="shared" si="198"/>
        <v>29620.5</v>
      </c>
      <c r="L100" s="53">
        <f t="shared" si="199"/>
        <v>246.83750000000001</v>
      </c>
      <c r="M100" s="53">
        <f t="shared" si="200"/>
        <v>2962.05</v>
      </c>
      <c r="N100" s="53">
        <f>+L100*22</f>
        <v>5430.4250000000002</v>
      </c>
      <c r="O100" s="53">
        <f t="shared" si="202"/>
        <v>8392.4750000000004</v>
      </c>
      <c r="P100" s="299">
        <f t="shared" si="217"/>
        <v>22709.050000000003</v>
      </c>
      <c r="Q100" s="53">
        <f t="shared" si="204"/>
        <v>0</v>
      </c>
      <c r="R100" s="53">
        <f t="shared" si="205"/>
        <v>2962.05</v>
      </c>
      <c r="S100" s="54">
        <v>1</v>
      </c>
      <c r="T100" s="74">
        <f t="shared" si="215"/>
        <v>2962.05</v>
      </c>
      <c r="U100" s="74"/>
      <c r="V100" s="74"/>
      <c r="W100" s="74"/>
      <c r="X100" s="74"/>
      <c r="Y100" s="74"/>
      <c r="Z100" s="53">
        <f t="shared" si="206"/>
        <v>2962.05</v>
      </c>
      <c r="AA100" s="75">
        <f t="shared" si="207"/>
        <v>22709.050000000003</v>
      </c>
      <c r="AB100" s="75"/>
      <c r="AC100" s="75"/>
      <c r="AD100" s="75"/>
      <c r="AE100" s="75"/>
      <c r="AF100" s="75"/>
      <c r="AG100" s="54">
        <v>1</v>
      </c>
      <c r="AH100" s="53">
        <f t="shared" si="208"/>
        <v>5430.4250000000002</v>
      </c>
      <c r="AI100" s="53">
        <f t="shared" si="209"/>
        <v>5430.4250000000002</v>
      </c>
      <c r="AJ100" s="76">
        <f t="shared" si="210"/>
        <v>2016.0833333333333</v>
      </c>
      <c r="AK100" s="52">
        <f t="shared" si="211"/>
        <v>2018.9166666666667</v>
      </c>
      <c r="AL100" s="76">
        <f t="shared" si="212"/>
        <v>2026.0833333333333</v>
      </c>
      <c r="AM100" s="52">
        <f t="shared" si="213"/>
        <v>2019</v>
      </c>
      <c r="AN100" s="52">
        <f t="shared" si="214"/>
        <v>-8.3333333333333329E-2</v>
      </c>
      <c r="AO100" s="46"/>
    </row>
    <row r="101" spans="1:41" ht="15.75">
      <c r="A101" s="88" t="s">
        <v>601</v>
      </c>
      <c r="B101" s="55">
        <v>7</v>
      </c>
      <c r="C101" s="55">
        <v>2017</v>
      </c>
      <c r="D101" s="72">
        <f>18466.9+10691.36+2185.23+7306.02+1524.83+29224.08+4574.49</f>
        <v>73972.910000000018</v>
      </c>
      <c r="E101" s="73">
        <v>0</v>
      </c>
      <c r="F101" s="58">
        <v>10</v>
      </c>
      <c r="G101" s="52">
        <f t="shared" si="197"/>
        <v>2027</v>
      </c>
      <c r="H101" s="58"/>
      <c r="I101" s="58"/>
      <c r="J101" s="57"/>
      <c r="K101" s="53">
        <f t="shared" si="198"/>
        <v>73972.910000000018</v>
      </c>
      <c r="L101" s="53">
        <f t="shared" si="199"/>
        <v>616.44091666666679</v>
      </c>
      <c r="M101" s="53">
        <f>+L101*12</f>
        <v>7397.2910000000011</v>
      </c>
      <c r="N101" s="53">
        <f>+L101*6</f>
        <v>3698.6455000000005</v>
      </c>
      <c r="O101" s="53">
        <f t="shared" si="202"/>
        <v>11095.936500000002</v>
      </c>
      <c r="P101" s="299">
        <f t="shared" si="217"/>
        <v>66575.619000000021</v>
      </c>
      <c r="Q101" s="53">
        <f t="shared" si="204"/>
        <v>0</v>
      </c>
      <c r="R101" s="53">
        <f t="shared" si="205"/>
        <v>7397.2910000000011</v>
      </c>
      <c r="S101" s="54">
        <v>1</v>
      </c>
      <c r="T101" s="74">
        <f t="shared" si="215"/>
        <v>7397.2910000000011</v>
      </c>
      <c r="U101" s="74"/>
      <c r="V101" s="74"/>
      <c r="W101" s="74"/>
      <c r="X101" s="74"/>
      <c r="Y101" s="74"/>
      <c r="Z101" s="53">
        <f t="shared" si="206"/>
        <v>7397.2910000000011</v>
      </c>
      <c r="AA101" s="75">
        <f t="shared" si="207"/>
        <v>66575.619000000021</v>
      </c>
      <c r="AB101" s="75"/>
      <c r="AC101" s="75"/>
      <c r="AD101" s="75"/>
      <c r="AE101" s="75"/>
      <c r="AF101" s="75"/>
      <c r="AG101" s="54">
        <v>1</v>
      </c>
      <c r="AH101" s="53">
        <f t="shared" si="208"/>
        <v>3698.6455000000005</v>
      </c>
      <c r="AI101" s="53">
        <f t="shared" si="209"/>
        <v>3698.6455000000005</v>
      </c>
      <c r="AJ101" s="76">
        <f t="shared" si="210"/>
        <v>2017.5</v>
      </c>
      <c r="AK101" s="52">
        <f t="shared" si="211"/>
        <v>2018.9166666666667</v>
      </c>
      <c r="AL101" s="76">
        <f t="shared" si="212"/>
        <v>2027.5</v>
      </c>
      <c r="AM101" s="52">
        <f t="shared" si="213"/>
        <v>2019</v>
      </c>
      <c r="AN101" s="52">
        <f t="shared" si="214"/>
        <v>-8.3333333333333329E-2</v>
      </c>
      <c r="AO101" s="46"/>
    </row>
    <row r="102" spans="1:41" ht="15.75">
      <c r="A102" s="88" t="s">
        <v>601</v>
      </c>
      <c r="B102" s="55">
        <v>9</v>
      </c>
      <c r="C102" s="55">
        <v>2017</v>
      </c>
      <c r="D102" s="72">
        <f>7624.15+7624.15</f>
        <v>15248.3</v>
      </c>
      <c r="E102" s="73">
        <v>0</v>
      </c>
      <c r="F102" s="58">
        <v>10</v>
      </c>
      <c r="G102" s="52">
        <f t="shared" si="197"/>
        <v>2027</v>
      </c>
      <c r="H102" s="58"/>
      <c r="I102" s="58"/>
      <c r="J102" s="57"/>
      <c r="K102" s="53">
        <f t="shared" si="198"/>
        <v>15248.3</v>
      </c>
      <c r="L102" s="53">
        <f t="shared" si="199"/>
        <v>127.06916666666666</v>
      </c>
      <c r="M102" s="53">
        <f t="shared" ref="M102:M110" si="218">+L102*12</f>
        <v>1524.83</v>
      </c>
      <c r="N102" s="53">
        <f>+L102*4</f>
        <v>508.27666666666664</v>
      </c>
      <c r="O102" s="53">
        <f t="shared" si="202"/>
        <v>2033.1066666666666</v>
      </c>
      <c r="P102" s="299">
        <f t="shared" si="217"/>
        <v>13977.608333333334</v>
      </c>
      <c r="Q102" s="53">
        <f t="shared" si="204"/>
        <v>0</v>
      </c>
      <c r="R102" s="53">
        <f t="shared" si="205"/>
        <v>1524.83</v>
      </c>
      <c r="S102" s="54">
        <v>1</v>
      </c>
      <c r="T102" s="74">
        <f t="shared" si="215"/>
        <v>1524.83</v>
      </c>
      <c r="U102" s="74"/>
      <c r="V102" s="74"/>
      <c r="W102" s="74"/>
      <c r="X102" s="74"/>
      <c r="Y102" s="74"/>
      <c r="Z102" s="53">
        <f t="shared" si="206"/>
        <v>1524.83</v>
      </c>
      <c r="AA102" s="75">
        <f t="shared" si="207"/>
        <v>13977.608333333334</v>
      </c>
      <c r="AB102" s="75"/>
      <c r="AC102" s="75"/>
      <c r="AD102" s="75"/>
      <c r="AE102" s="75"/>
      <c r="AF102" s="75"/>
      <c r="AG102" s="54">
        <v>1</v>
      </c>
      <c r="AH102" s="53">
        <f t="shared" si="208"/>
        <v>508.27666666666664</v>
      </c>
      <c r="AI102" s="53">
        <f t="shared" si="209"/>
        <v>508.27666666666664</v>
      </c>
      <c r="AJ102" s="76">
        <f t="shared" si="210"/>
        <v>2017.6666666666667</v>
      </c>
      <c r="AK102" s="52">
        <f t="shared" si="211"/>
        <v>2018.9166666666667</v>
      </c>
      <c r="AL102" s="76">
        <f t="shared" si="212"/>
        <v>2027.6666666666667</v>
      </c>
      <c r="AM102" s="52">
        <f t="shared" si="213"/>
        <v>2019</v>
      </c>
      <c r="AN102" s="52">
        <f t="shared" si="214"/>
        <v>-8.3333333333333329E-2</v>
      </c>
      <c r="AO102" s="46"/>
    </row>
    <row r="103" spans="1:41" ht="15.75">
      <c r="A103" s="88" t="s">
        <v>602</v>
      </c>
      <c r="B103" s="55">
        <v>2</v>
      </c>
      <c r="C103" s="55">
        <v>2018</v>
      </c>
      <c r="D103" s="72">
        <v>9050</v>
      </c>
      <c r="E103" s="73">
        <v>0</v>
      </c>
      <c r="F103" s="58">
        <v>10</v>
      </c>
      <c r="G103" s="52">
        <f t="shared" si="197"/>
        <v>2028</v>
      </c>
      <c r="H103" s="58"/>
      <c r="I103" s="58"/>
      <c r="J103" s="57"/>
      <c r="K103" s="53">
        <f t="shared" si="198"/>
        <v>9050</v>
      </c>
      <c r="L103" s="53">
        <f t="shared" si="199"/>
        <v>75.416666666666671</v>
      </c>
      <c r="M103" s="53">
        <f t="shared" si="218"/>
        <v>905</v>
      </c>
      <c r="N103" s="53">
        <v>0</v>
      </c>
      <c r="O103" s="53">
        <f t="shared" si="202"/>
        <v>905</v>
      </c>
      <c r="P103" s="299">
        <f t="shared" si="217"/>
        <v>8597.5</v>
      </c>
      <c r="Q103" s="53">
        <f t="shared" si="204"/>
        <v>0</v>
      </c>
      <c r="R103" s="53">
        <f t="shared" si="205"/>
        <v>905</v>
      </c>
      <c r="S103" s="54">
        <v>1</v>
      </c>
      <c r="T103" s="74">
        <f t="shared" si="215"/>
        <v>905</v>
      </c>
      <c r="U103" s="74"/>
      <c r="V103" s="74"/>
      <c r="W103" s="74"/>
      <c r="X103" s="74"/>
      <c r="Y103" s="74"/>
      <c r="Z103" s="53">
        <f t="shared" si="206"/>
        <v>905</v>
      </c>
      <c r="AA103" s="75">
        <f t="shared" si="207"/>
        <v>8597.5</v>
      </c>
      <c r="AB103" s="75"/>
      <c r="AC103" s="75"/>
      <c r="AD103" s="75"/>
      <c r="AE103" s="75"/>
      <c r="AF103" s="75"/>
      <c r="AG103" s="54">
        <v>1</v>
      </c>
      <c r="AH103" s="53">
        <f t="shared" si="208"/>
        <v>0</v>
      </c>
      <c r="AI103" s="53">
        <f t="shared" si="209"/>
        <v>0</v>
      </c>
      <c r="AJ103" s="76">
        <f t="shared" si="210"/>
        <v>2018.0833333333333</v>
      </c>
      <c r="AK103" s="52">
        <f t="shared" si="211"/>
        <v>2018.9166666666667</v>
      </c>
      <c r="AL103" s="76">
        <f t="shared" si="212"/>
        <v>2028.0833333333333</v>
      </c>
      <c r="AM103" s="52">
        <f t="shared" si="213"/>
        <v>2019</v>
      </c>
      <c r="AN103" s="52">
        <f t="shared" si="214"/>
        <v>-8.3333333333333329E-2</v>
      </c>
      <c r="AO103" s="46"/>
    </row>
    <row r="104" spans="1:41" ht="15.75">
      <c r="A104" s="88" t="s">
        <v>602</v>
      </c>
      <c r="B104" s="55">
        <v>3</v>
      </c>
      <c r="C104" s="55">
        <v>2018</v>
      </c>
      <c r="D104" s="72">
        <v>29158</v>
      </c>
      <c r="E104" s="73">
        <v>0</v>
      </c>
      <c r="F104" s="58">
        <v>10</v>
      </c>
      <c r="G104" s="52">
        <f t="shared" si="197"/>
        <v>2028</v>
      </c>
      <c r="H104" s="58"/>
      <c r="I104" s="58"/>
      <c r="J104" s="57"/>
      <c r="K104" s="53">
        <f t="shared" si="198"/>
        <v>29158</v>
      </c>
      <c r="L104" s="53">
        <f t="shared" si="199"/>
        <v>242.98333333333335</v>
      </c>
      <c r="M104" s="53">
        <f t="shared" si="218"/>
        <v>2915.8</v>
      </c>
      <c r="N104" s="53">
        <v>0</v>
      </c>
      <c r="O104" s="53">
        <f t="shared" si="202"/>
        <v>2915.8</v>
      </c>
      <c r="P104" s="299">
        <f t="shared" si="217"/>
        <v>27700.1</v>
      </c>
      <c r="Q104" s="53">
        <f t="shared" si="204"/>
        <v>0</v>
      </c>
      <c r="R104" s="53">
        <f t="shared" si="205"/>
        <v>2915.8</v>
      </c>
      <c r="S104" s="54">
        <v>1</v>
      </c>
      <c r="T104" s="74">
        <f t="shared" si="215"/>
        <v>2915.8</v>
      </c>
      <c r="U104" s="74"/>
      <c r="V104" s="74"/>
      <c r="W104" s="74"/>
      <c r="X104" s="74"/>
      <c r="Y104" s="74"/>
      <c r="Z104" s="53">
        <f t="shared" si="206"/>
        <v>2915.8</v>
      </c>
      <c r="AA104" s="75">
        <f t="shared" si="207"/>
        <v>27700.1</v>
      </c>
      <c r="AB104" s="75"/>
      <c r="AC104" s="75"/>
      <c r="AD104" s="75"/>
      <c r="AE104" s="75"/>
      <c r="AF104" s="75"/>
      <c r="AG104" s="54">
        <v>1</v>
      </c>
      <c r="AH104" s="53">
        <f t="shared" si="208"/>
        <v>0</v>
      </c>
      <c r="AI104" s="53">
        <f t="shared" si="209"/>
        <v>0</v>
      </c>
      <c r="AJ104" s="76">
        <f t="shared" si="210"/>
        <v>2018.1666666666667</v>
      </c>
      <c r="AK104" s="52">
        <f t="shared" si="211"/>
        <v>2018.9166666666667</v>
      </c>
      <c r="AL104" s="76">
        <f t="shared" si="212"/>
        <v>2028.1666666666667</v>
      </c>
      <c r="AM104" s="52">
        <f t="shared" si="213"/>
        <v>2019</v>
      </c>
      <c r="AN104" s="52">
        <f t="shared" si="214"/>
        <v>-8.3333333333333329E-2</v>
      </c>
      <c r="AO104" s="46"/>
    </row>
    <row r="105" spans="1:41" ht="15.75">
      <c r="A105" s="88" t="s">
        <v>602</v>
      </c>
      <c r="B105" s="55">
        <v>4</v>
      </c>
      <c r="C105" s="55">
        <v>2018</v>
      </c>
      <c r="D105" s="72">
        <f>4388+2593+19439</f>
        <v>26420</v>
      </c>
      <c r="E105" s="73">
        <v>0</v>
      </c>
      <c r="F105" s="58">
        <v>10</v>
      </c>
      <c r="G105" s="52">
        <f t="shared" si="197"/>
        <v>2028</v>
      </c>
      <c r="H105" s="58"/>
      <c r="I105" s="58"/>
      <c r="J105" s="57"/>
      <c r="K105" s="53">
        <f t="shared" si="198"/>
        <v>26420</v>
      </c>
      <c r="L105" s="53">
        <f t="shared" si="199"/>
        <v>220.16666666666666</v>
      </c>
      <c r="M105" s="53">
        <f t="shared" si="218"/>
        <v>2642</v>
      </c>
      <c r="N105" s="53">
        <v>0</v>
      </c>
      <c r="O105" s="53">
        <f t="shared" si="202"/>
        <v>2642</v>
      </c>
      <c r="P105" s="299">
        <f t="shared" si="217"/>
        <v>25099</v>
      </c>
      <c r="Q105" s="53">
        <f t="shared" si="204"/>
        <v>0</v>
      </c>
      <c r="R105" s="53">
        <f t="shared" si="205"/>
        <v>2642</v>
      </c>
      <c r="S105" s="54">
        <v>1</v>
      </c>
      <c r="T105" s="74">
        <f t="shared" si="215"/>
        <v>2642</v>
      </c>
      <c r="U105" s="74"/>
      <c r="V105" s="74"/>
      <c r="W105" s="74"/>
      <c r="X105" s="74"/>
      <c r="Y105" s="74"/>
      <c r="Z105" s="53">
        <f t="shared" si="206"/>
        <v>2642</v>
      </c>
      <c r="AA105" s="75">
        <f t="shared" si="207"/>
        <v>25099</v>
      </c>
      <c r="AB105" s="75"/>
      <c r="AC105" s="75"/>
      <c r="AD105" s="75"/>
      <c r="AE105" s="75"/>
      <c r="AF105" s="75"/>
      <c r="AG105" s="54">
        <v>1</v>
      </c>
      <c r="AH105" s="53">
        <f t="shared" si="208"/>
        <v>0</v>
      </c>
      <c r="AI105" s="53">
        <f t="shared" si="209"/>
        <v>0</v>
      </c>
      <c r="AJ105" s="76">
        <f t="shared" si="210"/>
        <v>2018.25</v>
      </c>
      <c r="AK105" s="52">
        <f t="shared" si="211"/>
        <v>2018.9166666666667</v>
      </c>
      <c r="AL105" s="76">
        <f t="shared" si="212"/>
        <v>2028.25</v>
      </c>
      <c r="AM105" s="52">
        <f t="shared" si="213"/>
        <v>2019</v>
      </c>
      <c r="AN105" s="52">
        <f t="shared" si="214"/>
        <v>-8.3333333333333329E-2</v>
      </c>
      <c r="AO105" s="46"/>
    </row>
    <row r="106" spans="1:41" ht="15.75">
      <c r="A106" s="88" t="s">
        <v>1401</v>
      </c>
      <c r="B106" s="55">
        <v>12</v>
      </c>
      <c r="C106" s="55">
        <v>2018</v>
      </c>
      <c r="D106" s="72">
        <f>14776.59+9851.06</f>
        <v>24627.65</v>
      </c>
      <c r="E106" s="73">
        <v>0</v>
      </c>
      <c r="F106" s="58">
        <v>10</v>
      </c>
      <c r="G106" s="52">
        <f t="shared" si="197"/>
        <v>2028</v>
      </c>
      <c r="H106" s="58"/>
      <c r="I106" s="58"/>
      <c r="J106" s="57"/>
      <c r="K106" s="53">
        <f t="shared" si="198"/>
        <v>24627.65</v>
      </c>
      <c r="L106" s="53">
        <f t="shared" si="199"/>
        <v>205.23041666666668</v>
      </c>
      <c r="M106" s="53">
        <f t="shared" si="218"/>
        <v>2462.7650000000003</v>
      </c>
      <c r="N106" s="53"/>
      <c r="O106" s="53">
        <f t="shared" si="202"/>
        <v>2462.7650000000003</v>
      </c>
      <c r="P106" s="299">
        <f t="shared" si="217"/>
        <v>23396.267500000002</v>
      </c>
      <c r="Q106" s="53">
        <f t="shared" si="204"/>
        <v>0</v>
      </c>
      <c r="R106" s="53">
        <f t="shared" si="205"/>
        <v>2462.7650000000003</v>
      </c>
      <c r="S106" s="54">
        <v>1</v>
      </c>
      <c r="T106" s="74">
        <f t="shared" si="215"/>
        <v>2462.7650000000003</v>
      </c>
      <c r="U106" s="74"/>
      <c r="V106" s="74"/>
      <c r="W106" s="74"/>
      <c r="X106" s="74"/>
      <c r="Y106" s="74"/>
      <c r="Z106" s="53">
        <f t="shared" si="206"/>
        <v>2462.7650000000003</v>
      </c>
      <c r="AA106" s="75">
        <f t="shared" si="207"/>
        <v>23396.267500000002</v>
      </c>
      <c r="AB106" s="75">
        <f t="shared" ref="AB106:AB108" si="219">Q106*T106</f>
        <v>0</v>
      </c>
      <c r="AC106" s="75">
        <f t="shared" ref="AC106:AC108" si="220">R106*U106</f>
        <v>0</v>
      </c>
      <c r="AD106" s="75">
        <f t="shared" ref="AD106:AD108" si="221">S106*V106</f>
        <v>0</v>
      </c>
      <c r="AE106" s="75">
        <f t="shared" ref="AE106:AE108" si="222">T106*W106</f>
        <v>0</v>
      </c>
      <c r="AF106" s="75">
        <f t="shared" ref="AF106:AF108" si="223">U106*X106</f>
        <v>0</v>
      </c>
      <c r="AG106" s="54">
        <v>1</v>
      </c>
      <c r="AH106" s="53">
        <f t="shared" si="208"/>
        <v>0</v>
      </c>
      <c r="AI106" s="53">
        <f t="shared" si="209"/>
        <v>0</v>
      </c>
      <c r="AJ106" s="76">
        <f t="shared" si="210"/>
        <v>2018.9166666666667</v>
      </c>
      <c r="AK106" s="52">
        <f t="shared" si="211"/>
        <v>2018.9166666666667</v>
      </c>
      <c r="AL106" s="76">
        <f t="shared" si="212"/>
        <v>2028.9166666666667</v>
      </c>
      <c r="AM106" s="52">
        <f t="shared" si="213"/>
        <v>2019</v>
      </c>
      <c r="AN106" s="52">
        <f t="shared" si="214"/>
        <v>-8.3333333333333329E-2</v>
      </c>
      <c r="AO106" s="46"/>
    </row>
    <row r="107" spans="1:41" ht="15.75">
      <c r="A107" s="88" t="s">
        <v>1402</v>
      </c>
      <c r="B107" s="55">
        <v>12</v>
      </c>
      <c r="C107" s="55">
        <v>2018</v>
      </c>
      <c r="D107" s="72">
        <f>10849.33+16274</f>
        <v>27123.33</v>
      </c>
      <c r="E107" s="73">
        <v>0</v>
      </c>
      <c r="F107" s="58">
        <v>10</v>
      </c>
      <c r="G107" s="52">
        <f t="shared" si="197"/>
        <v>2028</v>
      </c>
      <c r="H107" s="58"/>
      <c r="I107" s="58"/>
      <c r="J107" s="57"/>
      <c r="K107" s="53">
        <f t="shared" si="198"/>
        <v>27123.33</v>
      </c>
      <c r="L107" s="53">
        <f t="shared" si="199"/>
        <v>226.02775</v>
      </c>
      <c r="M107" s="53">
        <f t="shared" si="218"/>
        <v>2712.3330000000001</v>
      </c>
      <c r="N107" s="53"/>
      <c r="O107" s="53">
        <f t="shared" si="202"/>
        <v>2712.3330000000001</v>
      </c>
      <c r="P107" s="299">
        <f t="shared" si="217"/>
        <v>25767.163500000002</v>
      </c>
      <c r="Q107" s="53">
        <f t="shared" si="204"/>
        <v>0</v>
      </c>
      <c r="R107" s="53">
        <f t="shared" si="205"/>
        <v>2712.3330000000001</v>
      </c>
      <c r="S107" s="54">
        <v>1</v>
      </c>
      <c r="T107" s="74">
        <f t="shared" si="215"/>
        <v>2712.3330000000001</v>
      </c>
      <c r="U107" s="74"/>
      <c r="V107" s="74"/>
      <c r="W107" s="74"/>
      <c r="X107" s="74"/>
      <c r="Y107" s="74"/>
      <c r="Z107" s="53">
        <f t="shared" si="206"/>
        <v>2712.3330000000001</v>
      </c>
      <c r="AA107" s="75">
        <f t="shared" si="207"/>
        <v>25767.163500000002</v>
      </c>
      <c r="AB107" s="75">
        <f t="shared" si="219"/>
        <v>0</v>
      </c>
      <c r="AC107" s="75">
        <f t="shared" si="220"/>
        <v>0</v>
      </c>
      <c r="AD107" s="75">
        <f t="shared" si="221"/>
        <v>0</v>
      </c>
      <c r="AE107" s="75">
        <f t="shared" si="222"/>
        <v>0</v>
      </c>
      <c r="AF107" s="75">
        <f t="shared" si="223"/>
        <v>0</v>
      </c>
      <c r="AG107" s="54">
        <v>1</v>
      </c>
      <c r="AH107" s="53">
        <f t="shared" si="208"/>
        <v>0</v>
      </c>
      <c r="AI107" s="53">
        <f t="shared" si="209"/>
        <v>0</v>
      </c>
      <c r="AJ107" s="76">
        <f t="shared" si="210"/>
        <v>2018.9166666666667</v>
      </c>
      <c r="AK107" s="52">
        <f t="shared" si="211"/>
        <v>2018.9166666666667</v>
      </c>
      <c r="AL107" s="76">
        <f t="shared" si="212"/>
        <v>2028.9166666666667</v>
      </c>
      <c r="AM107" s="52">
        <f t="shared" si="213"/>
        <v>2019</v>
      </c>
      <c r="AN107" s="52">
        <f t="shared" si="214"/>
        <v>-8.3333333333333329E-2</v>
      </c>
      <c r="AO107" s="46"/>
    </row>
    <row r="108" spans="1:41" ht="15.75">
      <c r="A108" s="88" t="s">
        <v>1403</v>
      </c>
      <c r="B108" s="55">
        <v>12</v>
      </c>
      <c r="C108" s="55">
        <v>2018</v>
      </c>
      <c r="D108" s="72">
        <f>15149.57+15149.57+15149.57+877.6</f>
        <v>46326.31</v>
      </c>
      <c r="E108" s="73">
        <v>0</v>
      </c>
      <c r="F108" s="58">
        <v>10</v>
      </c>
      <c r="G108" s="52">
        <f t="shared" si="197"/>
        <v>2028</v>
      </c>
      <c r="H108" s="58"/>
      <c r="I108" s="58"/>
      <c r="J108" s="57"/>
      <c r="K108" s="53">
        <f t="shared" si="198"/>
        <v>46326.31</v>
      </c>
      <c r="L108" s="53">
        <f t="shared" si="199"/>
        <v>386.0525833333333</v>
      </c>
      <c r="M108" s="53">
        <f t="shared" si="218"/>
        <v>4632.6309999999994</v>
      </c>
      <c r="N108" s="53"/>
      <c r="O108" s="53">
        <f t="shared" si="202"/>
        <v>4632.6309999999994</v>
      </c>
      <c r="P108" s="299">
        <f t="shared" si="217"/>
        <v>44009.994500000001</v>
      </c>
      <c r="Q108" s="53">
        <f t="shared" si="204"/>
        <v>0</v>
      </c>
      <c r="R108" s="53">
        <f t="shared" si="205"/>
        <v>4632.6309999999994</v>
      </c>
      <c r="S108" s="54">
        <v>1</v>
      </c>
      <c r="T108" s="74">
        <f t="shared" si="215"/>
        <v>4632.6309999999994</v>
      </c>
      <c r="U108" s="74"/>
      <c r="V108" s="74"/>
      <c r="W108" s="74"/>
      <c r="X108" s="74"/>
      <c r="Y108" s="74"/>
      <c r="Z108" s="53">
        <f t="shared" si="206"/>
        <v>4632.6309999999994</v>
      </c>
      <c r="AA108" s="75">
        <f t="shared" si="207"/>
        <v>44009.994500000001</v>
      </c>
      <c r="AB108" s="75">
        <f t="shared" si="219"/>
        <v>0</v>
      </c>
      <c r="AC108" s="75">
        <f t="shared" si="220"/>
        <v>0</v>
      </c>
      <c r="AD108" s="75">
        <f t="shared" si="221"/>
        <v>0</v>
      </c>
      <c r="AE108" s="75">
        <f t="shared" si="222"/>
        <v>0</v>
      </c>
      <c r="AF108" s="75">
        <f t="shared" si="223"/>
        <v>0</v>
      </c>
      <c r="AG108" s="54">
        <v>1</v>
      </c>
      <c r="AH108" s="53">
        <f t="shared" si="208"/>
        <v>0</v>
      </c>
      <c r="AI108" s="53">
        <f t="shared" si="209"/>
        <v>0</v>
      </c>
      <c r="AJ108" s="76">
        <f t="shared" si="210"/>
        <v>2018.9166666666667</v>
      </c>
      <c r="AK108" s="52">
        <f t="shared" si="211"/>
        <v>2018.9166666666667</v>
      </c>
      <c r="AL108" s="76">
        <f t="shared" si="212"/>
        <v>2028.9166666666667</v>
      </c>
      <c r="AM108" s="52">
        <f t="shared" si="213"/>
        <v>2019</v>
      </c>
      <c r="AN108" s="52">
        <f t="shared" si="214"/>
        <v>-8.3333333333333329E-2</v>
      </c>
      <c r="AO108" s="46"/>
    </row>
    <row r="109" spans="1:41" ht="15.75">
      <c r="A109" s="88" t="s">
        <v>602</v>
      </c>
      <c r="B109" s="55">
        <v>5</v>
      </c>
      <c r="C109" s="55">
        <v>2018</v>
      </c>
      <c r="D109" s="72">
        <f>17047.38+14612.04+17047.38</f>
        <v>48706.8</v>
      </c>
      <c r="E109" s="73">
        <v>0</v>
      </c>
      <c r="F109" s="58">
        <v>10</v>
      </c>
      <c r="G109" s="52">
        <f t="shared" si="197"/>
        <v>2028</v>
      </c>
      <c r="H109" s="58"/>
      <c r="I109" s="58"/>
      <c r="J109" s="57"/>
      <c r="K109" s="53">
        <f t="shared" si="198"/>
        <v>48706.8</v>
      </c>
      <c r="L109" s="53">
        <f t="shared" si="199"/>
        <v>405.89000000000004</v>
      </c>
      <c r="M109" s="53">
        <f t="shared" si="218"/>
        <v>4870.68</v>
      </c>
      <c r="N109" s="53">
        <v>0</v>
      </c>
      <c r="O109" s="53">
        <f t="shared" si="202"/>
        <v>4870.68</v>
      </c>
      <c r="P109" s="299">
        <f t="shared" si="217"/>
        <v>46271.460000000006</v>
      </c>
      <c r="Q109" s="53">
        <f t="shared" si="204"/>
        <v>0</v>
      </c>
      <c r="R109" s="53">
        <f t="shared" si="205"/>
        <v>4870.68</v>
      </c>
      <c r="S109" s="54">
        <v>1</v>
      </c>
      <c r="T109" s="74">
        <f t="shared" si="215"/>
        <v>4870.68</v>
      </c>
      <c r="U109" s="74"/>
      <c r="V109" s="74"/>
      <c r="W109" s="74"/>
      <c r="X109" s="74"/>
      <c r="Y109" s="74"/>
      <c r="Z109" s="53">
        <f t="shared" si="206"/>
        <v>4870.68</v>
      </c>
      <c r="AA109" s="75">
        <f t="shared" si="207"/>
        <v>46271.460000000006</v>
      </c>
      <c r="AB109" s="75"/>
      <c r="AC109" s="75"/>
      <c r="AD109" s="75"/>
      <c r="AE109" s="75"/>
      <c r="AF109" s="75"/>
      <c r="AG109" s="54">
        <v>1</v>
      </c>
      <c r="AH109" s="53">
        <f t="shared" si="208"/>
        <v>0</v>
      </c>
      <c r="AI109" s="53">
        <f t="shared" si="209"/>
        <v>0</v>
      </c>
      <c r="AJ109" s="76">
        <f t="shared" si="210"/>
        <v>2018.3333333333333</v>
      </c>
      <c r="AK109" s="52">
        <f t="shared" si="211"/>
        <v>2018.9166666666667</v>
      </c>
      <c r="AL109" s="76">
        <f t="shared" si="212"/>
        <v>2028.3333333333333</v>
      </c>
      <c r="AM109" s="52">
        <f t="shared" si="213"/>
        <v>2019</v>
      </c>
      <c r="AN109" s="52">
        <f t="shared" si="214"/>
        <v>-8.3333333333333329E-2</v>
      </c>
      <c r="AO109" s="46"/>
    </row>
    <row r="110" spans="1:41" ht="15.75">
      <c r="A110" s="88" t="s">
        <v>602</v>
      </c>
      <c r="B110" s="55">
        <v>7</v>
      </c>
      <c r="C110" s="55">
        <v>2018</v>
      </c>
      <c r="D110" s="77">
        <v>50791</v>
      </c>
      <c r="E110" s="73">
        <v>0</v>
      </c>
      <c r="F110" s="58">
        <v>10</v>
      </c>
      <c r="G110" s="52">
        <f t="shared" si="197"/>
        <v>2028</v>
      </c>
      <c r="H110" s="58"/>
      <c r="I110" s="58"/>
      <c r="J110" s="57"/>
      <c r="K110" s="78">
        <f t="shared" si="198"/>
        <v>50791</v>
      </c>
      <c r="L110" s="78">
        <f t="shared" si="199"/>
        <v>423.25833333333338</v>
      </c>
      <c r="M110" s="78">
        <f t="shared" si="218"/>
        <v>5079.1000000000004</v>
      </c>
      <c r="N110" s="78">
        <v>0</v>
      </c>
      <c r="O110" s="78">
        <f t="shared" si="202"/>
        <v>5079.1000000000004</v>
      </c>
      <c r="P110" s="301">
        <f t="shared" si="217"/>
        <v>48251.45</v>
      </c>
      <c r="Q110" s="78">
        <f t="shared" si="204"/>
        <v>0</v>
      </c>
      <c r="R110" s="78">
        <f t="shared" si="205"/>
        <v>5079.1000000000004</v>
      </c>
      <c r="S110" s="54">
        <v>1</v>
      </c>
      <c r="T110" s="74">
        <f t="shared" si="215"/>
        <v>5079.1000000000004</v>
      </c>
      <c r="U110" s="74"/>
      <c r="V110" s="74"/>
      <c r="W110" s="74"/>
      <c r="X110" s="74"/>
      <c r="Y110" s="74"/>
      <c r="Z110" s="53">
        <f t="shared" si="206"/>
        <v>5079.1000000000004</v>
      </c>
      <c r="AA110" s="75">
        <f t="shared" si="207"/>
        <v>48251.45</v>
      </c>
      <c r="AB110" s="75"/>
      <c r="AC110" s="75"/>
      <c r="AD110" s="75"/>
      <c r="AE110" s="75"/>
      <c r="AF110" s="75"/>
      <c r="AG110" s="54">
        <v>1</v>
      </c>
      <c r="AH110" s="53">
        <f t="shared" si="208"/>
        <v>0</v>
      </c>
      <c r="AI110" s="53">
        <f t="shared" si="209"/>
        <v>0</v>
      </c>
      <c r="AJ110" s="76">
        <f t="shared" si="210"/>
        <v>2018.5</v>
      </c>
      <c r="AK110" s="52">
        <f t="shared" si="211"/>
        <v>2018.9166666666667</v>
      </c>
      <c r="AL110" s="76">
        <f t="shared" si="212"/>
        <v>2028.5</v>
      </c>
      <c r="AM110" s="52">
        <f t="shared" si="213"/>
        <v>2019</v>
      </c>
      <c r="AN110" s="52">
        <f t="shared" si="214"/>
        <v>-8.3333333333333329E-2</v>
      </c>
      <c r="AO110" s="46"/>
    </row>
    <row r="111" spans="1:41" ht="15.75">
      <c r="A111" s="55" t="s">
        <v>603</v>
      </c>
      <c r="B111" s="58"/>
      <c r="C111" s="58"/>
      <c r="D111" s="53">
        <f>SUM(D88:D110)</f>
        <v>2035363.04</v>
      </c>
      <c r="E111" s="79"/>
      <c r="F111" s="52"/>
      <c r="G111" s="52"/>
      <c r="H111" s="52"/>
      <c r="I111" s="52"/>
      <c r="J111" s="53"/>
      <c r="K111" s="53">
        <f t="shared" ref="K111:R111" si="224">SUM(K88:K110)</f>
        <v>2035363.04</v>
      </c>
      <c r="L111" s="53">
        <f t="shared" si="224"/>
        <v>16961.358666666671</v>
      </c>
      <c r="M111" s="53">
        <f t="shared" si="224"/>
        <v>62655.603999999999</v>
      </c>
      <c r="N111" s="53">
        <f t="shared" si="224"/>
        <v>1542293.3718333335</v>
      </c>
      <c r="O111" s="53">
        <f t="shared" si="224"/>
        <v>1604948.9758333338</v>
      </c>
      <c r="P111" s="299">
        <f t="shared" si="224"/>
        <v>460426.76616666676</v>
      </c>
      <c r="Q111" s="53">
        <f t="shared" si="224"/>
        <v>0</v>
      </c>
      <c r="R111" s="53">
        <f t="shared" si="224"/>
        <v>62655.603999999999</v>
      </c>
      <c r="S111" s="53"/>
      <c r="T111" s="53">
        <f>SUM(T88:T110)</f>
        <v>62655.603999999999</v>
      </c>
      <c r="U111" s="75"/>
      <c r="V111" s="75"/>
      <c r="W111" s="75"/>
      <c r="X111" s="75"/>
      <c r="Y111" s="75"/>
      <c r="Z111" s="53">
        <f t="shared" ref="Z111:AF111" si="225">SUM(Z88:Z94)</f>
        <v>10181.299999999999</v>
      </c>
      <c r="AA111" s="75">
        <f t="shared" si="225"/>
        <v>17983.625</v>
      </c>
      <c r="AB111" s="75">
        <f t="shared" si="225"/>
        <v>0</v>
      </c>
      <c r="AC111" s="75">
        <f t="shared" si="225"/>
        <v>0</v>
      </c>
      <c r="AD111" s="75">
        <f t="shared" si="225"/>
        <v>0</v>
      </c>
      <c r="AE111" s="75">
        <f t="shared" si="225"/>
        <v>0</v>
      </c>
      <c r="AF111" s="75">
        <f t="shared" si="225"/>
        <v>0</v>
      </c>
      <c r="AG111" s="53"/>
      <c r="AH111" s="53">
        <f>SUM(AH88:AH94)</f>
        <v>1486230.6250000002</v>
      </c>
      <c r="AI111" s="53">
        <f>SUM(AI88:AI94)</f>
        <v>1486230.6250000002</v>
      </c>
      <c r="AJ111" s="76"/>
      <c r="AK111" s="52"/>
      <c r="AL111" s="76"/>
      <c r="AM111" s="52"/>
      <c r="AN111" s="52"/>
      <c r="AO111" s="46"/>
    </row>
    <row r="112" spans="1:41" ht="15.75">
      <c r="A112" s="55"/>
      <c r="B112" s="58"/>
      <c r="C112" s="58"/>
      <c r="D112" s="69"/>
      <c r="E112" s="70"/>
      <c r="F112" s="58"/>
      <c r="G112" s="58"/>
      <c r="H112" s="58"/>
      <c r="I112" s="58"/>
      <c r="J112" s="69"/>
      <c r="K112" s="69"/>
      <c r="L112" s="57"/>
      <c r="M112" s="57"/>
      <c r="N112" s="57"/>
      <c r="O112" s="57"/>
      <c r="P112" s="300"/>
      <c r="Q112" s="71"/>
      <c r="R112" s="71"/>
      <c r="S112" s="72"/>
      <c r="T112" s="82"/>
      <c r="U112" s="84"/>
      <c r="V112" s="84"/>
      <c r="W112" s="84"/>
      <c r="X112" s="84"/>
      <c r="Y112" s="84"/>
      <c r="Z112" s="71"/>
      <c r="AA112" s="82"/>
      <c r="AB112" s="82"/>
      <c r="AC112" s="82"/>
      <c r="AD112" s="82"/>
      <c r="AE112" s="82"/>
      <c r="AF112" s="82"/>
      <c r="AG112" s="72"/>
      <c r="AH112" s="72"/>
      <c r="AI112" s="72"/>
      <c r="AJ112" s="72"/>
      <c r="AK112" s="72"/>
      <c r="AL112" s="72"/>
      <c r="AM112" s="72"/>
      <c r="AN112" s="72"/>
      <c r="AO112" s="46"/>
    </row>
    <row r="113" spans="1:41" ht="15.75">
      <c r="A113" s="68" t="s">
        <v>604</v>
      </c>
      <c r="B113" s="55"/>
      <c r="C113" s="55"/>
      <c r="D113" s="69"/>
      <c r="E113" s="70"/>
      <c r="F113" s="58"/>
      <c r="G113" s="58"/>
      <c r="H113" s="58"/>
      <c r="I113" s="58"/>
      <c r="J113" s="69"/>
      <c r="K113" s="69"/>
      <c r="L113" s="57"/>
      <c r="M113" s="57"/>
      <c r="N113" s="57"/>
      <c r="O113" s="57"/>
      <c r="P113" s="300"/>
      <c r="Q113" s="71"/>
      <c r="R113" s="71"/>
      <c r="S113" s="72"/>
      <c r="T113" s="82"/>
      <c r="U113" s="84"/>
      <c r="V113" s="84"/>
      <c r="W113" s="84"/>
      <c r="X113" s="84"/>
      <c r="Y113" s="84"/>
      <c r="Z113" s="71"/>
      <c r="AA113" s="82"/>
      <c r="AB113" s="82"/>
      <c r="AC113" s="82"/>
      <c r="AD113" s="82"/>
      <c r="AE113" s="82"/>
      <c r="AF113" s="82"/>
      <c r="AG113" s="72"/>
      <c r="AH113" s="72"/>
      <c r="AI113" s="72"/>
      <c r="AJ113" s="72"/>
      <c r="AK113" s="72"/>
      <c r="AL113" s="72"/>
      <c r="AM113" s="72"/>
      <c r="AN113" s="72"/>
      <c r="AO113" s="46"/>
    </row>
    <row r="114" spans="1:41" ht="15.75">
      <c r="A114" s="68" t="s">
        <v>605</v>
      </c>
      <c r="B114" s="55">
        <v>8</v>
      </c>
      <c r="C114" s="55">
        <v>1996</v>
      </c>
      <c r="D114" s="72">
        <v>54058</v>
      </c>
      <c r="E114" s="73">
        <v>0</v>
      </c>
      <c r="F114" s="58">
        <v>7</v>
      </c>
      <c r="G114" s="52">
        <f>C114+F114</f>
        <v>2003</v>
      </c>
      <c r="H114" s="58"/>
      <c r="I114" s="58"/>
      <c r="J114" s="57"/>
      <c r="K114" s="53">
        <f>D114-D114*E114</f>
        <v>54058</v>
      </c>
      <c r="L114" s="53">
        <f t="shared" ref="L114:L117" si="226">K114/F114/12</f>
        <v>643.54761904761904</v>
      </c>
      <c r="M114" s="53">
        <f>IF(J114&gt;0,0,IF(OR(AJ114&gt;AK114,AL114&lt;AM114),0,IF(AND(AL114&gt;=AM114,AL114&lt;=AK114),L114*((AL114-AM114)*12),IF(AND(AM114&lt;=AJ114,AK114&gt;=AJ114),((AK114-AJ114)*12)*L114,IF(AL114&gt;AK114,12*L114,0)))))</f>
        <v>0</v>
      </c>
      <c r="N114" s="53">
        <f>IF(AJ114&gt;AK114,0,IF(AL114&lt;AM114,K114,IF(AND(AL114&gt;=AM114,AL114&lt;=AK114),(K114-R114),IF(AND(AM114&lt;=AJ114,AK114&gt;=AJ114),0,IF(AL114&gt;AK114,((AM114-AJ114)*12)*L114,0)))))</f>
        <v>54058</v>
      </c>
      <c r="O114" s="53">
        <f>IF(J114&gt;0,0,AI114+Z114*AG114)*AG114</f>
        <v>54058</v>
      </c>
      <c r="P114" s="299">
        <f>IF(J114&gt;0,(D114-AI114)/2,IF(AJ114&gt;=AM114,(((D114*S114)*AG114)-O114)/2,((((D114*S114)*AG114)-AI114)+(((D114*S114)*AG114)-O114))/2))</f>
        <v>0</v>
      </c>
      <c r="Q114" s="53">
        <f>IF(J114=0,0,IF(AND(AN114&gt;=AM114,AN114&lt;=AL114),((AN114-AM114)*12)*L114,0))</f>
        <v>0</v>
      </c>
      <c r="R114" s="53">
        <f t="shared" ref="R114:R117" si="227">IF(Q114&gt;0,Q114,M114)</f>
        <v>0</v>
      </c>
      <c r="S114" s="54">
        <v>1</v>
      </c>
      <c r="T114" s="52"/>
      <c r="U114" s="75"/>
      <c r="V114" s="75"/>
      <c r="W114" s="75"/>
      <c r="X114" s="75"/>
      <c r="Y114" s="75">
        <f>S114*(M114+Q114)</f>
        <v>0</v>
      </c>
      <c r="Z114" s="53">
        <f t="shared" ref="Z114:Z117" si="228">S114*(M114+Q114)</f>
        <v>0</v>
      </c>
      <c r="AA114" s="52"/>
      <c r="AB114" s="75"/>
      <c r="AC114" s="75"/>
      <c r="AD114" s="75"/>
      <c r="AE114" s="75"/>
      <c r="AF114" s="75">
        <f>P114*S114</f>
        <v>0</v>
      </c>
      <c r="AG114" s="54">
        <v>1</v>
      </c>
      <c r="AH114" s="53">
        <f>N114*S114</f>
        <v>54058</v>
      </c>
      <c r="AI114" s="53">
        <f>AH114*AG114</f>
        <v>54058</v>
      </c>
      <c r="AJ114" s="76">
        <f t="shared" ref="AJ114:AJ117" si="229">$C114+(($B114-1)/12)</f>
        <v>1996.5833333333333</v>
      </c>
      <c r="AK114" s="52">
        <f t="shared" ref="AK114:AK117" si="230">($F$7+1)-($C$7/12)</f>
        <v>2018.9166666666667</v>
      </c>
      <c r="AL114" s="76">
        <f t="shared" ref="AL114:AL117" si="231">$G114+(($B114-1)/12)</f>
        <v>2003.5833333333333</v>
      </c>
      <c r="AM114" s="52">
        <f t="shared" ref="AM114:AM117" si="232">$D$7+($E$7/12)</f>
        <v>2019</v>
      </c>
      <c r="AN114" s="52">
        <f t="shared" ref="AN114:AN117" si="233">$I114+(($H114-1)/12)</f>
        <v>-8.3333333333333329E-2</v>
      </c>
      <c r="AO114" s="46"/>
    </row>
    <row r="115" spans="1:41" ht="15.75">
      <c r="A115" s="55" t="s">
        <v>585</v>
      </c>
      <c r="B115" s="55">
        <v>7</v>
      </c>
      <c r="C115" s="55">
        <v>2007</v>
      </c>
      <c r="D115" s="72">
        <v>1029</v>
      </c>
      <c r="E115" s="73">
        <v>0</v>
      </c>
      <c r="F115" s="58">
        <v>10</v>
      </c>
      <c r="G115" s="52">
        <f>C115+F115</f>
        <v>2017</v>
      </c>
      <c r="H115" s="58"/>
      <c r="I115" s="58"/>
      <c r="J115" s="57"/>
      <c r="K115" s="53">
        <f>D115-D115*E115</f>
        <v>1029</v>
      </c>
      <c r="L115" s="53">
        <f t="shared" si="226"/>
        <v>8.5750000000000011</v>
      </c>
      <c r="M115" s="53">
        <f>IF(J115&gt;0,0,IF(OR(AJ115&gt;AK115,AL115&lt;AM115),0,IF(AND(AL115&gt;=AM115,AL115&lt;=AK115),L115*((AL115-AM115)*12),IF(AND(AM115&lt;=AJ115,AK115&gt;=AJ115),((AK115-AJ115)*12)*L115,IF(AL115&gt;AK115,12*L115,0)))))</f>
        <v>0</v>
      </c>
      <c r="N115" s="53">
        <f>IF(AJ115&gt;AK115,0,IF(AL115&lt;AM115,K115,IF(AND(AL115&gt;=AM115,AL115&lt;=AK115),(K115-R115),IF(AND(AM115&lt;=AJ115,AK115&gt;=AJ115),0,IF(AL115&gt;AK115,((AM115-AJ115)*12)*L115,0)))))</f>
        <v>1029</v>
      </c>
      <c r="O115" s="53">
        <f>IF(J115&gt;0,0,AI115+Z115*AG115)*AG115</f>
        <v>1029</v>
      </c>
      <c r="P115" s="299">
        <f>IF(J115&gt;0,(D115-AI115)/2,IF(AJ115&gt;=AM115,(((D115*S115)*AG115)-O115)/2,((((D115*S115)*AG115)-AI115)+(((D115*S115)*AG115)-O115))/2))</f>
        <v>0</v>
      </c>
      <c r="Q115" s="53">
        <f>IF(J115=0,0,IF(AND(AN115&gt;=AM115,AN115&lt;=AL115),((AN115-AM115)*12)*L115,0))</f>
        <v>0</v>
      </c>
      <c r="R115" s="53">
        <f t="shared" si="227"/>
        <v>0</v>
      </c>
      <c r="S115" s="54">
        <v>1</v>
      </c>
      <c r="T115" s="52"/>
      <c r="U115" s="75"/>
      <c r="V115" s="75"/>
      <c r="W115" s="75"/>
      <c r="X115" s="75"/>
      <c r="Y115" s="75">
        <f>S115*(M115+Q115)</f>
        <v>0</v>
      </c>
      <c r="Z115" s="53">
        <f t="shared" si="228"/>
        <v>0</v>
      </c>
      <c r="AA115" s="52"/>
      <c r="AB115" s="75"/>
      <c r="AC115" s="75"/>
      <c r="AD115" s="75"/>
      <c r="AE115" s="75"/>
      <c r="AF115" s="75">
        <f>P115*S115</f>
        <v>0</v>
      </c>
      <c r="AG115" s="54">
        <v>1</v>
      </c>
      <c r="AH115" s="53">
        <f>N115*S115</f>
        <v>1029</v>
      </c>
      <c r="AI115" s="53">
        <f>AH115*AG115</f>
        <v>1029</v>
      </c>
      <c r="AJ115" s="76">
        <f t="shared" si="229"/>
        <v>2007.5</v>
      </c>
      <c r="AK115" s="52">
        <f t="shared" si="230"/>
        <v>2018.9166666666667</v>
      </c>
      <c r="AL115" s="76">
        <f t="shared" si="231"/>
        <v>2017.5</v>
      </c>
      <c r="AM115" s="52">
        <f t="shared" si="232"/>
        <v>2019</v>
      </c>
      <c r="AN115" s="52">
        <f t="shared" si="233"/>
        <v>-8.3333333333333329E-2</v>
      </c>
      <c r="AO115" s="46"/>
    </row>
    <row r="116" spans="1:41" ht="15.75">
      <c r="A116" s="55" t="s">
        <v>586</v>
      </c>
      <c r="B116" s="55">
        <v>3</v>
      </c>
      <c r="C116" s="55">
        <v>2008</v>
      </c>
      <c r="D116" s="72">
        <f>14563.8+2519.52</f>
        <v>17083.32</v>
      </c>
      <c r="E116" s="73">
        <v>0</v>
      </c>
      <c r="F116" s="58">
        <v>10</v>
      </c>
      <c r="G116" s="52">
        <f>C116+F116</f>
        <v>2018</v>
      </c>
      <c r="H116" s="58"/>
      <c r="I116" s="58"/>
      <c r="J116" s="57"/>
      <c r="K116" s="53">
        <f>D116-D116*E116</f>
        <v>17083.32</v>
      </c>
      <c r="L116" s="53">
        <f t="shared" si="226"/>
        <v>142.36099999999999</v>
      </c>
      <c r="M116" s="53">
        <f>IF(J116&gt;0,0,IF(OR(AJ116&gt;AK116,AL116&lt;AM116),0,IF(AND(AL116&gt;=AM116,AL116&lt;=AK116),L116*((AL116-AM116)*12),IF(AND(AM116&lt;=AJ116,AK116&gt;=AJ116),((AK116-AJ116)*12)*L116,IF(AL116&gt;AK116,12*L116,0)))))</f>
        <v>0</v>
      </c>
      <c r="N116" s="53">
        <f>IF(AJ116&gt;AK116,0,IF(AL116&lt;AM116,K116,IF(AND(AL116&gt;=AM116,AL116&lt;=AK116),(K116-R116),IF(AND(AM116&lt;=AJ116,AK116&gt;=AJ116),0,IF(AL116&gt;AK116,((AM116-AJ116)*12)*L116,0)))))</f>
        <v>17083.32</v>
      </c>
      <c r="O116" s="53">
        <f>IF(J116&gt;0,0,AI116+Z116*AG116)*AG116</f>
        <v>17083.32</v>
      </c>
      <c r="P116" s="299">
        <f>IF(J116&gt;0,(D116-AI116)/2,IF(AJ116&gt;=AM116,(((D116*S116)*AG116)-O116)/2,((((D116*S116)*AG116)-AI116)+(((D116*S116)*AG116)-O116))/2))</f>
        <v>0</v>
      </c>
      <c r="Q116" s="53">
        <f>IF(J116=0,0,IF(AND(AN116&gt;=AM116,AN116&lt;=AL116),((AN116-AM116)*12)*L116,0))</f>
        <v>0</v>
      </c>
      <c r="R116" s="53">
        <f t="shared" si="227"/>
        <v>0</v>
      </c>
      <c r="S116" s="54">
        <v>1</v>
      </c>
      <c r="T116" s="52"/>
      <c r="U116" s="75"/>
      <c r="V116" s="75"/>
      <c r="W116" s="75"/>
      <c r="X116" s="75"/>
      <c r="Y116" s="75">
        <f>S116*(M116+Q116)</f>
        <v>0</v>
      </c>
      <c r="Z116" s="53">
        <f t="shared" si="228"/>
        <v>0</v>
      </c>
      <c r="AA116" s="52"/>
      <c r="AB116" s="75"/>
      <c r="AC116" s="75"/>
      <c r="AD116" s="75"/>
      <c r="AE116" s="75"/>
      <c r="AF116" s="75">
        <f>P116*S116</f>
        <v>0</v>
      </c>
      <c r="AG116" s="54">
        <v>1</v>
      </c>
      <c r="AH116" s="53">
        <f>N116*S116</f>
        <v>17083.32</v>
      </c>
      <c r="AI116" s="53">
        <f>AH116*AG116</f>
        <v>17083.32</v>
      </c>
      <c r="AJ116" s="76">
        <f t="shared" si="229"/>
        <v>2008.1666666666667</v>
      </c>
      <c r="AK116" s="52">
        <f t="shared" si="230"/>
        <v>2018.9166666666667</v>
      </c>
      <c r="AL116" s="76">
        <f t="shared" si="231"/>
        <v>2018.1666666666667</v>
      </c>
      <c r="AM116" s="52">
        <f t="shared" si="232"/>
        <v>2019</v>
      </c>
      <c r="AN116" s="52">
        <f t="shared" si="233"/>
        <v>-8.3333333333333329E-2</v>
      </c>
      <c r="AO116" s="46"/>
    </row>
    <row r="117" spans="1:41" ht="15.75">
      <c r="A117" s="88" t="s">
        <v>606</v>
      </c>
      <c r="B117" s="55">
        <v>4</v>
      </c>
      <c r="C117" s="55">
        <v>2014</v>
      </c>
      <c r="D117" s="77">
        <v>12000</v>
      </c>
      <c r="E117" s="73">
        <v>0</v>
      </c>
      <c r="F117" s="58">
        <v>10</v>
      </c>
      <c r="G117" s="52">
        <f>C117+F117</f>
        <v>2024</v>
      </c>
      <c r="H117" s="58"/>
      <c r="I117" s="58"/>
      <c r="J117" s="57"/>
      <c r="K117" s="78">
        <f>D117-D117*E117</f>
        <v>12000</v>
      </c>
      <c r="L117" s="78">
        <f t="shared" si="226"/>
        <v>100</v>
      </c>
      <c r="M117" s="78">
        <f>IF(J117&gt;0,0,IF(OR(AJ117&gt;AK117,AL117&lt;AM117),0,IF(AND(AL117&gt;=AM117,AL117&lt;=AK117),L117*((AL117-AM117)*12),IF(AND(AM117&lt;=AJ117,AK117&gt;=AJ117),((AK117-AJ117)*12)*L117,IF(AL117&gt;AK117,12*L117,0)))))</f>
        <v>1200</v>
      </c>
      <c r="N117" s="78">
        <f>+L117*44</f>
        <v>4400</v>
      </c>
      <c r="O117" s="78">
        <f>IF(J117&gt;0,0,AI117+Z117*AG117)*AG117</f>
        <v>5600</v>
      </c>
      <c r="P117" s="301">
        <f t="shared" ref="P117" si="234">((K117-N117)+(K117-O117))/2</f>
        <v>7000</v>
      </c>
      <c r="Q117" s="78">
        <f>IF(J117=0,0,IF(AND(AN117&gt;=AM117,AN117&lt;=AL117),((AN117-AM117)*12)*L117,0))</f>
        <v>0</v>
      </c>
      <c r="R117" s="78">
        <f t="shared" si="227"/>
        <v>1200</v>
      </c>
      <c r="S117" s="54">
        <v>1</v>
      </c>
      <c r="T117" s="52"/>
      <c r="U117" s="75"/>
      <c r="V117" s="75"/>
      <c r="W117" s="75"/>
      <c r="X117" s="75"/>
      <c r="Y117" s="75">
        <f>S117*(M117+Q117)</f>
        <v>1200</v>
      </c>
      <c r="Z117" s="53">
        <f t="shared" si="228"/>
        <v>1200</v>
      </c>
      <c r="AA117" s="52"/>
      <c r="AB117" s="75"/>
      <c r="AC117" s="75"/>
      <c r="AD117" s="75"/>
      <c r="AE117" s="75"/>
      <c r="AF117" s="75">
        <f>P117*S117</f>
        <v>7000</v>
      </c>
      <c r="AG117" s="54">
        <v>1</v>
      </c>
      <c r="AH117" s="53">
        <f>N117*S117</f>
        <v>4400</v>
      </c>
      <c r="AI117" s="53">
        <f>AH117*AG117</f>
        <v>4400</v>
      </c>
      <c r="AJ117" s="76">
        <f t="shared" si="229"/>
        <v>2014.25</v>
      </c>
      <c r="AK117" s="52">
        <f t="shared" si="230"/>
        <v>2018.9166666666667</v>
      </c>
      <c r="AL117" s="76">
        <f t="shared" si="231"/>
        <v>2024.25</v>
      </c>
      <c r="AM117" s="52">
        <f t="shared" si="232"/>
        <v>2019</v>
      </c>
      <c r="AN117" s="52">
        <f t="shared" si="233"/>
        <v>-8.3333333333333329E-2</v>
      </c>
      <c r="AO117" s="46"/>
    </row>
    <row r="118" spans="1:41" ht="15.75">
      <c r="A118" s="55" t="s">
        <v>607</v>
      </c>
      <c r="B118" s="58"/>
      <c r="C118" s="58"/>
      <c r="D118" s="53">
        <f>SUM(D114:D117)</f>
        <v>84170.32</v>
      </c>
      <c r="E118" s="79"/>
      <c r="F118" s="52"/>
      <c r="G118" s="52"/>
      <c r="H118" s="52"/>
      <c r="I118" s="52"/>
      <c r="J118" s="53"/>
      <c r="K118" s="53">
        <f t="shared" ref="K118:R118" si="235">SUM(K114:K117)</f>
        <v>84170.32</v>
      </c>
      <c r="L118" s="53">
        <f t="shared" si="235"/>
        <v>894.48361904761907</v>
      </c>
      <c r="M118" s="53">
        <f t="shared" si="235"/>
        <v>1200</v>
      </c>
      <c r="N118" s="53">
        <f t="shared" si="235"/>
        <v>76570.320000000007</v>
      </c>
      <c r="O118" s="53">
        <f t="shared" si="235"/>
        <v>77770.320000000007</v>
      </c>
      <c r="P118" s="299">
        <f t="shared" si="235"/>
        <v>7000</v>
      </c>
      <c r="Q118" s="53">
        <f t="shared" si="235"/>
        <v>0</v>
      </c>
      <c r="R118" s="53">
        <f t="shared" si="235"/>
        <v>1200</v>
      </c>
      <c r="S118" s="53"/>
      <c r="T118" s="75">
        <f t="shared" ref="T118:AF118" si="236">SUM(T114:T117)</f>
        <v>0</v>
      </c>
      <c r="U118" s="75">
        <f t="shared" si="236"/>
        <v>0</v>
      </c>
      <c r="V118" s="75">
        <f t="shared" si="236"/>
        <v>0</v>
      </c>
      <c r="W118" s="75">
        <f t="shared" si="236"/>
        <v>0</v>
      </c>
      <c r="X118" s="75">
        <f t="shared" si="236"/>
        <v>0</v>
      </c>
      <c r="Y118" s="75">
        <f t="shared" si="236"/>
        <v>1200</v>
      </c>
      <c r="Z118" s="53">
        <f t="shared" si="236"/>
        <v>1200</v>
      </c>
      <c r="AA118" s="75">
        <f t="shared" si="236"/>
        <v>0</v>
      </c>
      <c r="AB118" s="75">
        <f t="shared" si="236"/>
        <v>0</v>
      </c>
      <c r="AC118" s="75">
        <f t="shared" si="236"/>
        <v>0</v>
      </c>
      <c r="AD118" s="75">
        <f t="shared" si="236"/>
        <v>0</v>
      </c>
      <c r="AE118" s="75">
        <f t="shared" si="236"/>
        <v>0</v>
      </c>
      <c r="AF118" s="75">
        <f t="shared" si="236"/>
        <v>7000</v>
      </c>
      <c r="AG118" s="53"/>
      <c r="AH118" s="53">
        <f>SUM(AH114:AH117)</f>
        <v>76570.320000000007</v>
      </c>
      <c r="AI118" s="53">
        <f>SUM(AI114:AI117)</f>
        <v>76570.320000000007</v>
      </c>
      <c r="AJ118" s="76"/>
      <c r="AK118" s="52"/>
      <c r="AL118" s="76"/>
      <c r="AM118" s="52"/>
      <c r="AN118" s="52"/>
      <c r="AO118" s="46"/>
    </row>
    <row r="119" spans="1:41" ht="15.75">
      <c r="A119" s="55"/>
      <c r="B119" s="58"/>
      <c r="C119" s="58"/>
      <c r="D119" s="69"/>
      <c r="E119" s="70"/>
      <c r="F119" s="58"/>
      <c r="G119" s="58"/>
      <c r="H119" s="58"/>
      <c r="I119" s="58"/>
      <c r="J119" s="69"/>
      <c r="K119" s="69"/>
      <c r="L119" s="57"/>
      <c r="M119" s="57"/>
      <c r="N119" s="57"/>
      <c r="O119" s="57"/>
      <c r="P119" s="300"/>
      <c r="Q119" s="71"/>
      <c r="R119" s="71"/>
      <c r="S119" s="72"/>
      <c r="T119" s="82"/>
      <c r="U119" s="84"/>
      <c r="V119" s="84"/>
      <c r="W119" s="84"/>
      <c r="X119" s="84"/>
      <c r="Y119" s="84"/>
      <c r="Z119" s="71"/>
      <c r="AA119" s="82"/>
      <c r="AB119" s="82"/>
      <c r="AC119" s="82"/>
      <c r="AD119" s="82"/>
      <c r="AE119" s="82"/>
      <c r="AF119" s="82"/>
      <c r="AG119" s="72"/>
      <c r="AH119" s="72"/>
      <c r="AI119" s="72"/>
      <c r="AJ119" s="72"/>
      <c r="AK119" s="72"/>
      <c r="AL119" s="72"/>
      <c r="AM119" s="72"/>
      <c r="AN119" s="72"/>
      <c r="AO119" s="46"/>
    </row>
    <row r="120" spans="1:41" ht="15.75">
      <c r="A120" s="68" t="s">
        <v>569</v>
      </c>
      <c r="B120" s="55"/>
      <c r="C120" s="55"/>
      <c r="D120" s="69"/>
      <c r="E120" s="70"/>
      <c r="F120" s="58"/>
      <c r="G120" s="58"/>
      <c r="H120" s="58"/>
      <c r="I120" s="58"/>
      <c r="J120" s="69"/>
      <c r="K120" s="69"/>
      <c r="L120" s="57"/>
      <c r="M120" s="57"/>
      <c r="N120" s="57"/>
      <c r="O120" s="57"/>
      <c r="P120" s="300"/>
      <c r="Q120" s="71"/>
      <c r="R120" s="71"/>
      <c r="S120" s="72"/>
      <c r="T120" s="82"/>
      <c r="U120" s="84"/>
      <c r="V120" s="84"/>
      <c r="W120" s="84"/>
      <c r="X120" s="84"/>
      <c r="Y120" s="84"/>
      <c r="Z120" s="71"/>
      <c r="AA120" s="82"/>
      <c r="AB120" s="82"/>
      <c r="AC120" s="82"/>
      <c r="AD120" s="82"/>
      <c r="AE120" s="82"/>
      <c r="AF120" s="82"/>
      <c r="AG120" s="72"/>
      <c r="AH120" s="72"/>
      <c r="AI120" s="72"/>
      <c r="AJ120" s="72"/>
      <c r="AK120" s="72"/>
      <c r="AL120" s="72"/>
      <c r="AM120" s="72"/>
      <c r="AN120" s="72"/>
      <c r="AO120" s="46"/>
    </row>
    <row r="121" spans="1:41" ht="15.75">
      <c r="A121" s="68" t="s">
        <v>608</v>
      </c>
      <c r="B121" s="55"/>
      <c r="C121" s="55"/>
      <c r="D121" s="72"/>
      <c r="E121" s="73"/>
      <c r="F121" s="58"/>
      <c r="G121" s="52"/>
      <c r="H121" s="58"/>
      <c r="I121" s="58"/>
      <c r="J121" s="57"/>
      <c r="K121" s="53"/>
      <c r="L121" s="53"/>
      <c r="M121" s="53"/>
      <c r="N121" s="53"/>
      <c r="O121" s="53"/>
      <c r="P121" s="299"/>
      <c r="Q121" s="53"/>
      <c r="R121" s="53"/>
      <c r="S121" s="54"/>
      <c r="T121" s="52"/>
      <c r="U121" s="75"/>
      <c r="V121" s="75"/>
      <c r="W121" s="75"/>
      <c r="X121" s="75"/>
      <c r="Y121" s="75"/>
      <c r="Z121" s="53"/>
      <c r="AA121" s="52"/>
      <c r="AB121" s="75"/>
      <c r="AC121" s="75"/>
      <c r="AD121" s="75"/>
      <c r="AE121" s="75"/>
      <c r="AF121" s="75"/>
      <c r="AG121" s="54"/>
      <c r="AH121" s="53"/>
      <c r="AI121" s="53"/>
      <c r="AJ121" s="76"/>
      <c r="AK121" s="52"/>
      <c r="AL121" s="76"/>
      <c r="AM121" s="52"/>
      <c r="AN121" s="52"/>
      <c r="AO121" s="46"/>
    </row>
    <row r="122" spans="1:41" ht="15.75">
      <c r="A122" s="88" t="s">
        <v>1404</v>
      </c>
      <c r="B122" s="55">
        <v>2</v>
      </c>
      <c r="C122" s="55">
        <v>2016</v>
      </c>
      <c r="D122" s="72">
        <v>48531.76</v>
      </c>
      <c r="E122" s="73">
        <v>0</v>
      </c>
      <c r="F122" s="58">
        <v>10</v>
      </c>
      <c r="G122" s="52">
        <f t="shared" ref="G122:G125" si="237">C122+F122</f>
        <v>2026</v>
      </c>
      <c r="H122" s="58"/>
      <c r="I122" s="58"/>
      <c r="J122" s="57"/>
      <c r="K122" s="53">
        <f t="shared" ref="K122:K125" si="238">D122-D122*E122</f>
        <v>48531.76</v>
      </c>
      <c r="L122" s="53">
        <f t="shared" ref="L122:L125" si="239">K122/F122/12</f>
        <v>404.43133333333338</v>
      </c>
      <c r="M122" s="53">
        <f>IF(J122&gt;0,0,IF(OR(AJ122&gt;AK122,AL122&lt;AM122),0,IF(AND(AL122&gt;=AM122,AL122&lt;=AK122),L122*((AL122-AM122)*12),IF(AND(AM122&lt;=AJ122,AK122&gt;=AJ122),((AK122-AJ122)*12)*L122,IF(AL122&gt;AK122,12*L122,0)))))</f>
        <v>4853.1760000000004</v>
      </c>
      <c r="N122" s="53">
        <f>+L122*22</f>
        <v>8897.4893333333348</v>
      </c>
      <c r="O122" s="53">
        <f t="shared" ref="O122:O125" si="240">IF(J122&gt;0,0,AI122+Z122*AG122)*AG122</f>
        <v>13750.665333333334</v>
      </c>
      <c r="P122" s="299">
        <f t="shared" ref="P122:P125" si="241">((K122-N122)+(K122-O122))/2</f>
        <v>37207.682666666668</v>
      </c>
      <c r="Q122" s="53">
        <f t="shared" ref="Q122:Q125" si="242">IF(J122=0,0,IF(AND(AN122&gt;=AM122,AN122&lt;=AL122),((AN122-AM122)*12)*L122,0))</f>
        <v>0</v>
      </c>
      <c r="R122" s="53">
        <f t="shared" ref="R122:R125" si="243">IF(Q122&gt;0,Q122,M122)</f>
        <v>4853.1760000000004</v>
      </c>
      <c r="S122" s="54">
        <v>1</v>
      </c>
      <c r="T122" s="52"/>
      <c r="U122" s="75"/>
      <c r="V122" s="75">
        <f t="shared" ref="V122:V125" si="244">S122*(M122+Q122)</f>
        <v>4853.1760000000004</v>
      </c>
      <c r="W122" s="75"/>
      <c r="X122" s="75"/>
      <c r="Y122" s="75"/>
      <c r="Z122" s="53">
        <f t="shared" ref="Z122:Z125" si="245">S122*(M122+Q122)</f>
        <v>4853.1760000000004</v>
      </c>
      <c r="AA122" s="52"/>
      <c r="AB122" s="75"/>
      <c r="AC122" s="75">
        <f t="shared" ref="AC122:AC125" si="246">P122*S122</f>
        <v>37207.682666666668</v>
      </c>
      <c r="AD122" s="75"/>
      <c r="AE122" s="75"/>
      <c r="AF122" s="75"/>
      <c r="AG122" s="54">
        <v>1</v>
      </c>
      <c r="AH122" s="53">
        <f t="shared" ref="AH122:AH125" si="247">N122*S122</f>
        <v>8897.4893333333348</v>
      </c>
      <c r="AI122" s="53">
        <f t="shared" ref="AI122:AI125" si="248">AH122*AG122</f>
        <v>8897.4893333333348</v>
      </c>
      <c r="AJ122" s="76">
        <f t="shared" ref="AJ122:AJ125" si="249">$C122+(($B122-1)/12)</f>
        <v>2016.0833333333333</v>
      </c>
      <c r="AK122" s="52">
        <f t="shared" ref="AK122:AK125" si="250">($F$7+1)-($C$7/12)</f>
        <v>2018.9166666666667</v>
      </c>
      <c r="AL122" s="76">
        <f t="shared" ref="AL122:AL125" si="251">$G122+(($B122-1)/12)</f>
        <v>2026.0833333333333</v>
      </c>
      <c r="AM122" s="52">
        <f t="shared" ref="AM122:AM125" si="252">$D$7+($E$7/12)</f>
        <v>2019</v>
      </c>
      <c r="AN122" s="52">
        <f t="shared" ref="AN122:AN125" si="253">$I122+(($H122-1)/12)</f>
        <v>-8.3333333333333329E-2</v>
      </c>
      <c r="AO122" s="46"/>
    </row>
    <row r="123" spans="1:41" ht="15.75">
      <c r="A123" s="88" t="s">
        <v>609</v>
      </c>
      <c r="B123" s="55">
        <v>4</v>
      </c>
      <c r="C123" s="55">
        <v>2016</v>
      </c>
      <c r="D123" s="72">
        <v>25161.7</v>
      </c>
      <c r="E123" s="73">
        <v>0</v>
      </c>
      <c r="F123" s="58">
        <v>10</v>
      </c>
      <c r="G123" s="52">
        <f t="shared" si="237"/>
        <v>2026</v>
      </c>
      <c r="H123" s="58"/>
      <c r="I123" s="58"/>
      <c r="J123" s="57"/>
      <c r="K123" s="53">
        <f t="shared" si="238"/>
        <v>25161.7</v>
      </c>
      <c r="L123" s="53">
        <f t="shared" si="239"/>
        <v>209.68083333333334</v>
      </c>
      <c r="M123" s="53">
        <f>IF(J123&gt;0,0,IF(OR(AJ123&gt;AK123,AL123&lt;AM123),0,IF(AND(AL123&gt;=AM123,AL123&lt;=AK123),L123*((AL123-AM123)*12),IF(AND(AM123&lt;=AJ123,AK123&gt;=AJ123),((AK123-AJ123)*12)*L123,IF(AL123&gt;AK123,12*L123,0)))))</f>
        <v>2516.17</v>
      </c>
      <c r="N123" s="53">
        <f>+L123*20</f>
        <v>4193.6166666666668</v>
      </c>
      <c r="O123" s="53">
        <f t="shared" si="240"/>
        <v>6709.7866666666669</v>
      </c>
      <c r="P123" s="299">
        <f t="shared" si="241"/>
        <v>19709.998333333337</v>
      </c>
      <c r="Q123" s="53">
        <f t="shared" si="242"/>
        <v>0</v>
      </c>
      <c r="R123" s="53">
        <f t="shared" si="243"/>
        <v>2516.17</v>
      </c>
      <c r="S123" s="54">
        <v>1</v>
      </c>
      <c r="T123" s="52"/>
      <c r="U123" s="75"/>
      <c r="V123" s="75">
        <f t="shared" si="244"/>
        <v>2516.17</v>
      </c>
      <c r="W123" s="75"/>
      <c r="X123" s="75"/>
      <c r="Y123" s="75"/>
      <c r="Z123" s="53">
        <f t="shared" si="245"/>
        <v>2516.17</v>
      </c>
      <c r="AA123" s="52"/>
      <c r="AB123" s="75"/>
      <c r="AC123" s="75">
        <f t="shared" si="246"/>
        <v>19709.998333333337</v>
      </c>
      <c r="AD123" s="75"/>
      <c r="AE123" s="75"/>
      <c r="AF123" s="75"/>
      <c r="AG123" s="54">
        <v>1</v>
      </c>
      <c r="AH123" s="53">
        <f t="shared" si="247"/>
        <v>4193.6166666666668</v>
      </c>
      <c r="AI123" s="53">
        <f t="shared" si="248"/>
        <v>4193.6166666666668</v>
      </c>
      <c r="AJ123" s="76">
        <f t="shared" si="249"/>
        <v>2016.25</v>
      </c>
      <c r="AK123" s="52">
        <f t="shared" si="250"/>
        <v>2018.9166666666667</v>
      </c>
      <c r="AL123" s="76">
        <f t="shared" si="251"/>
        <v>2026.25</v>
      </c>
      <c r="AM123" s="52">
        <f t="shared" si="252"/>
        <v>2019</v>
      </c>
      <c r="AN123" s="52">
        <f t="shared" si="253"/>
        <v>-8.3333333333333329E-2</v>
      </c>
      <c r="AO123" s="46"/>
    </row>
    <row r="124" spans="1:41" ht="15.75">
      <c r="A124" s="88" t="s">
        <v>610</v>
      </c>
      <c r="B124" s="55">
        <v>6</v>
      </c>
      <c r="C124" s="55">
        <v>2016</v>
      </c>
      <c r="D124" s="72">
        <v>36307</v>
      </c>
      <c r="E124" s="73">
        <v>0</v>
      </c>
      <c r="F124" s="58">
        <v>10</v>
      </c>
      <c r="G124" s="52">
        <f t="shared" si="237"/>
        <v>2026</v>
      </c>
      <c r="H124" s="58"/>
      <c r="I124" s="58"/>
      <c r="J124" s="57"/>
      <c r="K124" s="53">
        <f t="shared" si="238"/>
        <v>36307</v>
      </c>
      <c r="L124" s="53">
        <f t="shared" si="239"/>
        <v>302.55833333333334</v>
      </c>
      <c r="M124" s="53">
        <f>IF(J124&gt;0,0,IF(OR(AJ124&gt;AK124,AL124&lt;AM124),0,IF(AND(AL124&gt;=AM124,AL124&lt;=AK124),L124*((AL124-AM124)*12),IF(AND(AM124&lt;=AJ124,AK124&gt;=AJ124),((AK124-AJ124)*12)*L124,IF(AL124&gt;AK124,12*L124,0)))))</f>
        <v>3630.7</v>
      </c>
      <c r="N124" s="53">
        <f>+L124*19</f>
        <v>5748.6083333333336</v>
      </c>
      <c r="O124" s="53">
        <f t="shared" si="240"/>
        <v>9379.3083333333343</v>
      </c>
      <c r="P124" s="299">
        <f t="shared" si="241"/>
        <v>28743.041666666664</v>
      </c>
      <c r="Q124" s="53">
        <f t="shared" si="242"/>
        <v>0</v>
      </c>
      <c r="R124" s="53">
        <f t="shared" si="243"/>
        <v>3630.7</v>
      </c>
      <c r="S124" s="54">
        <v>1</v>
      </c>
      <c r="T124" s="52"/>
      <c r="U124" s="75"/>
      <c r="V124" s="75">
        <f t="shared" si="244"/>
        <v>3630.7</v>
      </c>
      <c r="W124" s="75"/>
      <c r="X124" s="75"/>
      <c r="Y124" s="75"/>
      <c r="Z124" s="53">
        <f t="shared" si="245"/>
        <v>3630.7</v>
      </c>
      <c r="AA124" s="52"/>
      <c r="AB124" s="75"/>
      <c r="AC124" s="75">
        <f t="shared" si="246"/>
        <v>28743.041666666664</v>
      </c>
      <c r="AD124" s="75"/>
      <c r="AE124" s="75"/>
      <c r="AF124" s="75"/>
      <c r="AG124" s="54">
        <v>1</v>
      </c>
      <c r="AH124" s="53">
        <f t="shared" si="247"/>
        <v>5748.6083333333336</v>
      </c>
      <c r="AI124" s="53">
        <f t="shared" si="248"/>
        <v>5748.6083333333336</v>
      </c>
      <c r="AJ124" s="76">
        <f t="shared" si="249"/>
        <v>2016.4166666666667</v>
      </c>
      <c r="AK124" s="52">
        <f t="shared" si="250"/>
        <v>2018.9166666666667</v>
      </c>
      <c r="AL124" s="76">
        <f t="shared" si="251"/>
        <v>2026.4166666666667</v>
      </c>
      <c r="AM124" s="52">
        <f t="shared" si="252"/>
        <v>2019</v>
      </c>
      <c r="AN124" s="52">
        <f t="shared" si="253"/>
        <v>-8.3333333333333329E-2</v>
      </c>
      <c r="AO124" s="46"/>
    </row>
    <row r="125" spans="1:41" ht="15.75">
      <c r="A125" s="88" t="s">
        <v>611</v>
      </c>
      <c r="B125" s="55">
        <v>9</v>
      </c>
      <c r="C125" s="55">
        <v>2017</v>
      </c>
      <c r="D125" s="77">
        <v>50342</v>
      </c>
      <c r="E125" s="73">
        <v>0</v>
      </c>
      <c r="F125" s="58">
        <v>10</v>
      </c>
      <c r="G125" s="52">
        <f t="shared" si="237"/>
        <v>2027</v>
      </c>
      <c r="H125" s="58"/>
      <c r="I125" s="58"/>
      <c r="J125" s="57"/>
      <c r="K125" s="78">
        <f t="shared" si="238"/>
        <v>50342</v>
      </c>
      <c r="L125" s="78">
        <f t="shared" si="239"/>
        <v>419.51666666666665</v>
      </c>
      <c r="M125" s="78">
        <f t="shared" ref="M125" si="254">+L125*12</f>
        <v>5034.2</v>
      </c>
      <c r="N125" s="78">
        <f>+L125*4</f>
        <v>1678.0666666666666</v>
      </c>
      <c r="O125" s="78">
        <f t="shared" si="240"/>
        <v>6712.2666666666664</v>
      </c>
      <c r="P125" s="301">
        <f t="shared" si="241"/>
        <v>46146.833333333336</v>
      </c>
      <c r="Q125" s="78">
        <f t="shared" si="242"/>
        <v>0</v>
      </c>
      <c r="R125" s="78">
        <f t="shared" si="243"/>
        <v>5034.2</v>
      </c>
      <c r="S125" s="54">
        <v>1</v>
      </c>
      <c r="T125" s="52"/>
      <c r="U125" s="75"/>
      <c r="V125" s="75">
        <f t="shared" si="244"/>
        <v>5034.2</v>
      </c>
      <c r="W125" s="75"/>
      <c r="X125" s="75"/>
      <c r="Y125" s="75"/>
      <c r="Z125" s="53">
        <f t="shared" si="245"/>
        <v>5034.2</v>
      </c>
      <c r="AA125" s="52"/>
      <c r="AB125" s="75"/>
      <c r="AC125" s="75">
        <f t="shared" si="246"/>
        <v>46146.833333333336</v>
      </c>
      <c r="AD125" s="75"/>
      <c r="AE125" s="75"/>
      <c r="AF125" s="75"/>
      <c r="AG125" s="54">
        <v>1</v>
      </c>
      <c r="AH125" s="53">
        <f t="shared" si="247"/>
        <v>1678.0666666666666</v>
      </c>
      <c r="AI125" s="53">
        <f t="shared" si="248"/>
        <v>1678.0666666666666</v>
      </c>
      <c r="AJ125" s="76">
        <f t="shared" si="249"/>
        <v>2017.6666666666667</v>
      </c>
      <c r="AK125" s="52">
        <f t="shared" si="250"/>
        <v>2018.9166666666667</v>
      </c>
      <c r="AL125" s="76">
        <f t="shared" si="251"/>
        <v>2027.6666666666667</v>
      </c>
      <c r="AM125" s="52">
        <f t="shared" si="252"/>
        <v>2019</v>
      </c>
      <c r="AN125" s="52">
        <f t="shared" si="253"/>
        <v>-8.3333333333333329E-2</v>
      </c>
      <c r="AO125" s="46"/>
    </row>
    <row r="126" spans="1:41" ht="15.75">
      <c r="A126" s="55" t="s">
        <v>574</v>
      </c>
      <c r="B126" s="58"/>
      <c r="C126" s="58"/>
      <c r="D126" s="53">
        <f>SUM(D121:D125)</f>
        <v>160342.46000000002</v>
      </c>
      <c r="E126" s="79"/>
      <c r="F126" s="52"/>
      <c r="G126" s="52"/>
      <c r="H126" s="52"/>
      <c r="I126" s="52"/>
      <c r="J126" s="53"/>
      <c r="K126" s="53">
        <f t="shared" ref="K126:R126" si="255">SUM(K121:K125)</f>
        <v>160342.46000000002</v>
      </c>
      <c r="L126" s="53">
        <f t="shared" si="255"/>
        <v>1336.1871666666668</v>
      </c>
      <c r="M126" s="53">
        <f t="shared" si="255"/>
        <v>16034.245999999999</v>
      </c>
      <c r="N126" s="53">
        <f t="shared" si="255"/>
        <v>20517.781000000003</v>
      </c>
      <c r="O126" s="53">
        <f t="shared" si="255"/>
        <v>36552.027000000002</v>
      </c>
      <c r="P126" s="299">
        <f t="shared" si="255"/>
        <v>131807.55600000001</v>
      </c>
      <c r="Q126" s="53">
        <f t="shared" si="255"/>
        <v>0</v>
      </c>
      <c r="R126" s="53">
        <f t="shared" si="255"/>
        <v>16034.245999999999</v>
      </c>
      <c r="S126" s="53"/>
      <c r="T126" s="75">
        <f t="shared" ref="T126:AF126" si="256">SUM(T121:T125)</f>
        <v>0</v>
      </c>
      <c r="U126" s="75">
        <f t="shared" si="256"/>
        <v>0</v>
      </c>
      <c r="V126" s="75">
        <f t="shared" si="256"/>
        <v>16034.245999999999</v>
      </c>
      <c r="W126" s="75">
        <f t="shared" si="256"/>
        <v>0</v>
      </c>
      <c r="X126" s="75">
        <f t="shared" si="256"/>
        <v>0</v>
      </c>
      <c r="Y126" s="75">
        <f t="shared" si="256"/>
        <v>0</v>
      </c>
      <c r="Z126" s="53">
        <f t="shared" si="256"/>
        <v>16034.245999999999</v>
      </c>
      <c r="AA126" s="75">
        <f t="shared" si="256"/>
        <v>0</v>
      </c>
      <c r="AB126" s="75">
        <f t="shared" si="256"/>
        <v>0</v>
      </c>
      <c r="AC126" s="75">
        <f t="shared" si="256"/>
        <v>131807.55600000001</v>
      </c>
      <c r="AD126" s="75">
        <f t="shared" si="256"/>
        <v>0</v>
      </c>
      <c r="AE126" s="75">
        <f t="shared" si="256"/>
        <v>0</v>
      </c>
      <c r="AF126" s="75">
        <f t="shared" si="256"/>
        <v>0</v>
      </c>
      <c r="AG126" s="53"/>
      <c r="AH126" s="53">
        <f>SUM(AH121:AH125)</f>
        <v>20517.781000000003</v>
      </c>
      <c r="AI126" s="53">
        <f>SUM(AI121:AI125)</f>
        <v>20517.781000000003</v>
      </c>
      <c r="AJ126" s="76"/>
      <c r="AK126" s="52"/>
      <c r="AL126" s="76"/>
      <c r="AM126" s="52"/>
      <c r="AN126" s="52"/>
      <c r="AO126" s="46"/>
    </row>
    <row r="127" spans="1:41" ht="15.75">
      <c r="A127" s="55"/>
      <c r="B127" s="58"/>
      <c r="C127" s="58"/>
      <c r="D127" s="69"/>
      <c r="E127" s="70"/>
      <c r="F127" s="58"/>
      <c r="G127" s="58"/>
      <c r="H127" s="58"/>
      <c r="I127" s="58"/>
      <c r="J127" s="69"/>
      <c r="K127" s="69"/>
      <c r="L127" s="57"/>
      <c r="M127" s="57"/>
      <c r="N127" s="57"/>
      <c r="O127" s="57"/>
      <c r="P127" s="300"/>
      <c r="Q127" s="71"/>
      <c r="R127" s="71"/>
      <c r="S127" s="72"/>
      <c r="T127" s="82"/>
      <c r="U127" s="84"/>
      <c r="V127" s="84"/>
      <c r="W127" s="84"/>
      <c r="X127" s="84"/>
      <c r="Y127" s="84"/>
      <c r="Z127" s="71"/>
      <c r="AA127" s="82"/>
      <c r="AB127" s="82"/>
      <c r="AC127" s="82"/>
      <c r="AD127" s="82"/>
      <c r="AE127" s="82"/>
      <c r="AF127" s="82"/>
      <c r="AG127" s="72"/>
      <c r="AH127" s="72"/>
      <c r="AI127" s="72"/>
      <c r="AJ127" s="72"/>
      <c r="AK127" s="72"/>
      <c r="AL127" s="72"/>
      <c r="AM127" s="72"/>
      <c r="AN127" s="72"/>
      <c r="AO127" s="46"/>
    </row>
    <row r="128" spans="1:41" ht="15.75">
      <c r="A128" s="68" t="s">
        <v>612</v>
      </c>
      <c r="B128" s="55"/>
      <c r="C128" s="55"/>
      <c r="D128" s="69"/>
      <c r="E128" s="70"/>
      <c r="F128" s="58"/>
      <c r="G128" s="58"/>
      <c r="H128" s="58"/>
      <c r="I128" s="58"/>
      <c r="J128" s="69"/>
      <c r="K128" s="69"/>
      <c r="L128" s="57"/>
      <c r="M128" s="57"/>
      <c r="N128" s="57"/>
      <c r="O128" s="57"/>
      <c r="P128" s="300"/>
      <c r="Q128" s="71"/>
      <c r="R128" s="71"/>
      <c r="S128" s="72"/>
      <c r="T128" s="82"/>
      <c r="U128" s="84"/>
      <c r="V128" s="84"/>
      <c r="W128" s="84"/>
      <c r="X128" s="84"/>
      <c r="Y128" s="84"/>
      <c r="Z128" s="71"/>
      <c r="AA128" s="82"/>
      <c r="AB128" s="82"/>
      <c r="AC128" s="82"/>
      <c r="AD128" s="82"/>
      <c r="AE128" s="82"/>
      <c r="AF128" s="82"/>
      <c r="AG128" s="72"/>
      <c r="AH128" s="72"/>
      <c r="AI128" s="72"/>
      <c r="AJ128" s="72"/>
      <c r="AK128" s="72"/>
      <c r="AL128" s="72"/>
      <c r="AM128" s="72"/>
      <c r="AN128" s="72"/>
      <c r="AO128" s="46"/>
    </row>
    <row r="129" spans="1:41" ht="15.75">
      <c r="A129" s="68" t="s">
        <v>613</v>
      </c>
      <c r="B129" s="55"/>
      <c r="C129" s="55"/>
      <c r="D129" s="72"/>
      <c r="E129" s="73"/>
      <c r="F129" s="58"/>
      <c r="G129" s="52"/>
      <c r="H129" s="58"/>
      <c r="I129" s="58"/>
      <c r="J129" s="57"/>
      <c r="K129" s="53"/>
      <c r="L129" s="53"/>
      <c r="M129" s="53"/>
      <c r="N129" s="53"/>
      <c r="O129" s="53"/>
      <c r="P129" s="299"/>
      <c r="Q129" s="53"/>
      <c r="R129" s="53"/>
      <c r="S129" s="54"/>
      <c r="T129" s="75"/>
      <c r="U129" s="75"/>
      <c r="V129" s="75"/>
      <c r="W129" s="75"/>
      <c r="X129" s="75"/>
      <c r="Y129" s="75"/>
      <c r="Z129" s="53"/>
      <c r="AA129" s="75"/>
      <c r="AB129" s="75"/>
      <c r="AC129" s="75"/>
      <c r="AD129" s="75"/>
      <c r="AE129" s="75"/>
      <c r="AF129" s="75"/>
      <c r="AG129" s="54"/>
      <c r="AH129" s="53"/>
      <c r="AI129" s="53"/>
      <c r="AJ129" s="76"/>
      <c r="AK129" s="52"/>
      <c r="AL129" s="76"/>
      <c r="AM129" s="52"/>
      <c r="AN129" s="52"/>
      <c r="AO129" s="46"/>
    </row>
    <row r="130" spans="1:41" ht="15.75">
      <c r="A130" s="88" t="s">
        <v>614</v>
      </c>
      <c r="B130" s="55">
        <v>11</v>
      </c>
      <c r="C130" s="55">
        <v>2015</v>
      </c>
      <c r="D130" s="72">
        <f>11684.97+3188.64</f>
        <v>14873.609999999999</v>
      </c>
      <c r="E130" s="73">
        <v>0</v>
      </c>
      <c r="F130" s="58">
        <v>10</v>
      </c>
      <c r="G130" s="52">
        <f t="shared" ref="G130:G135" si="257">C130+F130</f>
        <v>2025</v>
      </c>
      <c r="H130" s="58"/>
      <c r="I130" s="58"/>
      <c r="J130" s="57"/>
      <c r="K130" s="53">
        <f t="shared" ref="K130:K135" si="258">D130-D130*E130</f>
        <v>14873.609999999999</v>
      </c>
      <c r="L130" s="53">
        <f t="shared" ref="L130:L135" si="259">K130/F130/12</f>
        <v>123.94674999999999</v>
      </c>
      <c r="M130" s="53">
        <f t="shared" ref="M130:M135" si="260">IF(J130&gt;0,0,IF(OR(AJ130&gt;AK130,AL130&lt;AM130),0,IF(AND(AL130&gt;=AM130,AL130&lt;=AK130),L130*((AL130-AM130)*12),IF(AND(AM130&lt;=AJ130,AK130&gt;=AJ130),((AK130-AJ130)*12)*L130,IF(AL130&gt;AK130,12*L130,0)))))</f>
        <v>1487.3609999999999</v>
      </c>
      <c r="N130" s="53">
        <f>+L130*26</f>
        <v>3222.6154999999999</v>
      </c>
      <c r="O130" s="53">
        <f t="shared" ref="O130:O135" si="261">IF(J130&gt;0,0,AI130+Z130*AG130)*AG130</f>
        <v>4709.9764999999998</v>
      </c>
      <c r="P130" s="299">
        <f t="shared" ref="P130:P135" si="262">((K130-N130)+(K130-O130))/2</f>
        <v>10907.313999999998</v>
      </c>
      <c r="Q130" s="53">
        <f t="shared" ref="Q130:Q135" si="263">IF(J130=0,0,IF(AND(AN130&gt;=AM130,AN130&lt;=AL130),((AN130-AM130)*12)*L130,0))</f>
        <v>0</v>
      </c>
      <c r="R130" s="53">
        <f t="shared" ref="R130:R135" si="264">IF(Q130&gt;0,Q130,M130)</f>
        <v>1487.3609999999999</v>
      </c>
      <c r="S130" s="54">
        <v>1</v>
      </c>
      <c r="T130" s="75">
        <f t="shared" ref="T130:T135" si="265">S130*(M130+Q130)</f>
        <v>1487.3609999999999</v>
      </c>
      <c r="U130" s="75"/>
      <c r="V130" s="75"/>
      <c r="W130" s="75"/>
      <c r="X130" s="75"/>
      <c r="Y130" s="75"/>
      <c r="Z130" s="53">
        <f t="shared" ref="Z130:Z135" si="266">S130*(M130+Q130)</f>
        <v>1487.3609999999999</v>
      </c>
      <c r="AA130" s="75">
        <f t="shared" ref="AA130:AA135" si="267">P130*S130</f>
        <v>10907.313999999998</v>
      </c>
      <c r="AB130" s="75"/>
      <c r="AC130" s="75"/>
      <c r="AD130" s="75"/>
      <c r="AE130" s="75"/>
      <c r="AF130" s="75"/>
      <c r="AG130" s="54">
        <v>1</v>
      </c>
      <c r="AH130" s="53">
        <f t="shared" ref="AH130:AH135" si="268">N130*S130</f>
        <v>3222.6154999999999</v>
      </c>
      <c r="AI130" s="53">
        <f t="shared" ref="AI130:AI135" si="269">AH130*AG130</f>
        <v>3222.6154999999999</v>
      </c>
      <c r="AJ130" s="76">
        <f t="shared" ref="AJ130:AJ135" si="270">$C130+(($B130-1)/12)</f>
        <v>2015.8333333333333</v>
      </c>
      <c r="AK130" s="52">
        <f t="shared" ref="AK130:AK135" si="271">($F$7+1)-($C$7/12)</f>
        <v>2018.9166666666667</v>
      </c>
      <c r="AL130" s="76">
        <f t="shared" ref="AL130:AL135" si="272">$G130+(($B130-1)/12)</f>
        <v>2025.8333333333333</v>
      </c>
      <c r="AM130" s="52">
        <f t="shared" ref="AM130:AM135" si="273">$D$7+($E$7/12)</f>
        <v>2019</v>
      </c>
      <c r="AN130" s="52">
        <f t="shared" ref="AN130:AN135" si="274">$I130+(($H130-1)/12)</f>
        <v>-8.3333333333333329E-2</v>
      </c>
      <c r="AO130" s="46"/>
    </row>
    <row r="131" spans="1:41" ht="15.75">
      <c r="A131" s="88" t="s">
        <v>615</v>
      </c>
      <c r="B131" s="55">
        <v>4</v>
      </c>
      <c r="C131" s="55">
        <v>2016</v>
      </c>
      <c r="D131" s="72">
        <f>5537.7+5920.21</f>
        <v>11457.91</v>
      </c>
      <c r="E131" s="73">
        <v>0</v>
      </c>
      <c r="F131" s="58">
        <v>10</v>
      </c>
      <c r="G131" s="52">
        <f t="shared" si="257"/>
        <v>2026</v>
      </c>
      <c r="H131" s="58"/>
      <c r="I131" s="58"/>
      <c r="J131" s="57"/>
      <c r="K131" s="53">
        <f t="shared" si="258"/>
        <v>11457.91</v>
      </c>
      <c r="L131" s="53">
        <f t="shared" si="259"/>
        <v>95.482583333333324</v>
      </c>
      <c r="M131" s="53">
        <f t="shared" si="260"/>
        <v>1145.7909999999999</v>
      </c>
      <c r="N131" s="53">
        <f>+L131*21</f>
        <v>2005.1342499999998</v>
      </c>
      <c r="O131" s="53">
        <f t="shared" si="261"/>
        <v>3150.9252499999998</v>
      </c>
      <c r="P131" s="299">
        <f t="shared" si="262"/>
        <v>8879.8802500000002</v>
      </c>
      <c r="Q131" s="53">
        <f t="shared" si="263"/>
        <v>0</v>
      </c>
      <c r="R131" s="53">
        <f t="shared" si="264"/>
        <v>1145.7909999999999</v>
      </c>
      <c r="S131" s="54">
        <v>1</v>
      </c>
      <c r="T131" s="75">
        <f t="shared" si="265"/>
        <v>1145.7909999999999</v>
      </c>
      <c r="U131" s="75"/>
      <c r="V131" s="75"/>
      <c r="W131" s="75"/>
      <c r="X131" s="75"/>
      <c r="Y131" s="75"/>
      <c r="Z131" s="53">
        <f t="shared" si="266"/>
        <v>1145.7909999999999</v>
      </c>
      <c r="AA131" s="75">
        <f t="shared" si="267"/>
        <v>8879.8802500000002</v>
      </c>
      <c r="AB131" s="75"/>
      <c r="AC131" s="75"/>
      <c r="AD131" s="75"/>
      <c r="AE131" s="75"/>
      <c r="AF131" s="75"/>
      <c r="AG131" s="54">
        <v>1</v>
      </c>
      <c r="AH131" s="53">
        <f t="shared" si="268"/>
        <v>2005.1342499999998</v>
      </c>
      <c r="AI131" s="53">
        <f t="shared" si="269"/>
        <v>2005.1342499999998</v>
      </c>
      <c r="AJ131" s="76">
        <f t="shared" si="270"/>
        <v>2016.25</v>
      </c>
      <c r="AK131" s="52">
        <f t="shared" si="271"/>
        <v>2018.9166666666667</v>
      </c>
      <c r="AL131" s="76">
        <f t="shared" si="272"/>
        <v>2026.25</v>
      </c>
      <c r="AM131" s="52">
        <f t="shared" si="273"/>
        <v>2019</v>
      </c>
      <c r="AN131" s="52">
        <f t="shared" si="274"/>
        <v>-8.3333333333333329E-2</v>
      </c>
      <c r="AO131" s="46"/>
    </row>
    <row r="132" spans="1:41" ht="15.75">
      <c r="A132" s="88" t="s">
        <v>616</v>
      </c>
      <c r="B132" s="55">
        <v>6</v>
      </c>
      <c r="C132" s="55">
        <v>2016</v>
      </c>
      <c r="D132" s="72">
        <f>19095.36+5813.58+11508.08+4220.41+2077.71</f>
        <v>42715.140000000007</v>
      </c>
      <c r="E132" s="73">
        <v>0</v>
      </c>
      <c r="F132" s="58">
        <v>10</v>
      </c>
      <c r="G132" s="52">
        <f t="shared" si="257"/>
        <v>2026</v>
      </c>
      <c r="H132" s="58"/>
      <c r="I132" s="58"/>
      <c r="J132" s="57"/>
      <c r="K132" s="53">
        <f t="shared" si="258"/>
        <v>42715.140000000007</v>
      </c>
      <c r="L132" s="53">
        <f t="shared" si="259"/>
        <v>355.95950000000011</v>
      </c>
      <c r="M132" s="53">
        <f t="shared" si="260"/>
        <v>4271.514000000001</v>
      </c>
      <c r="N132" s="53">
        <f>+L132*19</f>
        <v>6763.2305000000024</v>
      </c>
      <c r="O132" s="53">
        <f t="shared" si="261"/>
        <v>11034.744500000004</v>
      </c>
      <c r="P132" s="299">
        <f t="shared" si="262"/>
        <v>33816.152500000004</v>
      </c>
      <c r="Q132" s="53">
        <f t="shared" si="263"/>
        <v>0</v>
      </c>
      <c r="R132" s="53">
        <f t="shared" si="264"/>
        <v>4271.514000000001</v>
      </c>
      <c r="S132" s="54">
        <v>1</v>
      </c>
      <c r="T132" s="75">
        <f t="shared" si="265"/>
        <v>4271.514000000001</v>
      </c>
      <c r="U132" s="75"/>
      <c r="V132" s="75"/>
      <c r="W132" s="75"/>
      <c r="X132" s="75"/>
      <c r="Y132" s="75"/>
      <c r="Z132" s="53">
        <f t="shared" si="266"/>
        <v>4271.514000000001</v>
      </c>
      <c r="AA132" s="75">
        <f t="shared" si="267"/>
        <v>33816.152500000004</v>
      </c>
      <c r="AB132" s="75"/>
      <c r="AC132" s="75"/>
      <c r="AD132" s="75"/>
      <c r="AE132" s="75"/>
      <c r="AF132" s="75"/>
      <c r="AG132" s="54">
        <v>1</v>
      </c>
      <c r="AH132" s="53">
        <f t="shared" si="268"/>
        <v>6763.2305000000024</v>
      </c>
      <c r="AI132" s="53">
        <f t="shared" si="269"/>
        <v>6763.2305000000024</v>
      </c>
      <c r="AJ132" s="76">
        <f t="shared" si="270"/>
        <v>2016.4166666666667</v>
      </c>
      <c r="AK132" s="52">
        <f t="shared" si="271"/>
        <v>2018.9166666666667</v>
      </c>
      <c r="AL132" s="76">
        <f t="shared" si="272"/>
        <v>2026.4166666666667</v>
      </c>
      <c r="AM132" s="52">
        <f t="shared" si="273"/>
        <v>2019</v>
      </c>
      <c r="AN132" s="52">
        <f t="shared" si="274"/>
        <v>-8.3333333333333329E-2</v>
      </c>
      <c r="AO132" s="46"/>
    </row>
    <row r="133" spans="1:41" ht="15.75">
      <c r="A133" s="88" t="s">
        <v>617</v>
      </c>
      <c r="B133" s="55">
        <v>9</v>
      </c>
      <c r="C133" s="55">
        <v>2016</v>
      </c>
      <c r="D133" s="72">
        <v>35992.32</v>
      </c>
      <c r="E133" s="73">
        <v>0</v>
      </c>
      <c r="F133" s="58">
        <v>10</v>
      </c>
      <c r="G133" s="52">
        <f t="shared" si="257"/>
        <v>2026</v>
      </c>
      <c r="H133" s="58"/>
      <c r="I133" s="58"/>
      <c r="J133" s="57"/>
      <c r="K133" s="53">
        <f t="shared" si="258"/>
        <v>35992.32</v>
      </c>
      <c r="L133" s="53">
        <f t="shared" si="259"/>
        <v>299.93599999999998</v>
      </c>
      <c r="M133" s="53">
        <f t="shared" si="260"/>
        <v>3599.232</v>
      </c>
      <c r="N133" s="53">
        <f>+L133*16</f>
        <v>4798.9759999999997</v>
      </c>
      <c r="O133" s="53">
        <f t="shared" si="261"/>
        <v>8398.2079999999987</v>
      </c>
      <c r="P133" s="299">
        <f t="shared" si="262"/>
        <v>29393.728000000003</v>
      </c>
      <c r="Q133" s="53">
        <f t="shared" si="263"/>
        <v>0</v>
      </c>
      <c r="R133" s="53">
        <f t="shared" si="264"/>
        <v>3599.232</v>
      </c>
      <c r="S133" s="54">
        <v>1</v>
      </c>
      <c r="T133" s="75">
        <f t="shared" si="265"/>
        <v>3599.232</v>
      </c>
      <c r="U133" s="75"/>
      <c r="V133" s="75"/>
      <c r="W133" s="75"/>
      <c r="X133" s="75"/>
      <c r="Y133" s="75"/>
      <c r="Z133" s="53">
        <f t="shared" si="266"/>
        <v>3599.232</v>
      </c>
      <c r="AA133" s="75">
        <f t="shared" si="267"/>
        <v>29393.728000000003</v>
      </c>
      <c r="AB133" s="75"/>
      <c r="AC133" s="75"/>
      <c r="AD133" s="75"/>
      <c r="AE133" s="75"/>
      <c r="AF133" s="75"/>
      <c r="AG133" s="54">
        <v>1</v>
      </c>
      <c r="AH133" s="53">
        <f t="shared" si="268"/>
        <v>4798.9759999999997</v>
      </c>
      <c r="AI133" s="53">
        <f t="shared" si="269"/>
        <v>4798.9759999999997</v>
      </c>
      <c r="AJ133" s="76">
        <f t="shared" si="270"/>
        <v>2016.6666666666667</v>
      </c>
      <c r="AK133" s="52">
        <f t="shared" si="271"/>
        <v>2018.9166666666667</v>
      </c>
      <c r="AL133" s="76">
        <f t="shared" si="272"/>
        <v>2026.6666666666667</v>
      </c>
      <c r="AM133" s="52">
        <f t="shared" si="273"/>
        <v>2019</v>
      </c>
      <c r="AN133" s="52">
        <f t="shared" si="274"/>
        <v>-8.3333333333333329E-2</v>
      </c>
      <c r="AO133" s="46"/>
    </row>
    <row r="134" spans="1:41" ht="15.75">
      <c r="A134" s="88" t="s">
        <v>617</v>
      </c>
      <c r="B134" s="55">
        <v>10</v>
      </c>
      <c r="C134" s="55">
        <v>2016</v>
      </c>
      <c r="D134" s="72">
        <v>49913.14</v>
      </c>
      <c r="E134" s="73">
        <v>0</v>
      </c>
      <c r="F134" s="58">
        <v>10</v>
      </c>
      <c r="G134" s="52">
        <f t="shared" si="257"/>
        <v>2026</v>
      </c>
      <c r="H134" s="58"/>
      <c r="I134" s="58"/>
      <c r="J134" s="57"/>
      <c r="K134" s="53">
        <f t="shared" si="258"/>
        <v>49913.14</v>
      </c>
      <c r="L134" s="53">
        <f t="shared" si="259"/>
        <v>415.94283333333334</v>
      </c>
      <c r="M134" s="53">
        <f t="shared" si="260"/>
        <v>4991.3140000000003</v>
      </c>
      <c r="N134" s="53">
        <f>+L134*15</f>
        <v>6239.1424999999999</v>
      </c>
      <c r="O134" s="53">
        <f t="shared" si="261"/>
        <v>11230.4565</v>
      </c>
      <c r="P134" s="299">
        <f t="shared" si="262"/>
        <v>41178.340499999998</v>
      </c>
      <c r="Q134" s="53">
        <f t="shared" si="263"/>
        <v>0</v>
      </c>
      <c r="R134" s="53">
        <f t="shared" si="264"/>
        <v>4991.3140000000003</v>
      </c>
      <c r="S134" s="54">
        <v>1</v>
      </c>
      <c r="T134" s="75">
        <f t="shared" si="265"/>
        <v>4991.3140000000003</v>
      </c>
      <c r="U134" s="75"/>
      <c r="V134" s="75"/>
      <c r="W134" s="75"/>
      <c r="X134" s="75"/>
      <c r="Y134" s="75"/>
      <c r="Z134" s="53">
        <f t="shared" si="266"/>
        <v>4991.3140000000003</v>
      </c>
      <c r="AA134" s="75">
        <f t="shared" si="267"/>
        <v>41178.340499999998</v>
      </c>
      <c r="AB134" s="75"/>
      <c r="AC134" s="75"/>
      <c r="AD134" s="75"/>
      <c r="AE134" s="75"/>
      <c r="AF134" s="75"/>
      <c r="AG134" s="54">
        <v>1</v>
      </c>
      <c r="AH134" s="53">
        <f t="shared" si="268"/>
        <v>6239.1424999999999</v>
      </c>
      <c r="AI134" s="53">
        <f t="shared" si="269"/>
        <v>6239.1424999999999</v>
      </c>
      <c r="AJ134" s="76">
        <f t="shared" si="270"/>
        <v>2016.75</v>
      </c>
      <c r="AK134" s="52">
        <f t="shared" si="271"/>
        <v>2018.9166666666667</v>
      </c>
      <c r="AL134" s="76">
        <f t="shared" si="272"/>
        <v>2026.75</v>
      </c>
      <c r="AM134" s="52">
        <f t="shared" si="273"/>
        <v>2019</v>
      </c>
      <c r="AN134" s="52">
        <f t="shared" si="274"/>
        <v>-8.3333333333333329E-2</v>
      </c>
      <c r="AO134" s="46"/>
    </row>
    <row r="135" spans="1:41" ht="15.75">
      <c r="A135" s="88" t="s">
        <v>617</v>
      </c>
      <c r="B135" s="55">
        <v>11</v>
      </c>
      <c r="C135" s="55">
        <v>2016</v>
      </c>
      <c r="D135" s="77">
        <v>1078</v>
      </c>
      <c r="E135" s="73">
        <v>0</v>
      </c>
      <c r="F135" s="58">
        <v>10</v>
      </c>
      <c r="G135" s="52">
        <f t="shared" si="257"/>
        <v>2026</v>
      </c>
      <c r="H135" s="58"/>
      <c r="I135" s="58"/>
      <c r="J135" s="57"/>
      <c r="K135" s="78">
        <f t="shared" si="258"/>
        <v>1078</v>
      </c>
      <c r="L135" s="78">
        <f t="shared" si="259"/>
        <v>8.9833333333333325</v>
      </c>
      <c r="M135" s="78">
        <f t="shared" si="260"/>
        <v>107.79999999999998</v>
      </c>
      <c r="N135" s="78">
        <f>+L135*14</f>
        <v>125.76666666666665</v>
      </c>
      <c r="O135" s="78">
        <f t="shared" si="261"/>
        <v>233.56666666666663</v>
      </c>
      <c r="P135" s="301">
        <f t="shared" si="262"/>
        <v>898.33333333333337</v>
      </c>
      <c r="Q135" s="53">
        <f t="shared" si="263"/>
        <v>0</v>
      </c>
      <c r="R135" s="53">
        <f t="shared" si="264"/>
        <v>107.79999999999998</v>
      </c>
      <c r="S135" s="54">
        <v>1</v>
      </c>
      <c r="T135" s="75">
        <f t="shared" si="265"/>
        <v>107.79999999999998</v>
      </c>
      <c r="U135" s="75"/>
      <c r="V135" s="75"/>
      <c r="W135" s="75"/>
      <c r="X135" s="75"/>
      <c r="Y135" s="75"/>
      <c r="Z135" s="53">
        <f t="shared" si="266"/>
        <v>107.79999999999998</v>
      </c>
      <c r="AA135" s="75">
        <f t="shared" si="267"/>
        <v>898.33333333333337</v>
      </c>
      <c r="AB135" s="75"/>
      <c r="AC135" s="75"/>
      <c r="AD135" s="75"/>
      <c r="AE135" s="75"/>
      <c r="AF135" s="75"/>
      <c r="AG135" s="54">
        <v>1</v>
      </c>
      <c r="AH135" s="53">
        <f t="shared" si="268"/>
        <v>125.76666666666665</v>
      </c>
      <c r="AI135" s="53">
        <f t="shared" si="269"/>
        <v>125.76666666666665</v>
      </c>
      <c r="AJ135" s="76">
        <f t="shared" si="270"/>
        <v>2016.8333333333333</v>
      </c>
      <c r="AK135" s="52">
        <f t="shared" si="271"/>
        <v>2018.9166666666667</v>
      </c>
      <c r="AL135" s="76">
        <f t="shared" si="272"/>
        <v>2026.8333333333333</v>
      </c>
      <c r="AM135" s="52">
        <f t="shared" si="273"/>
        <v>2019</v>
      </c>
      <c r="AN135" s="52">
        <f t="shared" si="274"/>
        <v>-8.3333333333333329E-2</v>
      </c>
      <c r="AO135" s="46"/>
    </row>
    <row r="136" spans="1:41" ht="15.75">
      <c r="A136" s="55" t="s">
        <v>618</v>
      </c>
      <c r="B136" s="58"/>
      <c r="C136" s="58"/>
      <c r="D136" s="53">
        <f>SUM(D129:D135)</f>
        <v>156030.12</v>
      </c>
      <c r="E136" s="79"/>
      <c r="F136" s="52"/>
      <c r="G136" s="52"/>
      <c r="H136" s="52"/>
      <c r="I136" s="52"/>
      <c r="J136" s="53"/>
      <c r="K136" s="53">
        <f t="shared" ref="K136:R136" si="275">SUM(K129:K135)</f>
        <v>156030.12</v>
      </c>
      <c r="L136" s="53">
        <f t="shared" si="275"/>
        <v>1300.251</v>
      </c>
      <c r="M136" s="53">
        <f t="shared" si="275"/>
        <v>15603.012000000001</v>
      </c>
      <c r="N136" s="53">
        <f t="shared" si="275"/>
        <v>23154.865416666671</v>
      </c>
      <c r="O136" s="53">
        <f t="shared" si="275"/>
        <v>38757.87741666667</v>
      </c>
      <c r="P136" s="299">
        <f t="shared" si="275"/>
        <v>125073.74858333332</v>
      </c>
      <c r="Q136" s="53">
        <f t="shared" si="275"/>
        <v>0</v>
      </c>
      <c r="R136" s="53">
        <f t="shared" si="275"/>
        <v>15603.012000000001</v>
      </c>
      <c r="S136" s="53"/>
      <c r="T136" s="75">
        <f>SUM(T129:T135)</f>
        <v>15603.012000000001</v>
      </c>
      <c r="U136" s="75"/>
      <c r="V136" s="75"/>
      <c r="W136" s="75"/>
      <c r="X136" s="75"/>
      <c r="Y136" s="75"/>
      <c r="Z136" s="53">
        <f t="shared" ref="Z136:AF136" si="276">SUM(Z129:Z135)</f>
        <v>15603.012000000001</v>
      </c>
      <c r="AA136" s="75">
        <f t="shared" si="276"/>
        <v>125073.74858333332</v>
      </c>
      <c r="AB136" s="75">
        <f t="shared" si="276"/>
        <v>0</v>
      </c>
      <c r="AC136" s="75">
        <f t="shared" si="276"/>
        <v>0</v>
      </c>
      <c r="AD136" s="75">
        <f t="shared" si="276"/>
        <v>0</v>
      </c>
      <c r="AE136" s="75">
        <f t="shared" si="276"/>
        <v>0</v>
      </c>
      <c r="AF136" s="75">
        <f t="shared" si="276"/>
        <v>0</v>
      </c>
      <c r="AG136" s="53"/>
      <c r="AH136" s="53">
        <f>SUM(AH129:AH135)</f>
        <v>23154.865416666671</v>
      </c>
      <c r="AI136" s="53">
        <f>SUM(AI129:AI135)</f>
        <v>23154.865416666671</v>
      </c>
      <c r="AJ136" s="76"/>
      <c r="AK136" s="52"/>
      <c r="AL136" s="76"/>
      <c r="AM136" s="52"/>
      <c r="AN136" s="52"/>
      <c r="AO136" s="46"/>
    </row>
    <row r="137" spans="1:41" ht="15.75">
      <c r="A137" s="55"/>
      <c r="B137" s="58"/>
      <c r="C137" s="58"/>
      <c r="D137" s="69"/>
      <c r="E137" s="70"/>
      <c r="F137" s="58"/>
      <c r="G137" s="58"/>
      <c r="H137" s="58"/>
      <c r="I137" s="58"/>
      <c r="J137" s="69"/>
      <c r="K137" s="69"/>
      <c r="L137" s="57"/>
      <c r="M137" s="57"/>
      <c r="N137" s="57"/>
      <c r="O137" s="57"/>
      <c r="P137" s="300"/>
      <c r="Q137" s="71"/>
      <c r="R137" s="71"/>
      <c r="S137" s="72"/>
      <c r="T137" s="82"/>
      <c r="U137" s="84"/>
      <c r="V137" s="84"/>
      <c r="W137" s="84"/>
      <c r="X137" s="84"/>
      <c r="Y137" s="84"/>
      <c r="Z137" s="71"/>
      <c r="AA137" s="82"/>
      <c r="AB137" s="82"/>
      <c r="AC137" s="82"/>
      <c r="AD137" s="82"/>
      <c r="AE137" s="82"/>
      <c r="AF137" s="82"/>
      <c r="AG137" s="72"/>
      <c r="AH137" s="72"/>
      <c r="AI137" s="72"/>
      <c r="AJ137" s="72"/>
      <c r="AK137" s="72"/>
      <c r="AL137" s="72"/>
      <c r="AM137" s="72"/>
      <c r="AN137" s="72"/>
      <c r="AO137" s="46"/>
    </row>
    <row r="138" spans="1:41" ht="15.75">
      <c r="A138" s="68" t="s">
        <v>619</v>
      </c>
      <c r="B138" s="55"/>
      <c r="C138" s="55"/>
      <c r="D138" s="69"/>
      <c r="E138" s="70"/>
      <c r="F138" s="58"/>
      <c r="G138" s="58"/>
      <c r="H138" s="58"/>
      <c r="I138" s="58"/>
      <c r="J138" s="69"/>
      <c r="K138" s="69"/>
      <c r="L138" s="57"/>
      <c r="M138" s="57"/>
      <c r="N138" s="57"/>
      <c r="O138" s="57"/>
      <c r="P138" s="300"/>
      <c r="Q138" s="71"/>
      <c r="R138" s="71"/>
      <c r="S138" s="72"/>
      <c r="T138" s="82"/>
      <c r="U138" s="84"/>
      <c r="V138" s="84"/>
      <c r="W138" s="84"/>
      <c r="X138" s="84"/>
      <c r="Y138" s="84"/>
      <c r="Z138" s="71"/>
      <c r="AA138" s="82"/>
      <c r="AB138" s="82"/>
      <c r="AC138" s="82"/>
      <c r="AD138" s="82"/>
      <c r="AE138" s="82"/>
      <c r="AF138" s="82"/>
      <c r="AG138" s="72"/>
      <c r="AH138" s="72"/>
      <c r="AI138" s="72"/>
      <c r="AJ138" s="72"/>
      <c r="AK138" s="72"/>
      <c r="AL138" s="72"/>
      <c r="AM138" s="72"/>
      <c r="AN138" s="72"/>
      <c r="AO138" s="46"/>
    </row>
    <row r="139" spans="1:41" ht="15.75">
      <c r="A139" s="68" t="s">
        <v>620</v>
      </c>
      <c r="B139" s="55">
        <v>7</v>
      </c>
      <c r="C139" s="55">
        <v>1994</v>
      </c>
      <c r="D139" s="72">
        <v>108382</v>
      </c>
      <c r="E139" s="73">
        <v>0</v>
      </c>
      <c r="F139" s="58">
        <v>10</v>
      </c>
      <c r="G139" s="52">
        <f>C139+F139</f>
        <v>2004</v>
      </c>
      <c r="H139" s="58"/>
      <c r="I139" s="58"/>
      <c r="J139" s="57"/>
      <c r="K139" s="53">
        <f>D139-D139*E139</f>
        <v>108382</v>
      </c>
      <c r="L139" s="53">
        <f t="shared" ref="L139:L140" si="277">K139/F139/12</f>
        <v>903.18333333333339</v>
      </c>
      <c r="M139" s="53">
        <f>IF(J139&gt;0,0,IF(OR(AJ139&gt;AK139,AL139&lt;AM139),0,IF(AND(AL139&gt;=AM139,AL139&lt;=AK139),L139*((AL139-AM139)*12),IF(AND(AM139&lt;=AJ139,AK139&gt;=AJ139),((AK139-AJ139)*12)*L139,IF(AL139&gt;AK139,12*L139,0)))))</f>
        <v>0</v>
      </c>
      <c r="N139" s="53">
        <f>IF(AJ139&gt;AK139,0,IF(AL139&lt;AM139,K139,IF(AND(AL139&gt;=AM139,AL139&lt;=AK139),(K139-R139),IF(AND(AM139&lt;=AJ139,AK139&gt;=AJ139),0,IF(AL139&gt;AK139,((AM139-AJ139)*12)*L139,0)))))</f>
        <v>108382</v>
      </c>
      <c r="O139" s="53">
        <f>IF(J139&gt;0,0,AI139+Z139*AG139)*AG139</f>
        <v>108382</v>
      </c>
      <c r="P139" s="299">
        <f>IF(J139&gt;0,(D139-AI139)/2,IF(AJ139&gt;=AM139,(((D139*S139)*AG139)-O139)/2,((((D139*S139)*AG139)-AI139)+(((D139*S139)*AG139)-O139))/2))</f>
        <v>0</v>
      </c>
      <c r="Q139" s="53">
        <f>IF(J139=0,0,IF(AND(AN139&gt;=AM139,AN139&lt;=AL139),((AN139-AM139)*12)*L139,0))</f>
        <v>0</v>
      </c>
      <c r="R139" s="53">
        <f t="shared" ref="R139:R140" si="278">IF(Q139&gt;0,Q139,M139)</f>
        <v>0</v>
      </c>
      <c r="S139" s="54">
        <v>1</v>
      </c>
      <c r="T139" s="75">
        <f t="shared" ref="T139:Y139" si="279">$S$139*($M$139+$Q$139)*T10</f>
        <v>0</v>
      </c>
      <c r="U139" s="75">
        <f t="shared" si="279"/>
        <v>0</v>
      </c>
      <c r="V139" s="75">
        <f t="shared" si="279"/>
        <v>0</v>
      </c>
      <c r="W139" s="75">
        <f t="shared" si="279"/>
        <v>0</v>
      </c>
      <c r="X139" s="75">
        <f t="shared" si="279"/>
        <v>0</v>
      </c>
      <c r="Y139" s="75">
        <f t="shared" si="279"/>
        <v>0</v>
      </c>
      <c r="Z139" s="53">
        <f t="shared" ref="Z139:Z140" si="280">S139*(M139+Q139)</f>
        <v>0</v>
      </c>
      <c r="AA139" s="75">
        <f t="shared" ref="AA139:AF139" si="281">$P$139*$S$139*AA10</f>
        <v>0</v>
      </c>
      <c r="AB139" s="75">
        <f t="shared" si="281"/>
        <v>0</v>
      </c>
      <c r="AC139" s="75">
        <f t="shared" si="281"/>
        <v>0</v>
      </c>
      <c r="AD139" s="75">
        <f t="shared" si="281"/>
        <v>0</v>
      </c>
      <c r="AE139" s="75">
        <f t="shared" si="281"/>
        <v>0</v>
      </c>
      <c r="AF139" s="75">
        <f t="shared" si="281"/>
        <v>0</v>
      </c>
      <c r="AG139" s="54">
        <v>1</v>
      </c>
      <c r="AH139" s="53">
        <f>N139*S139</f>
        <v>108382</v>
      </c>
      <c r="AI139" s="53">
        <f>AH139*AG139</f>
        <v>108382</v>
      </c>
      <c r="AJ139" s="76">
        <f t="shared" ref="AJ139:AJ140" si="282">$C139+(($B139-1)/12)</f>
        <v>1994.5</v>
      </c>
      <c r="AK139" s="52">
        <f t="shared" ref="AK139:AK140" si="283">($F$7+1)-($C$7/12)</f>
        <v>2018.9166666666667</v>
      </c>
      <c r="AL139" s="76">
        <f t="shared" ref="AL139:AL140" si="284">$G139+(($B139-1)/12)</f>
        <v>2004.5</v>
      </c>
      <c r="AM139" s="52">
        <f t="shared" ref="AM139:AM140" si="285">$D$7+($E$7/12)</f>
        <v>2019</v>
      </c>
      <c r="AN139" s="52">
        <f t="shared" ref="AN139:AN140" si="286">$I139+(($H139-1)/12)</f>
        <v>-8.3333333333333329E-2</v>
      </c>
      <c r="AO139" s="46"/>
    </row>
    <row r="140" spans="1:41" ht="15.75">
      <c r="A140" s="85" t="s">
        <v>621</v>
      </c>
      <c r="B140" s="55">
        <v>7</v>
      </c>
      <c r="C140" s="55">
        <v>2013</v>
      </c>
      <c r="D140" s="77">
        <v>43489</v>
      </c>
      <c r="E140" s="73">
        <v>0</v>
      </c>
      <c r="F140" s="58">
        <v>10</v>
      </c>
      <c r="G140" s="52">
        <f>C140+F140</f>
        <v>2023</v>
      </c>
      <c r="H140" s="58"/>
      <c r="I140" s="58"/>
      <c r="J140" s="57"/>
      <c r="K140" s="78">
        <f>D140-D140*E140</f>
        <v>43489</v>
      </c>
      <c r="L140" s="78">
        <f t="shared" si="277"/>
        <v>362.4083333333333</v>
      </c>
      <c r="M140" s="78">
        <f>IF(J140&gt;0,0,IF(OR(AJ140&gt;AK140,AL140&lt;AM140),0,IF(AND(AL140&gt;=AM140,AL140&lt;=AK140),L140*((AL140-AM140)*12),IF(AND(AM140&lt;=AJ140,AK140&gt;=AJ140),((AK140-AJ140)*12)*L140,IF(AL140&gt;AK140,12*L140,0)))))</f>
        <v>4348.8999999999996</v>
      </c>
      <c r="N140" s="78">
        <f>+L140*54</f>
        <v>19570.05</v>
      </c>
      <c r="O140" s="78">
        <f>IF(J140&gt;0,0,AI140+Z140*AG140)*AG140</f>
        <v>23918.949999999997</v>
      </c>
      <c r="P140" s="301">
        <f t="shared" ref="P140" si="287">((K140-N140)+(K140-O140))/2</f>
        <v>21744.5</v>
      </c>
      <c r="Q140" s="78">
        <f>IF(J140=0,0,IF(AND(AN140&gt;=AM140,AN140&lt;=AL140),((AN140-AM140)*12)*L140,0))</f>
        <v>0</v>
      </c>
      <c r="R140" s="78">
        <f t="shared" si="278"/>
        <v>4348.8999999999996</v>
      </c>
      <c r="S140" s="54">
        <v>1</v>
      </c>
      <c r="T140" s="75">
        <f t="shared" ref="T140:Y140" si="288">$S$140*($M$140+$Q$140)*T10</f>
        <v>3390.6290749272966</v>
      </c>
      <c r="U140" s="75">
        <f t="shared" si="288"/>
        <v>259.43379049769095</v>
      </c>
      <c r="V140" s="75">
        <f t="shared" si="288"/>
        <v>327.16314560201357</v>
      </c>
      <c r="W140" s="75">
        <f t="shared" si="288"/>
        <v>33.630521931061388</v>
      </c>
      <c r="X140" s="75">
        <f t="shared" si="288"/>
        <v>27.80487191384249</v>
      </c>
      <c r="Y140" s="75">
        <f t="shared" si="288"/>
        <v>310.23859512809497</v>
      </c>
      <c r="Z140" s="53">
        <f t="shared" si="280"/>
        <v>4348.8999999999996</v>
      </c>
      <c r="AA140" s="75">
        <f t="shared" ref="AA140:AF140" si="289">$P$140*$S$140*AA10</f>
        <v>16953.145374636486</v>
      </c>
      <c r="AB140" s="75">
        <f t="shared" si="289"/>
        <v>1297.168952488455</v>
      </c>
      <c r="AC140" s="75">
        <f t="shared" si="289"/>
        <v>1635.8157280100679</v>
      </c>
      <c r="AD140" s="75">
        <f t="shared" si="289"/>
        <v>168.15260965530695</v>
      </c>
      <c r="AE140" s="75">
        <f t="shared" si="289"/>
        <v>139.02435956921246</v>
      </c>
      <c r="AF140" s="75">
        <f t="shared" si="289"/>
        <v>1551.192975640475</v>
      </c>
      <c r="AG140" s="54">
        <v>1</v>
      </c>
      <c r="AH140" s="53">
        <f>N140*S140</f>
        <v>19570.05</v>
      </c>
      <c r="AI140" s="53">
        <f>AH140*AG140</f>
        <v>19570.05</v>
      </c>
      <c r="AJ140" s="76">
        <f t="shared" si="282"/>
        <v>2013.5</v>
      </c>
      <c r="AK140" s="52">
        <f t="shared" si="283"/>
        <v>2018.9166666666667</v>
      </c>
      <c r="AL140" s="76">
        <f t="shared" si="284"/>
        <v>2023.5</v>
      </c>
      <c r="AM140" s="52">
        <f t="shared" si="285"/>
        <v>2019</v>
      </c>
      <c r="AN140" s="52">
        <f t="shared" si="286"/>
        <v>-8.3333333333333329E-2</v>
      </c>
      <c r="AO140" s="46"/>
    </row>
    <row r="141" spans="1:41" ht="15.75">
      <c r="A141" s="55" t="s">
        <v>622</v>
      </c>
      <c r="B141" s="58"/>
      <c r="C141" s="58"/>
      <c r="D141" s="53">
        <f>SUM(D139:D140)</f>
        <v>151871</v>
      </c>
      <c r="E141" s="79"/>
      <c r="F141" s="52"/>
      <c r="G141" s="52"/>
      <c r="H141" s="52"/>
      <c r="I141" s="52"/>
      <c r="J141" s="53"/>
      <c r="K141" s="53">
        <f t="shared" ref="K141:R141" si="290">SUM(K139:K140)</f>
        <v>151871</v>
      </c>
      <c r="L141" s="53">
        <f t="shared" si="290"/>
        <v>1265.5916666666667</v>
      </c>
      <c r="M141" s="53">
        <f t="shared" si="290"/>
        <v>4348.8999999999996</v>
      </c>
      <c r="N141" s="53">
        <f t="shared" si="290"/>
        <v>127952.05</v>
      </c>
      <c r="O141" s="53">
        <f t="shared" si="290"/>
        <v>132300.95000000001</v>
      </c>
      <c r="P141" s="299">
        <f t="shared" si="290"/>
        <v>21744.5</v>
      </c>
      <c r="Q141" s="53">
        <f t="shared" si="290"/>
        <v>0</v>
      </c>
      <c r="R141" s="53">
        <f t="shared" si="290"/>
        <v>4348.8999999999996</v>
      </c>
      <c r="S141" s="53"/>
      <c r="T141" s="75">
        <f>SUM(T139:T140)</f>
        <v>3390.6290749272966</v>
      </c>
      <c r="U141" s="75">
        <f t="shared" ref="U141:Y141" si="291">SUM(U139:U140)</f>
        <v>259.43379049769095</v>
      </c>
      <c r="V141" s="75">
        <f t="shared" si="291"/>
        <v>327.16314560201357</v>
      </c>
      <c r="W141" s="75">
        <f t="shared" si="291"/>
        <v>33.630521931061388</v>
      </c>
      <c r="X141" s="75">
        <f t="shared" si="291"/>
        <v>27.80487191384249</v>
      </c>
      <c r="Y141" s="75">
        <f t="shared" si="291"/>
        <v>310.23859512809497</v>
      </c>
      <c r="Z141" s="53">
        <f>SUM(Z139:Z140)</f>
        <v>4348.8999999999996</v>
      </c>
      <c r="AA141" s="75">
        <f>SUM(AA139:AA140)</f>
        <v>16953.145374636486</v>
      </c>
      <c r="AB141" s="75">
        <f t="shared" ref="AB141:AF141" si="292">SUM(AB139:AB140)</f>
        <v>1297.168952488455</v>
      </c>
      <c r="AC141" s="75">
        <f t="shared" si="292"/>
        <v>1635.8157280100679</v>
      </c>
      <c r="AD141" s="75">
        <f t="shared" si="292"/>
        <v>168.15260965530695</v>
      </c>
      <c r="AE141" s="75">
        <f t="shared" si="292"/>
        <v>139.02435956921246</v>
      </c>
      <c r="AF141" s="75">
        <f t="shared" si="292"/>
        <v>1551.192975640475</v>
      </c>
      <c r="AG141" s="53"/>
      <c r="AH141" s="53">
        <f>SUM(AH139:AH140)</f>
        <v>127952.05</v>
      </c>
      <c r="AI141" s="53">
        <f>SUM(AI139:AI140)</f>
        <v>127952.05</v>
      </c>
      <c r="AJ141" s="76"/>
      <c r="AK141" s="52"/>
      <c r="AL141" s="76"/>
      <c r="AM141" s="52"/>
      <c r="AN141" s="52"/>
      <c r="AO141" s="46"/>
    </row>
    <row r="142" spans="1:41" ht="15.75">
      <c r="A142" s="55"/>
      <c r="B142" s="58"/>
      <c r="C142" s="58"/>
      <c r="D142" s="69"/>
      <c r="E142" s="70"/>
      <c r="F142" s="58"/>
      <c r="G142" s="58"/>
      <c r="H142" s="58"/>
      <c r="I142" s="58"/>
      <c r="J142" s="69"/>
      <c r="K142" s="69"/>
      <c r="L142" s="57"/>
      <c r="M142" s="57"/>
      <c r="N142" s="57"/>
      <c r="O142" s="57"/>
      <c r="P142" s="300"/>
      <c r="Q142" s="71"/>
      <c r="R142" s="71"/>
      <c r="S142" s="72"/>
      <c r="T142" s="82"/>
      <c r="U142" s="84"/>
      <c r="V142" s="84"/>
      <c r="W142" s="84"/>
      <c r="X142" s="84"/>
      <c r="Y142" s="84"/>
      <c r="Z142" s="71"/>
      <c r="AA142" s="82"/>
      <c r="AB142" s="82"/>
      <c r="AC142" s="82"/>
      <c r="AD142" s="82"/>
      <c r="AE142" s="82"/>
      <c r="AF142" s="82"/>
      <c r="AG142" s="72"/>
      <c r="AH142" s="72"/>
      <c r="AI142" s="72"/>
      <c r="AJ142" s="72"/>
      <c r="AK142" s="72"/>
      <c r="AL142" s="72"/>
      <c r="AM142" s="72"/>
      <c r="AN142" s="72"/>
      <c r="AO142" s="46"/>
    </row>
    <row r="143" spans="1:41" ht="15.75">
      <c r="A143" s="68" t="s">
        <v>623</v>
      </c>
      <c r="B143" s="55"/>
      <c r="C143" s="55"/>
      <c r="D143" s="69"/>
      <c r="E143" s="70"/>
      <c r="F143" s="58"/>
      <c r="G143" s="58"/>
      <c r="H143" s="58"/>
      <c r="I143" s="58"/>
      <c r="J143" s="69"/>
      <c r="K143" s="69"/>
      <c r="L143" s="57"/>
      <c r="M143" s="57"/>
      <c r="N143" s="57"/>
      <c r="O143" s="57"/>
      <c r="P143" s="300"/>
      <c r="Q143" s="71"/>
      <c r="R143" s="71"/>
      <c r="S143" s="72"/>
      <c r="T143" s="82"/>
      <c r="U143" s="84"/>
      <c r="V143" s="84"/>
      <c r="W143" s="84"/>
      <c r="X143" s="84"/>
      <c r="Y143" s="84"/>
      <c r="Z143" s="71"/>
      <c r="AA143" s="82"/>
      <c r="AB143" s="82"/>
      <c r="AC143" s="82"/>
      <c r="AD143" s="82"/>
      <c r="AE143" s="82"/>
      <c r="AF143" s="82"/>
      <c r="AG143" s="72"/>
      <c r="AH143" s="72"/>
      <c r="AI143" s="72"/>
      <c r="AJ143" s="72"/>
      <c r="AK143" s="72"/>
      <c r="AL143" s="72"/>
      <c r="AM143" s="72"/>
      <c r="AN143" s="72"/>
      <c r="AO143" s="46"/>
    </row>
    <row r="144" spans="1:41" ht="15.75">
      <c r="A144" s="68" t="s">
        <v>624</v>
      </c>
      <c r="B144" s="55">
        <v>3</v>
      </c>
      <c r="C144" s="55">
        <v>2011</v>
      </c>
      <c r="D144" s="77">
        <v>10172</v>
      </c>
      <c r="E144" s="73">
        <v>0</v>
      </c>
      <c r="F144" s="58">
        <v>5</v>
      </c>
      <c r="G144" s="52">
        <f>C144+F144</f>
        <v>2016</v>
      </c>
      <c r="H144" s="58"/>
      <c r="I144" s="58"/>
      <c r="J144" s="57"/>
      <c r="K144" s="78">
        <f>D144-D144*E144</f>
        <v>10172</v>
      </c>
      <c r="L144" s="78">
        <f>K144/F144/12</f>
        <v>169.53333333333333</v>
      </c>
      <c r="M144" s="78">
        <f>IF(J144&gt;0,0,IF(OR(AJ144&gt;AK144,AL144&lt;AM144),0,IF(AND(AL144&gt;=AM144,AL144&lt;=AK144),L144*((AL144-AM144)*12),IF(AND(AM144&lt;=AJ144,AK144&gt;=AJ144),((AK144-AJ144)*12)*L144,IF(AL144&gt;AK144,12*L144,0)))))</f>
        <v>0</v>
      </c>
      <c r="N144" s="78">
        <f>IF(AJ144&gt;AK144,0,IF(AL144&lt;AM144,K144,IF(AND(AL144&gt;=AM144,AL144&lt;=AK144),(K144-R144),IF(AND(AM144&lt;=AJ144,AK144&gt;=AJ144),0,IF(AL144&gt;AK144,((AM144-AJ144)*12)*L144,0)))))</f>
        <v>10172</v>
      </c>
      <c r="O144" s="78">
        <f>IF(J144&gt;0,0,AI144+Z144*AG144)*AG144</f>
        <v>10172</v>
      </c>
      <c r="P144" s="301">
        <f>IF(J144&gt;0,(D144-AI144)/2,IF(AJ144&gt;=AM144,(((D144*S144)*AG144)-O144)/2,((((D144*S144)*AG144)-AI144)+(((D144*S144)*AG144)-O144))/2))</f>
        <v>0</v>
      </c>
      <c r="Q144" s="78">
        <f>IF(J144=0,0,IF(AND(AN144&gt;=AM144,AN144&lt;=AL144),((AN144-AM144)*12)*L144,0))</f>
        <v>0</v>
      </c>
      <c r="R144" s="78">
        <f>IF(Q144&gt;0,Q144,M144)</f>
        <v>0</v>
      </c>
      <c r="S144" s="54">
        <v>1</v>
      </c>
      <c r="T144" s="75">
        <f>S144*(M144+Q144)</f>
        <v>0</v>
      </c>
      <c r="U144" s="75"/>
      <c r="V144" s="75"/>
      <c r="W144" s="75"/>
      <c r="X144" s="75"/>
      <c r="Y144" s="75"/>
      <c r="Z144" s="53">
        <f>S144*(M144+Q144)</f>
        <v>0</v>
      </c>
      <c r="AA144" s="75">
        <f>P144*S144</f>
        <v>0</v>
      </c>
      <c r="AB144" s="75"/>
      <c r="AC144" s="75"/>
      <c r="AD144" s="75"/>
      <c r="AE144" s="75"/>
      <c r="AF144" s="75"/>
      <c r="AG144" s="54">
        <v>1</v>
      </c>
      <c r="AH144" s="53">
        <f>N144*S144</f>
        <v>10172</v>
      </c>
      <c r="AI144" s="53">
        <f>AH144*AG144</f>
        <v>10172</v>
      </c>
      <c r="AJ144" s="76">
        <f>$C144+(($B144-1)/12)</f>
        <v>2011.1666666666667</v>
      </c>
      <c r="AK144" s="52">
        <f>($F$7+1)-($C$7/12)</f>
        <v>2018.9166666666667</v>
      </c>
      <c r="AL144" s="76">
        <f>$G144+(($B144-1)/12)</f>
        <v>2016.1666666666667</v>
      </c>
      <c r="AM144" s="52">
        <f>$D$7+($E$7/12)</f>
        <v>2019</v>
      </c>
      <c r="AN144" s="52">
        <f>$I144+(($H144-1)/12)</f>
        <v>-8.3333333333333329E-2</v>
      </c>
      <c r="AO144" s="46"/>
    </row>
    <row r="145" spans="1:41" ht="15.75">
      <c r="A145" s="55" t="s">
        <v>625</v>
      </c>
      <c r="B145" s="58"/>
      <c r="C145" s="58"/>
      <c r="D145" s="53">
        <f>SUM(D144:D144)</f>
        <v>10172</v>
      </c>
      <c r="E145" s="79"/>
      <c r="F145" s="52"/>
      <c r="G145" s="52"/>
      <c r="H145" s="52"/>
      <c r="I145" s="52"/>
      <c r="J145" s="53"/>
      <c r="K145" s="53">
        <f t="shared" ref="K145:R145" si="293">SUM(K144:K144)</f>
        <v>10172</v>
      </c>
      <c r="L145" s="53">
        <f t="shared" si="293"/>
        <v>169.53333333333333</v>
      </c>
      <c r="M145" s="53">
        <f t="shared" si="293"/>
        <v>0</v>
      </c>
      <c r="N145" s="53">
        <f t="shared" si="293"/>
        <v>10172</v>
      </c>
      <c r="O145" s="53">
        <f t="shared" si="293"/>
        <v>10172</v>
      </c>
      <c r="P145" s="299">
        <f t="shared" si="293"/>
        <v>0</v>
      </c>
      <c r="Q145" s="53">
        <f t="shared" si="293"/>
        <v>0</v>
      </c>
      <c r="R145" s="53">
        <f t="shared" si="293"/>
        <v>0</v>
      </c>
      <c r="S145" s="53"/>
      <c r="T145" s="75">
        <f>SUM(T144)</f>
        <v>0</v>
      </c>
      <c r="U145" s="75"/>
      <c r="V145" s="75"/>
      <c r="W145" s="75"/>
      <c r="X145" s="75"/>
      <c r="Y145" s="75"/>
      <c r="Z145" s="53">
        <f>SUM(Z144:Z144)</f>
        <v>0</v>
      </c>
      <c r="AA145" s="75">
        <f>SUM(AA144:AA144)</f>
        <v>0</v>
      </c>
      <c r="AB145" s="75">
        <f t="shared" ref="AB145:AF145" si="294">SUM(AB144:AB144)</f>
        <v>0</v>
      </c>
      <c r="AC145" s="75">
        <f t="shared" si="294"/>
        <v>0</v>
      </c>
      <c r="AD145" s="75">
        <f t="shared" si="294"/>
        <v>0</v>
      </c>
      <c r="AE145" s="75">
        <f t="shared" si="294"/>
        <v>0</v>
      </c>
      <c r="AF145" s="75">
        <f t="shared" si="294"/>
        <v>0</v>
      </c>
      <c r="AG145" s="53"/>
      <c r="AH145" s="53">
        <f>SUM(AH144:AH144)</f>
        <v>10172</v>
      </c>
      <c r="AI145" s="53">
        <f>SUM(AI144:AI144)</f>
        <v>10172</v>
      </c>
      <c r="AJ145" s="76"/>
      <c r="AK145" s="52"/>
      <c r="AL145" s="76"/>
      <c r="AM145" s="52"/>
      <c r="AN145" s="52"/>
      <c r="AO145" s="46"/>
    </row>
    <row r="146" spans="1:41" ht="15.75">
      <c r="A146" s="55"/>
      <c r="B146" s="58"/>
      <c r="C146" s="58"/>
      <c r="D146" s="69"/>
      <c r="E146" s="70"/>
      <c r="F146" s="58"/>
      <c r="G146" s="58"/>
      <c r="H146" s="58"/>
      <c r="I146" s="58"/>
      <c r="J146" s="69"/>
      <c r="K146" s="69"/>
      <c r="L146" s="57"/>
      <c r="M146" s="57"/>
      <c r="N146" s="57"/>
      <c r="O146" s="57"/>
      <c r="P146" s="300"/>
      <c r="Q146" s="71"/>
      <c r="R146" s="71"/>
      <c r="S146" s="72"/>
      <c r="T146" s="82"/>
      <c r="U146" s="84"/>
      <c r="V146" s="84"/>
      <c r="W146" s="84"/>
      <c r="X146" s="84"/>
      <c r="Y146" s="84"/>
      <c r="Z146" s="71"/>
      <c r="AA146" s="82"/>
      <c r="AB146" s="82"/>
      <c r="AC146" s="82"/>
      <c r="AD146" s="82"/>
      <c r="AE146" s="82"/>
      <c r="AF146" s="82"/>
      <c r="AG146" s="72"/>
      <c r="AH146" s="72"/>
      <c r="AI146" s="72"/>
      <c r="AJ146" s="72"/>
      <c r="AK146" s="72"/>
      <c r="AL146" s="72"/>
      <c r="AM146" s="72"/>
      <c r="AN146" s="72"/>
      <c r="AO146" s="46"/>
    </row>
    <row r="147" spans="1:41" ht="15.75">
      <c r="A147" s="68" t="s">
        <v>626</v>
      </c>
      <c r="B147" s="55"/>
      <c r="C147" s="55"/>
      <c r="D147" s="69"/>
      <c r="E147" s="70"/>
      <c r="F147" s="58"/>
      <c r="G147" s="58"/>
      <c r="H147" s="58"/>
      <c r="I147" s="58"/>
      <c r="J147" s="69"/>
      <c r="K147" s="69"/>
      <c r="L147" s="57"/>
      <c r="M147" s="57"/>
      <c r="N147" s="57"/>
      <c r="O147" s="57"/>
      <c r="P147" s="300"/>
      <c r="Q147" s="71"/>
      <c r="R147" s="71"/>
      <c r="S147" s="72"/>
      <c r="T147" s="82"/>
      <c r="U147" s="84"/>
      <c r="V147" s="84"/>
      <c r="W147" s="84"/>
      <c r="X147" s="84"/>
      <c r="Y147" s="84"/>
      <c r="Z147" s="71"/>
      <c r="AA147" s="82"/>
      <c r="AB147" s="82"/>
      <c r="AC147" s="82"/>
      <c r="AD147" s="82"/>
      <c r="AE147" s="82"/>
      <c r="AF147" s="82"/>
      <c r="AG147" s="72"/>
      <c r="AH147" s="72"/>
      <c r="AI147" s="72"/>
      <c r="AJ147" s="72"/>
      <c r="AK147" s="72"/>
      <c r="AL147" s="72"/>
      <c r="AM147" s="72"/>
      <c r="AN147" s="72"/>
      <c r="AO147" s="46"/>
    </row>
    <row r="148" spans="1:41" ht="15.75">
      <c r="A148" s="68" t="s">
        <v>627</v>
      </c>
      <c r="B148" s="55">
        <v>12</v>
      </c>
      <c r="C148" s="55">
        <v>2003</v>
      </c>
      <c r="D148" s="72">
        <v>592919</v>
      </c>
      <c r="E148" s="73">
        <v>0</v>
      </c>
      <c r="F148" s="58">
        <v>7</v>
      </c>
      <c r="G148" s="52">
        <f t="shared" ref="G148:G153" si="295">C148+F148</f>
        <v>2010</v>
      </c>
      <c r="H148" s="58"/>
      <c r="I148" s="58"/>
      <c r="J148" s="57"/>
      <c r="K148" s="53">
        <f t="shared" ref="K148:K153" si="296">D148-D148*E148</f>
        <v>592919</v>
      </c>
      <c r="L148" s="53">
        <f t="shared" ref="L148:L150" si="297">K148/F148/12</f>
        <v>7058.5595238095239</v>
      </c>
      <c r="M148" s="53">
        <f>IF(J148&gt;0,0,IF(OR(AJ148&gt;AK148,AL148&lt;AM148),0,IF(AND(AL148&gt;=AM148,AL148&lt;=AK148),L148*((AL148-AM148)*12),IF(AND(AM148&lt;=AJ148,AK148&gt;=AJ148),((AK148-AJ148)*12)*L148,IF(AL148&gt;AK148,12*L148,0)))))</f>
        <v>0</v>
      </c>
      <c r="N148" s="53">
        <f t="shared" ref="N148:N150" si="298">IF(AJ148&gt;AK148,0,IF(AL148&lt;AM148,K148,IF(AND(AL148&gt;=AM148,AL148&lt;=AK148),(K148-R148),IF(AND(AM148&lt;=AJ148,AK148&gt;=AJ148),0,IF(AL148&gt;AK148,((AM148-AJ148)*12)*L148,0)))))</f>
        <v>592919</v>
      </c>
      <c r="O148" s="53">
        <f t="shared" ref="O148:O153" si="299">IF(J148&gt;0,0,AI148+Z148*AG148)*AG148</f>
        <v>592919</v>
      </c>
      <c r="P148" s="299">
        <f>IF(J148&gt;0,(D148-AI148)/2,IF(AJ148&gt;=AM148,(((D148*S148)*AG148)-O148)/2,((((D148*S148)*AG148)-AI148)+(((D148*S148)*AG148)-O148))/2))</f>
        <v>0</v>
      </c>
      <c r="Q148" s="53">
        <f t="shared" ref="Q148:Q153" si="300">IF(J148=0,0,IF(AND(AN148&gt;=AM148,AN148&lt;=AL148),((AN148-AM148)*12)*L148,0))</f>
        <v>0</v>
      </c>
      <c r="R148" s="53">
        <f t="shared" ref="R148:R153" si="301">IF(Q148&gt;0,Q148,M148)</f>
        <v>0</v>
      </c>
      <c r="S148" s="54">
        <v>1</v>
      </c>
      <c r="T148" s="75">
        <f>S148*(M148+Q148)</f>
        <v>0</v>
      </c>
      <c r="U148" s="75"/>
      <c r="V148" s="75"/>
      <c r="W148" s="75"/>
      <c r="X148" s="75"/>
      <c r="Y148" s="75"/>
      <c r="Z148" s="53">
        <f t="shared" ref="Z148:Z153" si="302">S148*(M148+Q148)</f>
        <v>0</v>
      </c>
      <c r="AA148" s="75">
        <f t="shared" ref="AA148:AA153" si="303">P148*S148</f>
        <v>0</v>
      </c>
      <c r="AB148" s="75"/>
      <c r="AC148" s="75"/>
      <c r="AD148" s="75"/>
      <c r="AE148" s="75"/>
      <c r="AF148" s="75"/>
      <c r="AG148" s="54">
        <v>1</v>
      </c>
      <c r="AH148" s="53">
        <f t="shared" ref="AH148:AH153" si="304">N148*S148</f>
        <v>592919</v>
      </c>
      <c r="AI148" s="53">
        <f t="shared" ref="AI148:AI153" si="305">AH148*AG148</f>
        <v>592919</v>
      </c>
      <c r="AJ148" s="76">
        <f t="shared" ref="AJ148:AJ153" si="306">$C148+(($B148-1)/12)</f>
        <v>2003.9166666666667</v>
      </c>
      <c r="AK148" s="52">
        <f t="shared" ref="AK148:AK153" si="307">($F$7+1)-($C$7/12)</f>
        <v>2018.9166666666667</v>
      </c>
      <c r="AL148" s="76">
        <f t="shared" ref="AL148:AL153" si="308">$G148+(($B148-1)/12)</f>
        <v>2010.9166666666667</v>
      </c>
      <c r="AM148" s="52">
        <f t="shared" ref="AM148:AM153" si="309">$D$7+($E$7/12)</f>
        <v>2019</v>
      </c>
      <c r="AN148" s="52">
        <f t="shared" ref="AN148:AN153" si="310">$I148+(($H148-1)/12)</f>
        <v>-8.3333333333333329E-2</v>
      </c>
      <c r="AO148" s="46"/>
    </row>
    <row r="149" spans="1:41" ht="15.75">
      <c r="A149" s="55" t="s">
        <v>628</v>
      </c>
      <c r="B149" s="55">
        <v>11</v>
      </c>
      <c r="C149" s="55">
        <v>2006</v>
      </c>
      <c r="D149" s="72">
        <v>202043</v>
      </c>
      <c r="E149" s="73">
        <v>0</v>
      </c>
      <c r="F149" s="58">
        <v>7</v>
      </c>
      <c r="G149" s="52">
        <f t="shared" si="295"/>
        <v>2013</v>
      </c>
      <c r="H149" s="58"/>
      <c r="I149" s="58"/>
      <c r="J149" s="57"/>
      <c r="K149" s="53">
        <f t="shared" si="296"/>
        <v>202043</v>
      </c>
      <c r="L149" s="53">
        <f t="shared" si="297"/>
        <v>2405.2738095238096</v>
      </c>
      <c r="M149" s="53">
        <f>IF(J149&gt;0,0,IF(OR(AJ149&gt;AK149,AL149&lt;AM149),0,IF(AND(AL149&gt;=AM149,AL149&lt;=AK149),L149*((AL149-AM149)*12),IF(AND(AM149&lt;=AJ149,AK149&gt;=AJ149),((AK149-AJ149)*12)*L149,IF(AL149&gt;AK149,12*L149,0)))))</f>
        <v>0</v>
      </c>
      <c r="N149" s="53">
        <f t="shared" si="298"/>
        <v>202043</v>
      </c>
      <c r="O149" s="53">
        <f t="shared" si="299"/>
        <v>202043</v>
      </c>
      <c r="P149" s="299">
        <f>IF(J149&gt;0,(D149-AI149)/2,IF(AJ149&gt;=AM149,(((D149*S149)*AG149)-O149)/2,((((D149*S149)*AG149)-AI149)+(((D149*S149)*AG149)-O149))/2))</f>
        <v>0</v>
      </c>
      <c r="Q149" s="53">
        <f t="shared" si="300"/>
        <v>0</v>
      </c>
      <c r="R149" s="53">
        <f t="shared" si="301"/>
        <v>0</v>
      </c>
      <c r="S149" s="54">
        <v>1</v>
      </c>
      <c r="T149" s="75">
        <f t="shared" ref="T149:T153" si="311">S149*(M149+Q149)</f>
        <v>0</v>
      </c>
      <c r="U149" s="75"/>
      <c r="V149" s="75"/>
      <c r="W149" s="75"/>
      <c r="X149" s="75"/>
      <c r="Y149" s="75"/>
      <c r="Z149" s="53">
        <f t="shared" si="302"/>
        <v>0</v>
      </c>
      <c r="AA149" s="75">
        <f t="shared" si="303"/>
        <v>0</v>
      </c>
      <c r="AB149" s="75"/>
      <c r="AC149" s="75"/>
      <c r="AD149" s="75"/>
      <c r="AE149" s="75"/>
      <c r="AF149" s="75"/>
      <c r="AG149" s="54">
        <v>1</v>
      </c>
      <c r="AH149" s="53">
        <f t="shared" si="304"/>
        <v>202043</v>
      </c>
      <c r="AI149" s="53">
        <f t="shared" si="305"/>
        <v>202043</v>
      </c>
      <c r="AJ149" s="76">
        <f t="shared" si="306"/>
        <v>2006.8333333333333</v>
      </c>
      <c r="AK149" s="52">
        <f t="shared" si="307"/>
        <v>2018.9166666666667</v>
      </c>
      <c r="AL149" s="76">
        <f t="shared" si="308"/>
        <v>2013.8333333333333</v>
      </c>
      <c r="AM149" s="52">
        <f t="shared" si="309"/>
        <v>2019</v>
      </c>
      <c r="AN149" s="52">
        <f t="shared" si="310"/>
        <v>-8.3333333333333329E-2</v>
      </c>
      <c r="AO149" s="46"/>
    </row>
    <row r="150" spans="1:41" ht="15.75">
      <c r="A150" s="55" t="s">
        <v>629</v>
      </c>
      <c r="B150" s="55">
        <v>9</v>
      </c>
      <c r="C150" s="55">
        <v>2006</v>
      </c>
      <c r="D150" s="72">
        <v>229103</v>
      </c>
      <c r="E150" s="73">
        <v>0</v>
      </c>
      <c r="F150" s="58">
        <v>7</v>
      </c>
      <c r="G150" s="52">
        <f t="shared" si="295"/>
        <v>2013</v>
      </c>
      <c r="H150" s="58"/>
      <c r="I150" s="58"/>
      <c r="J150" s="57"/>
      <c r="K150" s="53">
        <f t="shared" si="296"/>
        <v>229103</v>
      </c>
      <c r="L150" s="53">
        <f t="shared" si="297"/>
        <v>2727.4166666666665</v>
      </c>
      <c r="M150" s="53">
        <f t="shared" ref="M150:M152" si="312">IF(J150&gt;0,0,IF(OR(AJ150&gt;AK150,AL150&lt;AM150),0,IF(AND(AL150&gt;=AM150,AL150&lt;=AK150),L150*((AL150-AM150)*12),IF(AND(AM150&lt;=AJ150,AK150&gt;=AJ150),((AK150-AJ150)*12)*L150,IF(AL150&gt;AK150,12*L150,0)))))</f>
        <v>0</v>
      </c>
      <c r="N150" s="53">
        <f t="shared" si="298"/>
        <v>229103</v>
      </c>
      <c r="O150" s="53">
        <f t="shared" si="299"/>
        <v>229103</v>
      </c>
      <c r="P150" s="299">
        <f>IF(J150&gt;0,(D150-AI150)/2,IF(AJ150&gt;=AM150,(((D150*S150)*AG150)-O150)/2,((((D150*S150)*AG150)-AI150)+(((D150*S150)*AG150)-O150))/2))</f>
        <v>0</v>
      </c>
      <c r="Q150" s="53">
        <f t="shared" si="300"/>
        <v>0</v>
      </c>
      <c r="R150" s="53">
        <f t="shared" si="301"/>
        <v>0</v>
      </c>
      <c r="S150" s="54">
        <v>1</v>
      </c>
      <c r="T150" s="75">
        <f t="shared" si="311"/>
        <v>0</v>
      </c>
      <c r="U150" s="75"/>
      <c r="V150" s="75"/>
      <c r="W150" s="75"/>
      <c r="X150" s="75"/>
      <c r="Y150" s="75"/>
      <c r="Z150" s="53">
        <f t="shared" si="302"/>
        <v>0</v>
      </c>
      <c r="AA150" s="75">
        <f t="shared" si="303"/>
        <v>0</v>
      </c>
      <c r="AB150" s="75"/>
      <c r="AC150" s="75"/>
      <c r="AD150" s="75"/>
      <c r="AE150" s="75"/>
      <c r="AF150" s="75"/>
      <c r="AG150" s="54">
        <v>1</v>
      </c>
      <c r="AH150" s="53">
        <f t="shared" si="304"/>
        <v>229103</v>
      </c>
      <c r="AI150" s="53">
        <f t="shared" si="305"/>
        <v>229103</v>
      </c>
      <c r="AJ150" s="76">
        <f t="shared" si="306"/>
        <v>2006.6666666666667</v>
      </c>
      <c r="AK150" s="52">
        <f t="shared" si="307"/>
        <v>2018.9166666666667</v>
      </c>
      <c r="AL150" s="76">
        <f t="shared" si="308"/>
        <v>2013.6666666666667</v>
      </c>
      <c r="AM150" s="52">
        <f t="shared" si="309"/>
        <v>2019</v>
      </c>
      <c r="AN150" s="52">
        <f t="shared" si="310"/>
        <v>-8.3333333333333329E-2</v>
      </c>
      <c r="AO150" s="46"/>
    </row>
    <row r="151" spans="1:41" ht="15.75">
      <c r="A151" s="55" t="s">
        <v>630</v>
      </c>
      <c r="B151" s="55">
        <v>12</v>
      </c>
      <c r="C151" s="55">
        <v>2013</v>
      </c>
      <c r="D151" s="72">
        <v>259459</v>
      </c>
      <c r="E151" s="73">
        <v>0</v>
      </c>
      <c r="F151" s="58">
        <v>7</v>
      </c>
      <c r="G151" s="52">
        <f t="shared" si="295"/>
        <v>2020</v>
      </c>
      <c r="H151" s="58"/>
      <c r="I151" s="58"/>
      <c r="J151" s="57"/>
      <c r="K151" s="53">
        <f t="shared" si="296"/>
        <v>259459</v>
      </c>
      <c r="L151" s="53">
        <f>K151/F151/12</f>
        <v>3088.7976190476188</v>
      </c>
      <c r="M151" s="53">
        <f t="shared" si="312"/>
        <v>37065.571428571428</v>
      </c>
      <c r="N151" s="53">
        <f>+L151*49</f>
        <v>151351.08333333331</v>
      </c>
      <c r="O151" s="53">
        <f t="shared" si="299"/>
        <v>188416.65476190473</v>
      </c>
      <c r="P151" s="299">
        <f t="shared" ref="P151:P153" si="313">((K151-N151)+(K151-O151))/2</f>
        <v>89575.130952380976</v>
      </c>
      <c r="Q151" s="53">
        <f t="shared" si="300"/>
        <v>0</v>
      </c>
      <c r="R151" s="53">
        <f t="shared" si="301"/>
        <v>37065.571428571428</v>
      </c>
      <c r="S151" s="54">
        <v>1</v>
      </c>
      <c r="T151" s="75">
        <f t="shared" si="311"/>
        <v>37065.571428571428</v>
      </c>
      <c r="U151" s="75"/>
      <c r="V151" s="75"/>
      <c r="W151" s="75"/>
      <c r="X151" s="75"/>
      <c r="Y151" s="75"/>
      <c r="Z151" s="53">
        <f t="shared" si="302"/>
        <v>37065.571428571428</v>
      </c>
      <c r="AA151" s="75">
        <f t="shared" si="303"/>
        <v>89575.130952380976</v>
      </c>
      <c r="AB151" s="75"/>
      <c r="AC151" s="75"/>
      <c r="AD151" s="75"/>
      <c r="AE151" s="75"/>
      <c r="AF151" s="75"/>
      <c r="AG151" s="54">
        <v>1</v>
      </c>
      <c r="AH151" s="53">
        <f t="shared" si="304"/>
        <v>151351.08333333331</v>
      </c>
      <c r="AI151" s="53">
        <f t="shared" si="305"/>
        <v>151351.08333333331</v>
      </c>
      <c r="AJ151" s="76">
        <f t="shared" si="306"/>
        <v>2013.9166666666667</v>
      </c>
      <c r="AK151" s="52">
        <f t="shared" si="307"/>
        <v>2018.9166666666667</v>
      </c>
      <c r="AL151" s="76">
        <f t="shared" si="308"/>
        <v>2020.9166666666667</v>
      </c>
      <c r="AM151" s="52">
        <f t="shared" si="309"/>
        <v>2019</v>
      </c>
      <c r="AN151" s="52">
        <f t="shared" si="310"/>
        <v>-8.3333333333333329E-2</v>
      </c>
      <c r="AO151" s="46"/>
    </row>
    <row r="152" spans="1:41" ht="15.75">
      <c r="A152" s="88" t="s">
        <v>631</v>
      </c>
      <c r="B152" s="55">
        <v>5</v>
      </c>
      <c r="C152" s="55">
        <v>2016</v>
      </c>
      <c r="D152" s="72">
        <v>131000</v>
      </c>
      <c r="E152" s="73">
        <v>0</v>
      </c>
      <c r="F152" s="58">
        <v>7</v>
      </c>
      <c r="G152" s="52">
        <f t="shared" si="295"/>
        <v>2023</v>
      </c>
      <c r="H152" s="58"/>
      <c r="I152" s="58"/>
      <c r="J152" s="57"/>
      <c r="K152" s="53">
        <f t="shared" si="296"/>
        <v>131000</v>
      </c>
      <c r="L152" s="53">
        <f>K152/F152/12</f>
        <v>1559.5238095238094</v>
      </c>
      <c r="M152" s="53">
        <f t="shared" si="312"/>
        <v>18714.285714285714</v>
      </c>
      <c r="N152" s="53">
        <f>+L152*20</f>
        <v>31190.476190476187</v>
      </c>
      <c r="O152" s="53">
        <f t="shared" si="299"/>
        <v>49904.761904761901</v>
      </c>
      <c r="P152" s="299">
        <f t="shared" si="313"/>
        <v>90452.380952380961</v>
      </c>
      <c r="Q152" s="53">
        <f t="shared" si="300"/>
        <v>0</v>
      </c>
      <c r="R152" s="53">
        <f t="shared" si="301"/>
        <v>18714.285714285714</v>
      </c>
      <c r="S152" s="54">
        <v>1</v>
      </c>
      <c r="T152" s="75">
        <f t="shared" si="311"/>
        <v>18714.285714285714</v>
      </c>
      <c r="U152" s="75"/>
      <c r="V152" s="75"/>
      <c r="W152" s="75"/>
      <c r="X152" s="75"/>
      <c r="Y152" s="75"/>
      <c r="Z152" s="53">
        <f t="shared" si="302"/>
        <v>18714.285714285714</v>
      </c>
      <c r="AA152" s="75">
        <f t="shared" si="303"/>
        <v>90452.380952380961</v>
      </c>
      <c r="AB152" s="75"/>
      <c r="AC152" s="75"/>
      <c r="AD152" s="75"/>
      <c r="AE152" s="75"/>
      <c r="AF152" s="75"/>
      <c r="AG152" s="54">
        <v>1</v>
      </c>
      <c r="AH152" s="53">
        <f t="shared" si="304"/>
        <v>31190.476190476187</v>
      </c>
      <c r="AI152" s="53">
        <f t="shared" si="305"/>
        <v>31190.476190476187</v>
      </c>
      <c r="AJ152" s="76">
        <f t="shared" si="306"/>
        <v>2016.3333333333333</v>
      </c>
      <c r="AK152" s="52">
        <f t="shared" si="307"/>
        <v>2018.9166666666667</v>
      </c>
      <c r="AL152" s="76">
        <f t="shared" si="308"/>
        <v>2023.3333333333333</v>
      </c>
      <c r="AM152" s="52">
        <f t="shared" si="309"/>
        <v>2019</v>
      </c>
      <c r="AN152" s="52">
        <f t="shared" si="310"/>
        <v>-8.3333333333333329E-2</v>
      </c>
      <c r="AO152" s="46"/>
    </row>
    <row r="153" spans="1:41" ht="15.75">
      <c r="A153" s="88" t="s">
        <v>632</v>
      </c>
      <c r="B153" s="55">
        <v>7</v>
      </c>
      <c r="C153" s="55">
        <v>2018</v>
      </c>
      <c r="D153" s="77">
        <v>13081</v>
      </c>
      <c r="E153" s="73">
        <v>0</v>
      </c>
      <c r="F153" s="58">
        <v>7</v>
      </c>
      <c r="G153" s="52">
        <f t="shared" si="295"/>
        <v>2025</v>
      </c>
      <c r="H153" s="58"/>
      <c r="I153" s="58"/>
      <c r="J153" s="57"/>
      <c r="K153" s="78">
        <f t="shared" si="296"/>
        <v>13081</v>
      </c>
      <c r="L153" s="78">
        <f>K153/F153/12</f>
        <v>155.72619047619048</v>
      </c>
      <c r="M153" s="78">
        <f t="shared" ref="M153" si="314">+L153*12</f>
        <v>1868.7142857142858</v>
      </c>
      <c r="N153" s="78">
        <v>0</v>
      </c>
      <c r="O153" s="78">
        <f t="shared" si="299"/>
        <v>1868.7142857142858</v>
      </c>
      <c r="P153" s="301">
        <f t="shared" si="313"/>
        <v>12146.642857142857</v>
      </c>
      <c r="Q153" s="78">
        <f t="shared" si="300"/>
        <v>0</v>
      </c>
      <c r="R153" s="78">
        <f t="shared" si="301"/>
        <v>1868.7142857142858</v>
      </c>
      <c r="S153" s="54">
        <v>1</v>
      </c>
      <c r="T153" s="75">
        <f t="shared" si="311"/>
        <v>1868.7142857142858</v>
      </c>
      <c r="U153" s="75"/>
      <c r="V153" s="75"/>
      <c r="W153" s="75"/>
      <c r="X153" s="75"/>
      <c r="Y153" s="75"/>
      <c r="Z153" s="53">
        <f t="shared" si="302"/>
        <v>1868.7142857142858</v>
      </c>
      <c r="AA153" s="75">
        <f t="shared" si="303"/>
        <v>12146.642857142857</v>
      </c>
      <c r="AB153" s="75"/>
      <c r="AC153" s="75"/>
      <c r="AD153" s="75"/>
      <c r="AE153" s="75"/>
      <c r="AF153" s="75"/>
      <c r="AG153" s="54">
        <v>1</v>
      </c>
      <c r="AH153" s="53">
        <f t="shared" si="304"/>
        <v>0</v>
      </c>
      <c r="AI153" s="53">
        <f t="shared" si="305"/>
        <v>0</v>
      </c>
      <c r="AJ153" s="76">
        <f t="shared" si="306"/>
        <v>2018.5</v>
      </c>
      <c r="AK153" s="52">
        <f t="shared" si="307"/>
        <v>2018.9166666666667</v>
      </c>
      <c r="AL153" s="76">
        <f t="shared" si="308"/>
        <v>2025.5</v>
      </c>
      <c r="AM153" s="52">
        <f t="shared" si="309"/>
        <v>2019</v>
      </c>
      <c r="AN153" s="52">
        <f t="shared" si="310"/>
        <v>-8.3333333333333329E-2</v>
      </c>
      <c r="AO153" s="46"/>
    </row>
    <row r="154" spans="1:41" ht="15.75">
      <c r="A154" s="55" t="s">
        <v>633</v>
      </c>
      <c r="B154" s="58"/>
      <c r="C154" s="58"/>
      <c r="D154" s="53">
        <f>SUM(D148:D153)</f>
        <v>1427605</v>
      </c>
      <c r="E154" s="83"/>
      <c r="F154" s="52"/>
      <c r="G154" s="52"/>
      <c r="H154" s="52"/>
      <c r="I154" s="52"/>
      <c r="J154" s="53"/>
      <c r="K154" s="53">
        <f t="shared" ref="K154:R154" si="315">SUM(K148:K153)</f>
        <v>1427605</v>
      </c>
      <c r="L154" s="53">
        <f t="shared" si="315"/>
        <v>16995.297619047618</v>
      </c>
      <c r="M154" s="53">
        <f t="shared" si="315"/>
        <v>57648.571428571428</v>
      </c>
      <c r="N154" s="53">
        <f t="shared" si="315"/>
        <v>1206606.5595238095</v>
      </c>
      <c r="O154" s="53">
        <f t="shared" si="315"/>
        <v>1264255.1309523811</v>
      </c>
      <c r="P154" s="299">
        <f t="shared" si="315"/>
        <v>192174.15476190482</v>
      </c>
      <c r="Q154" s="53">
        <f t="shared" si="315"/>
        <v>0</v>
      </c>
      <c r="R154" s="53">
        <f t="shared" si="315"/>
        <v>57648.571428571428</v>
      </c>
      <c r="S154" s="53"/>
      <c r="T154" s="75">
        <f>SUM(T148:T151)</f>
        <v>37065.571428571428</v>
      </c>
      <c r="U154" s="75"/>
      <c r="V154" s="75"/>
      <c r="W154" s="75"/>
      <c r="X154" s="75"/>
      <c r="Y154" s="75"/>
      <c r="Z154" s="53">
        <f t="shared" ref="Z154:AI154" si="316">SUM(Z148:Z151)</f>
        <v>37065.571428571428</v>
      </c>
      <c r="AA154" s="75">
        <f t="shared" si="316"/>
        <v>89575.130952380976</v>
      </c>
      <c r="AB154" s="75">
        <f t="shared" si="316"/>
        <v>0</v>
      </c>
      <c r="AC154" s="75">
        <f t="shared" si="316"/>
        <v>0</v>
      </c>
      <c r="AD154" s="75">
        <f t="shared" si="316"/>
        <v>0</v>
      </c>
      <c r="AE154" s="75">
        <f t="shared" si="316"/>
        <v>0</v>
      </c>
      <c r="AF154" s="75">
        <f t="shared" si="316"/>
        <v>0</v>
      </c>
      <c r="AG154" s="53"/>
      <c r="AH154" s="53">
        <f t="shared" si="316"/>
        <v>1175416.0833333333</v>
      </c>
      <c r="AI154" s="53">
        <f t="shared" si="316"/>
        <v>1175416.0833333333</v>
      </c>
      <c r="AJ154" s="76"/>
      <c r="AK154" s="52"/>
      <c r="AL154" s="76"/>
      <c r="AM154" s="52"/>
      <c r="AN154" s="52"/>
      <c r="AO154" s="46"/>
    </row>
    <row r="155" spans="1:41" ht="15.75">
      <c r="A155" s="55"/>
      <c r="B155" s="58"/>
      <c r="C155" s="58"/>
      <c r="D155" s="69"/>
      <c r="E155" s="70"/>
      <c r="F155" s="58"/>
      <c r="G155" s="58"/>
      <c r="H155" s="58"/>
      <c r="I155" s="58"/>
      <c r="J155" s="69"/>
      <c r="K155" s="69"/>
      <c r="L155" s="57"/>
      <c r="M155" s="57"/>
      <c r="N155" s="57"/>
      <c r="O155" s="57"/>
      <c r="P155" s="300"/>
      <c r="Q155" s="71"/>
      <c r="R155" s="71"/>
      <c r="S155" s="72"/>
      <c r="T155" s="82"/>
      <c r="U155" s="84"/>
      <c r="V155" s="84"/>
      <c r="W155" s="84"/>
      <c r="X155" s="84"/>
      <c r="Y155" s="84"/>
      <c r="Z155" s="71"/>
      <c r="AA155" s="82"/>
      <c r="AB155" s="82"/>
      <c r="AC155" s="82"/>
      <c r="AD155" s="82"/>
      <c r="AE155" s="82"/>
      <c r="AF155" s="82"/>
      <c r="AG155" s="72"/>
      <c r="AH155" s="72"/>
      <c r="AI155" s="72"/>
      <c r="AJ155" s="72"/>
      <c r="AK155" s="72"/>
      <c r="AL155" s="72"/>
      <c r="AM155" s="72"/>
      <c r="AN155" s="72"/>
      <c r="AO155" s="46"/>
    </row>
    <row r="156" spans="1:41" ht="15.75">
      <c r="A156" s="68" t="s">
        <v>634</v>
      </c>
      <c r="B156" s="55"/>
      <c r="C156" s="55"/>
      <c r="D156" s="69"/>
      <c r="E156" s="70"/>
      <c r="F156" s="58"/>
      <c r="G156" s="58"/>
      <c r="H156" s="58"/>
      <c r="I156" s="58"/>
      <c r="J156" s="69"/>
      <c r="K156" s="69"/>
      <c r="L156" s="57"/>
      <c r="M156" s="57"/>
      <c r="N156" s="57"/>
      <c r="O156" s="57"/>
      <c r="P156" s="300"/>
      <c r="Q156" s="71"/>
      <c r="R156" s="71"/>
      <c r="S156" s="72"/>
      <c r="T156" s="82"/>
      <c r="U156" s="84"/>
      <c r="V156" s="84"/>
      <c r="W156" s="84"/>
      <c r="X156" s="84"/>
      <c r="Y156" s="84"/>
      <c r="Z156" s="71"/>
      <c r="AA156" s="82"/>
      <c r="AB156" s="82"/>
      <c r="AC156" s="82"/>
      <c r="AD156" s="82"/>
      <c r="AE156" s="82"/>
      <c r="AF156" s="82"/>
      <c r="AG156" s="72"/>
      <c r="AH156" s="72"/>
      <c r="AI156" s="72"/>
      <c r="AJ156" s="72"/>
      <c r="AK156" s="72"/>
      <c r="AL156" s="72"/>
      <c r="AM156" s="72"/>
      <c r="AN156" s="72"/>
      <c r="AO156" s="46"/>
    </row>
    <row r="157" spans="1:41" ht="15.75">
      <c r="A157" s="68" t="s">
        <v>635</v>
      </c>
      <c r="B157" s="55">
        <v>12</v>
      </c>
      <c r="C157" s="55">
        <v>2000</v>
      </c>
      <c r="D157" s="72">
        <v>625583</v>
      </c>
      <c r="E157" s="73">
        <v>0</v>
      </c>
      <c r="F157" s="58">
        <v>5</v>
      </c>
      <c r="G157" s="52">
        <f t="shared" ref="G157:G165" si="317">C157+F157</f>
        <v>2005</v>
      </c>
      <c r="H157" s="58"/>
      <c r="I157" s="58"/>
      <c r="J157" s="57"/>
      <c r="K157" s="53">
        <f t="shared" ref="K157:K165" si="318">D157-D157*E157</f>
        <v>625583</v>
      </c>
      <c r="L157" s="53">
        <f t="shared" ref="L157:L165" si="319">K157/F157/12</f>
        <v>10426.383333333333</v>
      </c>
      <c r="M157" s="53">
        <f>IF(J157&gt;0,0,IF(OR(AJ157&gt;AK157,AL157&lt;AM157),0,IF(AND(AL157&gt;=AM157,AL157&lt;=AK157),L157*((AL157-AM157)*12),IF(AND(AM157&lt;=AJ157,AK157&gt;=AJ157),((AK157-AJ157)*12)*L157,IF(AL157&gt;AK157,12*L157,0)))))</f>
        <v>0</v>
      </c>
      <c r="N157" s="53">
        <f t="shared" ref="N157:N161" si="320">IF(AJ157&gt;AK157,0,IF(AL157&lt;AM157,K157,IF(AND(AL157&gt;=AM157,AL157&lt;=AK157),(K157-R157),IF(AND(AM157&lt;=AJ157,AK157&gt;=AJ157),0,IF(AL157&gt;AK157,((AM157-AJ157)*12)*L157,0)))))</f>
        <v>625583</v>
      </c>
      <c r="O157" s="53">
        <f t="shared" ref="O157:O165" si="321">IF(J157&gt;0,0,AI157+Z157*AG157)*AG157</f>
        <v>625583</v>
      </c>
      <c r="P157" s="299">
        <f t="shared" ref="P157:P161" si="322">IF(J157&gt;0,(D157-AI157)/2,IF(AJ157&gt;=AM157,(((D157*S157)*AG157)-O157)/2,((((D157*S157)*AG157)-AI157)+(((D157*S157)*AG157)-O157))/2))</f>
        <v>0</v>
      </c>
      <c r="Q157" s="53">
        <f t="shared" ref="Q157:Q165" si="323">IF(J157=0,0,IF(AND(AN157&gt;=AM157,AN157&lt;=AL157),((AN157-AM157)*12)*L157,0))</f>
        <v>0</v>
      </c>
      <c r="R157" s="53">
        <f t="shared" ref="R157:R165" si="324">IF(Q157&gt;0,Q157,M157)</f>
        <v>0</v>
      </c>
      <c r="S157" s="54">
        <v>1</v>
      </c>
      <c r="T157" s="75">
        <f>S157*(M157+Q157)</f>
        <v>0</v>
      </c>
      <c r="U157" s="75"/>
      <c r="V157" s="75"/>
      <c r="W157" s="75"/>
      <c r="X157" s="75"/>
      <c r="Y157" s="75"/>
      <c r="Z157" s="53">
        <f t="shared" ref="Z157:Z165" si="325">S157*(M157+Q157)</f>
        <v>0</v>
      </c>
      <c r="AA157" s="75">
        <f t="shared" ref="AA157:AA165" si="326">P157*S157</f>
        <v>0</v>
      </c>
      <c r="AB157" s="75"/>
      <c r="AC157" s="75"/>
      <c r="AD157" s="75"/>
      <c r="AE157" s="75"/>
      <c r="AF157" s="75"/>
      <c r="AG157" s="54">
        <v>1</v>
      </c>
      <c r="AH157" s="53">
        <f t="shared" ref="AH157:AH165" si="327">N157*S157</f>
        <v>625583</v>
      </c>
      <c r="AI157" s="53">
        <f t="shared" ref="AI157:AI165" si="328">AH157*AG157</f>
        <v>625583</v>
      </c>
      <c r="AJ157" s="76">
        <f t="shared" ref="AJ157:AJ165" si="329">$C157+(($B157-1)/12)</f>
        <v>2000.9166666666667</v>
      </c>
      <c r="AK157" s="52">
        <f t="shared" ref="AK157:AK165" si="330">($F$7+1)-($C$7/12)</f>
        <v>2018.9166666666667</v>
      </c>
      <c r="AL157" s="76">
        <f t="shared" ref="AL157:AL165" si="331">$G157+(($B157-1)/12)</f>
        <v>2005.9166666666667</v>
      </c>
      <c r="AM157" s="52">
        <f t="shared" ref="AM157:AM165" si="332">$D$7+($E$7/12)</f>
        <v>2019</v>
      </c>
      <c r="AN157" s="52">
        <f t="shared" ref="AN157:AN165" si="333">$I157+(($H157-1)/12)</f>
        <v>-8.3333333333333329E-2</v>
      </c>
      <c r="AO157" s="46"/>
    </row>
    <row r="158" spans="1:41" ht="15.75">
      <c r="A158" s="55" t="s">
        <v>636</v>
      </c>
      <c r="B158" s="55">
        <v>5</v>
      </c>
      <c r="C158" s="55">
        <v>2006</v>
      </c>
      <c r="D158" s="72">
        <v>11275</v>
      </c>
      <c r="E158" s="73">
        <v>0</v>
      </c>
      <c r="F158" s="58">
        <v>7</v>
      </c>
      <c r="G158" s="52">
        <f t="shared" si="317"/>
        <v>2013</v>
      </c>
      <c r="H158" s="58"/>
      <c r="I158" s="58"/>
      <c r="J158" s="57"/>
      <c r="K158" s="53">
        <f t="shared" si="318"/>
        <v>11275</v>
      </c>
      <c r="L158" s="53">
        <f t="shared" si="319"/>
        <v>134.22619047619048</v>
      </c>
      <c r="M158" s="53">
        <f>IF(J158&gt;0,0,IF(OR(AJ158&gt;AK158,AL158&lt;AM158),0,IF(AND(AL158&gt;=AM158,AL158&lt;=AK158),L158*((AL158-AM158)*12),IF(AND(AM158&lt;=AJ158,AK158&gt;=AJ158),((AK158-AJ158)*12)*L158,IF(AL158&gt;AK158,12*L158,0)))))</f>
        <v>0</v>
      </c>
      <c r="N158" s="53">
        <f t="shared" si="320"/>
        <v>11275</v>
      </c>
      <c r="O158" s="53">
        <f t="shared" si="321"/>
        <v>11275</v>
      </c>
      <c r="P158" s="299">
        <f t="shared" si="322"/>
        <v>0</v>
      </c>
      <c r="Q158" s="53">
        <f t="shared" si="323"/>
        <v>0</v>
      </c>
      <c r="R158" s="53">
        <f t="shared" si="324"/>
        <v>0</v>
      </c>
      <c r="S158" s="54">
        <v>1</v>
      </c>
      <c r="T158" s="75">
        <f t="shared" ref="T158:T165" si="334">S158*(M158+Q158)</f>
        <v>0</v>
      </c>
      <c r="U158" s="75"/>
      <c r="V158" s="75"/>
      <c r="W158" s="75"/>
      <c r="X158" s="75"/>
      <c r="Y158" s="75"/>
      <c r="Z158" s="53">
        <f t="shared" si="325"/>
        <v>0</v>
      </c>
      <c r="AA158" s="75">
        <f t="shared" si="326"/>
        <v>0</v>
      </c>
      <c r="AB158" s="75"/>
      <c r="AC158" s="75"/>
      <c r="AD158" s="75"/>
      <c r="AE158" s="75"/>
      <c r="AF158" s="75"/>
      <c r="AG158" s="54">
        <v>1</v>
      </c>
      <c r="AH158" s="53">
        <f t="shared" si="327"/>
        <v>11275</v>
      </c>
      <c r="AI158" s="53">
        <f t="shared" si="328"/>
        <v>11275</v>
      </c>
      <c r="AJ158" s="76">
        <f t="shared" si="329"/>
        <v>2006.3333333333333</v>
      </c>
      <c r="AK158" s="52">
        <f t="shared" si="330"/>
        <v>2018.9166666666667</v>
      </c>
      <c r="AL158" s="76">
        <f t="shared" si="331"/>
        <v>2013.3333333333333</v>
      </c>
      <c r="AM158" s="52">
        <f t="shared" si="332"/>
        <v>2019</v>
      </c>
      <c r="AN158" s="52">
        <f t="shared" si="333"/>
        <v>-8.3333333333333329E-2</v>
      </c>
      <c r="AO158" s="46"/>
    </row>
    <row r="159" spans="1:41" ht="15.75">
      <c r="A159" s="55" t="s">
        <v>637</v>
      </c>
      <c r="B159" s="55">
        <v>8</v>
      </c>
      <c r="C159" s="55">
        <v>2006</v>
      </c>
      <c r="D159" s="72">
        <v>14000</v>
      </c>
      <c r="E159" s="73">
        <v>0</v>
      </c>
      <c r="F159" s="58">
        <v>7</v>
      </c>
      <c r="G159" s="52">
        <f t="shared" si="317"/>
        <v>2013</v>
      </c>
      <c r="H159" s="58"/>
      <c r="I159" s="58"/>
      <c r="J159" s="57"/>
      <c r="K159" s="53">
        <f t="shared" si="318"/>
        <v>14000</v>
      </c>
      <c r="L159" s="53">
        <f t="shared" si="319"/>
        <v>166.66666666666666</v>
      </c>
      <c r="M159" s="53">
        <f>IF(J159&gt;0,0,IF(OR(AJ159&gt;AK159,AL159&lt;AM159),0,IF(AND(AL159&gt;=AM159,AL159&lt;=AK159),L159*((AL159-AM159)*12),IF(AND(AM159&lt;=AJ159,AK159&gt;=AJ159),((AK159-AJ159)*12)*L159,IF(AL159&gt;AK159,12*L159,0)))))</f>
        <v>0</v>
      </c>
      <c r="N159" s="53">
        <f t="shared" si="320"/>
        <v>14000</v>
      </c>
      <c r="O159" s="53">
        <f t="shared" si="321"/>
        <v>14000</v>
      </c>
      <c r="P159" s="299">
        <f t="shared" si="322"/>
        <v>0</v>
      </c>
      <c r="Q159" s="53">
        <f t="shared" si="323"/>
        <v>0</v>
      </c>
      <c r="R159" s="53">
        <f t="shared" si="324"/>
        <v>0</v>
      </c>
      <c r="S159" s="54">
        <v>1</v>
      </c>
      <c r="T159" s="75">
        <f t="shared" si="334"/>
        <v>0</v>
      </c>
      <c r="U159" s="75"/>
      <c r="V159" s="75"/>
      <c r="W159" s="75"/>
      <c r="X159" s="75"/>
      <c r="Y159" s="75"/>
      <c r="Z159" s="53">
        <f t="shared" si="325"/>
        <v>0</v>
      </c>
      <c r="AA159" s="75">
        <f t="shared" si="326"/>
        <v>0</v>
      </c>
      <c r="AB159" s="75"/>
      <c r="AC159" s="75"/>
      <c r="AD159" s="75"/>
      <c r="AE159" s="75"/>
      <c r="AF159" s="75"/>
      <c r="AG159" s="54">
        <v>1</v>
      </c>
      <c r="AH159" s="53">
        <f t="shared" si="327"/>
        <v>14000</v>
      </c>
      <c r="AI159" s="53">
        <f t="shared" si="328"/>
        <v>14000</v>
      </c>
      <c r="AJ159" s="76">
        <f t="shared" si="329"/>
        <v>2006.5833333333333</v>
      </c>
      <c r="AK159" s="52">
        <f t="shared" si="330"/>
        <v>2018.9166666666667</v>
      </c>
      <c r="AL159" s="76">
        <f t="shared" si="331"/>
        <v>2013.5833333333333</v>
      </c>
      <c r="AM159" s="52">
        <f t="shared" si="332"/>
        <v>2019</v>
      </c>
      <c r="AN159" s="52">
        <f t="shared" si="333"/>
        <v>-8.3333333333333329E-2</v>
      </c>
      <c r="AO159" s="46"/>
    </row>
    <row r="160" spans="1:41" ht="15.75">
      <c r="A160" s="55" t="s">
        <v>638</v>
      </c>
      <c r="B160" s="55">
        <v>7</v>
      </c>
      <c r="C160" s="55">
        <v>2010</v>
      </c>
      <c r="D160" s="72">
        <v>31000</v>
      </c>
      <c r="E160" s="73">
        <v>0</v>
      </c>
      <c r="F160" s="58">
        <v>7</v>
      </c>
      <c r="G160" s="52">
        <f t="shared" si="317"/>
        <v>2017</v>
      </c>
      <c r="H160" s="58"/>
      <c r="I160" s="58"/>
      <c r="J160" s="57"/>
      <c r="K160" s="53">
        <f t="shared" si="318"/>
        <v>31000</v>
      </c>
      <c r="L160" s="53">
        <f t="shared" si="319"/>
        <v>369.04761904761904</v>
      </c>
      <c r="M160" s="53">
        <f>IF(J160&gt;0,0,IF(OR(AJ160&gt;AK160,AL160&lt;AM160),0,IF(AND(AL160&gt;=AM160,AL160&lt;=AK160),L160*((AL160-AM160)*12),IF(AND(AM160&lt;=AJ160,AK160&gt;=AJ160),((AK160-AJ160)*12)*L160,IF(AL160&gt;AK160,12*L160,0)))))</f>
        <v>0</v>
      </c>
      <c r="N160" s="53">
        <f t="shared" si="320"/>
        <v>31000</v>
      </c>
      <c r="O160" s="53">
        <f t="shared" si="321"/>
        <v>31000</v>
      </c>
      <c r="P160" s="299">
        <f t="shared" si="322"/>
        <v>0</v>
      </c>
      <c r="Q160" s="53">
        <f t="shared" si="323"/>
        <v>0</v>
      </c>
      <c r="R160" s="53">
        <f t="shared" si="324"/>
        <v>0</v>
      </c>
      <c r="S160" s="54">
        <v>1</v>
      </c>
      <c r="T160" s="75">
        <f t="shared" si="334"/>
        <v>0</v>
      </c>
      <c r="U160" s="75"/>
      <c r="V160" s="75"/>
      <c r="W160" s="75"/>
      <c r="X160" s="75"/>
      <c r="Y160" s="75"/>
      <c r="Z160" s="53">
        <f t="shared" si="325"/>
        <v>0</v>
      </c>
      <c r="AA160" s="75">
        <f t="shared" si="326"/>
        <v>0</v>
      </c>
      <c r="AB160" s="75"/>
      <c r="AC160" s="75"/>
      <c r="AD160" s="75"/>
      <c r="AE160" s="75"/>
      <c r="AF160" s="75"/>
      <c r="AG160" s="54">
        <v>1</v>
      </c>
      <c r="AH160" s="53">
        <f t="shared" si="327"/>
        <v>31000</v>
      </c>
      <c r="AI160" s="53">
        <f t="shared" si="328"/>
        <v>31000</v>
      </c>
      <c r="AJ160" s="76">
        <f t="shared" si="329"/>
        <v>2010.5</v>
      </c>
      <c r="AK160" s="52">
        <f t="shared" si="330"/>
        <v>2018.9166666666667</v>
      </c>
      <c r="AL160" s="76">
        <f t="shared" si="331"/>
        <v>2017.5</v>
      </c>
      <c r="AM160" s="52">
        <f t="shared" si="332"/>
        <v>2019</v>
      </c>
      <c r="AN160" s="52">
        <f t="shared" si="333"/>
        <v>-8.3333333333333329E-2</v>
      </c>
      <c r="AO160" s="46"/>
    </row>
    <row r="161" spans="1:41" ht="15.75">
      <c r="A161" s="55" t="s">
        <v>639</v>
      </c>
      <c r="B161" s="55">
        <v>6</v>
      </c>
      <c r="C161" s="55">
        <v>1989</v>
      </c>
      <c r="D161" s="72">
        <v>23716</v>
      </c>
      <c r="E161" s="73">
        <v>0</v>
      </c>
      <c r="F161" s="58">
        <v>8</v>
      </c>
      <c r="G161" s="52">
        <f t="shared" si="317"/>
        <v>1997</v>
      </c>
      <c r="H161" s="58"/>
      <c r="I161" s="58"/>
      <c r="J161" s="57"/>
      <c r="K161" s="53">
        <f t="shared" si="318"/>
        <v>23716</v>
      </c>
      <c r="L161" s="53">
        <f t="shared" si="319"/>
        <v>247.04166666666666</v>
      </c>
      <c r="M161" s="53">
        <f>IF(J161&gt;0,0,IF(OR(AJ161&gt;AK161,AL161&lt;AM161),0,IF(AND(AL161&gt;=AM161,AL161&lt;=AK161),L161*((AL161-AM161)*12),IF(AND(AM161&lt;=AJ161,AK161&gt;=AJ161),((AK161-AJ161)*12)*L161,IF(AL161&gt;AK161,12*L161,0)))))</f>
        <v>0</v>
      </c>
      <c r="N161" s="53">
        <f t="shared" si="320"/>
        <v>23716</v>
      </c>
      <c r="O161" s="53">
        <f t="shared" si="321"/>
        <v>23716</v>
      </c>
      <c r="P161" s="299">
        <f t="shared" si="322"/>
        <v>0</v>
      </c>
      <c r="Q161" s="53">
        <f t="shared" si="323"/>
        <v>0</v>
      </c>
      <c r="R161" s="53">
        <f t="shared" si="324"/>
        <v>0</v>
      </c>
      <c r="S161" s="54">
        <v>1</v>
      </c>
      <c r="T161" s="75">
        <f t="shared" si="334"/>
        <v>0</v>
      </c>
      <c r="U161" s="75"/>
      <c r="V161" s="75"/>
      <c r="W161" s="75"/>
      <c r="X161" s="75"/>
      <c r="Y161" s="75"/>
      <c r="Z161" s="53">
        <f t="shared" si="325"/>
        <v>0</v>
      </c>
      <c r="AA161" s="75">
        <f t="shared" si="326"/>
        <v>0</v>
      </c>
      <c r="AB161" s="75"/>
      <c r="AC161" s="75"/>
      <c r="AD161" s="75"/>
      <c r="AE161" s="75"/>
      <c r="AF161" s="75"/>
      <c r="AG161" s="54">
        <v>1</v>
      </c>
      <c r="AH161" s="53">
        <f t="shared" si="327"/>
        <v>23716</v>
      </c>
      <c r="AI161" s="53">
        <f t="shared" si="328"/>
        <v>23716</v>
      </c>
      <c r="AJ161" s="76">
        <f t="shared" si="329"/>
        <v>1989.4166666666667</v>
      </c>
      <c r="AK161" s="52">
        <f t="shared" si="330"/>
        <v>2018.9166666666667</v>
      </c>
      <c r="AL161" s="76">
        <f t="shared" si="331"/>
        <v>1997.4166666666667</v>
      </c>
      <c r="AM161" s="52">
        <f t="shared" si="332"/>
        <v>2019</v>
      </c>
      <c r="AN161" s="52">
        <f t="shared" si="333"/>
        <v>-8.3333333333333329E-2</v>
      </c>
      <c r="AO161" s="46"/>
    </row>
    <row r="162" spans="1:41" ht="15.75">
      <c r="A162" s="55" t="s">
        <v>640</v>
      </c>
      <c r="B162" s="55">
        <v>6</v>
      </c>
      <c r="C162" s="55">
        <v>2013</v>
      </c>
      <c r="D162" s="72">
        <v>34848</v>
      </c>
      <c r="E162" s="73">
        <v>0</v>
      </c>
      <c r="F162" s="58">
        <v>5</v>
      </c>
      <c r="G162" s="52">
        <f t="shared" si="317"/>
        <v>2018</v>
      </c>
      <c r="H162" s="58"/>
      <c r="I162" s="58"/>
      <c r="J162" s="57"/>
      <c r="K162" s="53">
        <f t="shared" si="318"/>
        <v>34848</v>
      </c>
      <c r="L162" s="53">
        <f t="shared" si="319"/>
        <v>580.80000000000007</v>
      </c>
      <c r="M162" s="53">
        <f>+L162*7</f>
        <v>4065.6000000000004</v>
      </c>
      <c r="N162" s="53">
        <f>+L162*53</f>
        <v>30782.400000000005</v>
      </c>
      <c r="O162" s="53">
        <f t="shared" si="321"/>
        <v>34848.000000000007</v>
      </c>
      <c r="P162" s="299">
        <f t="shared" ref="P162" si="335">+K162-O162</f>
        <v>0</v>
      </c>
      <c r="Q162" s="53">
        <f t="shared" si="323"/>
        <v>0</v>
      </c>
      <c r="R162" s="53">
        <f t="shared" si="324"/>
        <v>4065.6000000000004</v>
      </c>
      <c r="S162" s="54">
        <v>1</v>
      </c>
      <c r="T162" s="75">
        <f t="shared" si="334"/>
        <v>4065.6000000000004</v>
      </c>
      <c r="U162" s="75"/>
      <c r="V162" s="75"/>
      <c r="W162" s="75"/>
      <c r="X162" s="75"/>
      <c r="Y162" s="75"/>
      <c r="Z162" s="53">
        <f t="shared" si="325"/>
        <v>4065.6000000000004</v>
      </c>
      <c r="AA162" s="75">
        <f t="shared" si="326"/>
        <v>0</v>
      </c>
      <c r="AB162" s="75"/>
      <c r="AC162" s="75"/>
      <c r="AD162" s="75"/>
      <c r="AE162" s="75"/>
      <c r="AF162" s="75"/>
      <c r="AG162" s="54">
        <v>1</v>
      </c>
      <c r="AH162" s="53">
        <f t="shared" si="327"/>
        <v>30782.400000000005</v>
      </c>
      <c r="AI162" s="53">
        <f t="shared" si="328"/>
        <v>30782.400000000005</v>
      </c>
      <c r="AJ162" s="76">
        <f t="shared" si="329"/>
        <v>2013.4166666666667</v>
      </c>
      <c r="AK162" s="52">
        <f t="shared" si="330"/>
        <v>2018.9166666666667</v>
      </c>
      <c r="AL162" s="76">
        <f t="shared" si="331"/>
        <v>2018.4166666666667</v>
      </c>
      <c r="AM162" s="52">
        <f t="shared" si="332"/>
        <v>2019</v>
      </c>
      <c r="AN162" s="52">
        <f t="shared" si="333"/>
        <v>-8.3333333333333329E-2</v>
      </c>
      <c r="AO162" s="46"/>
    </row>
    <row r="163" spans="1:41" ht="15.75">
      <c r="A163" s="88" t="s">
        <v>641</v>
      </c>
      <c r="B163" s="55">
        <v>8</v>
      </c>
      <c r="C163" s="55">
        <v>2015</v>
      </c>
      <c r="D163" s="72">
        <v>44211</v>
      </c>
      <c r="E163" s="73">
        <v>0</v>
      </c>
      <c r="F163" s="58">
        <v>5</v>
      </c>
      <c r="G163" s="52">
        <f t="shared" si="317"/>
        <v>2020</v>
      </c>
      <c r="H163" s="58"/>
      <c r="I163" s="58"/>
      <c r="J163" s="57"/>
      <c r="K163" s="53">
        <f t="shared" si="318"/>
        <v>44211</v>
      </c>
      <c r="L163" s="53">
        <f t="shared" si="319"/>
        <v>736.85</v>
      </c>
      <c r="M163" s="53">
        <f t="shared" ref="M163:M165" si="336">IF(J163&gt;0,0,IF(OR(AJ163&gt;AK163,AL163&lt;AM163),0,IF(AND(AL163&gt;=AM163,AL163&lt;=AK163),L163*((AL163-AM163)*12),IF(AND(AM163&lt;=AJ163,AK163&gt;=AJ163),((AK163-AJ163)*12)*L163,IF(AL163&gt;AK163,12*L163,0)))))</f>
        <v>8842.2000000000007</v>
      </c>
      <c r="N163" s="53">
        <f>+L163*29</f>
        <v>21368.65</v>
      </c>
      <c r="O163" s="53">
        <f t="shared" si="321"/>
        <v>30210.850000000002</v>
      </c>
      <c r="P163" s="299">
        <f t="shared" ref="P163:P165" si="337">((K163-N163)+(K163-O163))/2</f>
        <v>18421.25</v>
      </c>
      <c r="Q163" s="53">
        <f t="shared" si="323"/>
        <v>0</v>
      </c>
      <c r="R163" s="53">
        <f t="shared" si="324"/>
        <v>8842.2000000000007</v>
      </c>
      <c r="S163" s="54">
        <v>1</v>
      </c>
      <c r="T163" s="75">
        <f t="shared" si="334"/>
        <v>8842.2000000000007</v>
      </c>
      <c r="U163" s="75"/>
      <c r="V163" s="75"/>
      <c r="W163" s="75"/>
      <c r="X163" s="75"/>
      <c r="Y163" s="75"/>
      <c r="Z163" s="53">
        <f t="shared" si="325"/>
        <v>8842.2000000000007</v>
      </c>
      <c r="AA163" s="75">
        <f t="shared" si="326"/>
        <v>18421.25</v>
      </c>
      <c r="AB163" s="75"/>
      <c r="AC163" s="75"/>
      <c r="AD163" s="75"/>
      <c r="AE163" s="75"/>
      <c r="AF163" s="75"/>
      <c r="AG163" s="54">
        <v>1</v>
      </c>
      <c r="AH163" s="53">
        <f t="shared" si="327"/>
        <v>21368.65</v>
      </c>
      <c r="AI163" s="53">
        <f t="shared" si="328"/>
        <v>21368.65</v>
      </c>
      <c r="AJ163" s="76">
        <f t="shared" si="329"/>
        <v>2015.5833333333333</v>
      </c>
      <c r="AK163" s="52">
        <f t="shared" si="330"/>
        <v>2018.9166666666667</v>
      </c>
      <c r="AL163" s="76">
        <f t="shared" si="331"/>
        <v>2020.5833333333333</v>
      </c>
      <c r="AM163" s="52">
        <f t="shared" si="332"/>
        <v>2019</v>
      </c>
      <c r="AN163" s="52">
        <f t="shared" si="333"/>
        <v>-8.3333333333333329E-2</v>
      </c>
      <c r="AO163" s="46"/>
    </row>
    <row r="164" spans="1:41" ht="15.75">
      <c r="A164" s="88" t="s">
        <v>642</v>
      </c>
      <c r="B164" s="55">
        <v>3</v>
      </c>
      <c r="C164" s="55">
        <v>2016</v>
      </c>
      <c r="D164" s="72">
        <v>90285</v>
      </c>
      <c r="E164" s="73">
        <v>0</v>
      </c>
      <c r="F164" s="58">
        <v>5</v>
      </c>
      <c r="G164" s="52">
        <f t="shared" si="317"/>
        <v>2021</v>
      </c>
      <c r="H164" s="58"/>
      <c r="I164" s="58"/>
      <c r="J164" s="57"/>
      <c r="K164" s="53">
        <f t="shared" si="318"/>
        <v>90285</v>
      </c>
      <c r="L164" s="53">
        <f t="shared" si="319"/>
        <v>1504.75</v>
      </c>
      <c r="M164" s="53">
        <f t="shared" si="336"/>
        <v>18057</v>
      </c>
      <c r="N164" s="53">
        <f>+L164*22</f>
        <v>33104.5</v>
      </c>
      <c r="O164" s="53">
        <f t="shared" si="321"/>
        <v>51161.5</v>
      </c>
      <c r="P164" s="299">
        <f t="shared" si="337"/>
        <v>48152</v>
      </c>
      <c r="Q164" s="53">
        <f t="shared" si="323"/>
        <v>0</v>
      </c>
      <c r="R164" s="53">
        <f t="shared" si="324"/>
        <v>18057</v>
      </c>
      <c r="S164" s="54">
        <v>1</v>
      </c>
      <c r="T164" s="75">
        <f t="shared" si="334"/>
        <v>18057</v>
      </c>
      <c r="U164" s="75"/>
      <c r="V164" s="75"/>
      <c r="W164" s="75"/>
      <c r="X164" s="75"/>
      <c r="Y164" s="75"/>
      <c r="Z164" s="53">
        <f t="shared" si="325"/>
        <v>18057</v>
      </c>
      <c r="AA164" s="75">
        <f t="shared" si="326"/>
        <v>48152</v>
      </c>
      <c r="AB164" s="75"/>
      <c r="AC164" s="75"/>
      <c r="AD164" s="75"/>
      <c r="AE164" s="75"/>
      <c r="AF164" s="75"/>
      <c r="AG164" s="54">
        <v>1</v>
      </c>
      <c r="AH164" s="53">
        <f t="shared" si="327"/>
        <v>33104.5</v>
      </c>
      <c r="AI164" s="53">
        <f t="shared" si="328"/>
        <v>33104.5</v>
      </c>
      <c r="AJ164" s="76">
        <f t="shared" si="329"/>
        <v>2016.1666666666667</v>
      </c>
      <c r="AK164" s="52">
        <f t="shared" si="330"/>
        <v>2018.9166666666667</v>
      </c>
      <c r="AL164" s="76">
        <f t="shared" si="331"/>
        <v>2021.1666666666667</v>
      </c>
      <c r="AM164" s="52">
        <f t="shared" si="332"/>
        <v>2019</v>
      </c>
      <c r="AN164" s="52">
        <f t="shared" si="333"/>
        <v>-8.3333333333333329E-2</v>
      </c>
      <c r="AO164" s="46"/>
    </row>
    <row r="165" spans="1:41" ht="15.75">
      <c r="A165" s="88" t="s">
        <v>643</v>
      </c>
      <c r="B165" s="55">
        <v>3</v>
      </c>
      <c r="C165" s="55">
        <v>2016</v>
      </c>
      <c r="D165" s="77">
        <v>17547.84</v>
      </c>
      <c r="E165" s="73">
        <v>0</v>
      </c>
      <c r="F165" s="58">
        <v>5</v>
      </c>
      <c r="G165" s="52">
        <f t="shared" si="317"/>
        <v>2021</v>
      </c>
      <c r="H165" s="58"/>
      <c r="I165" s="58"/>
      <c r="J165" s="57"/>
      <c r="K165" s="78">
        <f t="shared" si="318"/>
        <v>17547.84</v>
      </c>
      <c r="L165" s="78">
        <f t="shared" si="319"/>
        <v>292.464</v>
      </c>
      <c r="M165" s="78">
        <f t="shared" si="336"/>
        <v>3509.5680000000002</v>
      </c>
      <c r="N165" s="78">
        <f>+L165*22</f>
        <v>6434.2079999999996</v>
      </c>
      <c r="O165" s="78">
        <f t="shared" si="321"/>
        <v>9943.7759999999998</v>
      </c>
      <c r="P165" s="301">
        <f t="shared" si="337"/>
        <v>9358.8480000000018</v>
      </c>
      <c r="Q165" s="78">
        <f t="shared" si="323"/>
        <v>0</v>
      </c>
      <c r="R165" s="78">
        <f t="shared" si="324"/>
        <v>3509.5680000000002</v>
      </c>
      <c r="S165" s="54">
        <v>1</v>
      </c>
      <c r="T165" s="75">
        <f t="shared" si="334"/>
        <v>3509.5680000000002</v>
      </c>
      <c r="U165" s="75"/>
      <c r="V165" s="75"/>
      <c r="W165" s="75"/>
      <c r="X165" s="75"/>
      <c r="Y165" s="75"/>
      <c r="Z165" s="53">
        <f t="shared" si="325"/>
        <v>3509.5680000000002</v>
      </c>
      <c r="AA165" s="75">
        <f t="shared" si="326"/>
        <v>9358.8480000000018</v>
      </c>
      <c r="AB165" s="75"/>
      <c r="AC165" s="75"/>
      <c r="AD165" s="75"/>
      <c r="AE165" s="75"/>
      <c r="AF165" s="75"/>
      <c r="AG165" s="54">
        <v>1</v>
      </c>
      <c r="AH165" s="53">
        <f t="shared" si="327"/>
        <v>6434.2079999999996</v>
      </c>
      <c r="AI165" s="53">
        <f t="shared" si="328"/>
        <v>6434.2079999999996</v>
      </c>
      <c r="AJ165" s="76">
        <f t="shared" si="329"/>
        <v>2016.1666666666667</v>
      </c>
      <c r="AK165" s="52">
        <f t="shared" si="330"/>
        <v>2018.9166666666667</v>
      </c>
      <c r="AL165" s="76">
        <f t="shared" si="331"/>
        <v>2021.1666666666667</v>
      </c>
      <c r="AM165" s="52">
        <f t="shared" si="332"/>
        <v>2019</v>
      </c>
      <c r="AN165" s="52">
        <f t="shared" si="333"/>
        <v>-8.3333333333333329E-2</v>
      </c>
      <c r="AO165" s="46"/>
    </row>
    <row r="166" spans="1:41" ht="15.75">
      <c r="A166" s="55" t="s">
        <v>644</v>
      </c>
      <c r="B166" s="58"/>
      <c r="C166" s="58"/>
      <c r="D166" s="53">
        <f>SUM(D157:D165)</f>
        <v>892465.84</v>
      </c>
      <c r="E166" s="83"/>
      <c r="F166" s="52"/>
      <c r="G166" s="52"/>
      <c r="H166" s="52"/>
      <c r="I166" s="52"/>
      <c r="J166" s="53"/>
      <c r="K166" s="53">
        <f t="shared" ref="K166:R166" si="338">SUM(K157:K165)</f>
        <v>892465.84</v>
      </c>
      <c r="L166" s="53">
        <f t="shared" si="338"/>
        <v>14458.229476190474</v>
      </c>
      <c r="M166" s="53">
        <f t="shared" si="338"/>
        <v>34474.368000000002</v>
      </c>
      <c r="N166" s="53">
        <f t="shared" si="338"/>
        <v>797263.75800000003</v>
      </c>
      <c r="O166" s="53">
        <f t="shared" si="338"/>
        <v>831738.12599999993</v>
      </c>
      <c r="P166" s="299">
        <f t="shared" si="338"/>
        <v>75932.097999999998</v>
      </c>
      <c r="Q166" s="53">
        <f t="shared" si="338"/>
        <v>0</v>
      </c>
      <c r="R166" s="53">
        <f t="shared" si="338"/>
        <v>34474.368000000002</v>
      </c>
      <c r="S166" s="53"/>
      <c r="T166" s="75">
        <f>SUM(T157:T162)</f>
        <v>4065.6000000000004</v>
      </c>
      <c r="U166" s="75"/>
      <c r="V166" s="75"/>
      <c r="W166" s="75"/>
      <c r="X166" s="75"/>
      <c r="Y166" s="75"/>
      <c r="Z166" s="53">
        <f t="shared" ref="Z166:AI166" si="339">SUM(Z157:Z162)</f>
        <v>4065.6000000000004</v>
      </c>
      <c r="AA166" s="75">
        <f t="shared" si="339"/>
        <v>0</v>
      </c>
      <c r="AB166" s="75">
        <f t="shared" si="339"/>
        <v>0</v>
      </c>
      <c r="AC166" s="75">
        <f t="shared" si="339"/>
        <v>0</v>
      </c>
      <c r="AD166" s="75">
        <f t="shared" si="339"/>
        <v>0</v>
      </c>
      <c r="AE166" s="75">
        <f t="shared" si="339"/>
        <v>0</v>
      </c>
      <c r="AF166" s="75">
        <f t="shared" si="339"/>
        <v>0</v>
      </c>
      <c r="AG166" s="53"/>
      <c r="AH166" s="53">
        <f t="shared" si="339"/>
        <v>736356.4</v>
      </c>
      <c r="AI166" s="53">
        <f t="shared" si="339"/>
        <v>736356.4</v>
      </c>
      <c r="AJ166" s="76"/>
      <c r="AK166" s="52"/>
      <c r="AL166" s="76"/>
      <c r="AM166" s="52"/>
      <c r="AN166" s="52"/>
      <c r="AO166" s="46"/>
    </row>
    <row r="167" spans="1:41" ht="15.75">
      <c r="A167" s="55"/>
      <c r="B167" s="58"/>
      <c r="C167" s="58"/>
      <c r="D167" s="69"/>
      <c r="E167" s="70"/>
      <c r="F167" s="58"/>
      <c r="G167" s="58"/>
      <c r="H167" s="58"/>
      <c r="I167" s="58"/>
      <c r="J167" s="69"/>
      <c r="K167" s="69"/>
      <c r="L167" s="57"/>
      <c r="M167" s="57"/>
      <c r="N167" s="57"/>
      <c r="O167" s="57"/>
      <c r="P167" s="57"/>
      <c r="Q167" s="71"/>
      <c r="R167" s="71"/>
      <c r="S167" s="72"/>
      <c r="T167" s="82"/>
      <c r="U167" s="84"/>
      <c r="V167" s="84"/>
      <c r="W167" s="84"/>
      <c r="X167" s="84"/>
      <c r="Y167" s="84"/>
      <c r="Z167" s="71"/>
      <c r="AA167" s="82"/>
      <c r="AB167" s="82"/>
      <c r="AC167" s="82"/>
      <c r="AD167" s="82"/>
      <c r="AE167" s="82"/>
      <c r="AF167" s="82"/>
      <c r="AG167" s="72"/>
      <c r="AH167" s="72"/>
      <c r="AI167" s="72"/>
      <c r="AJ167" s="72"/>
      <c r="AK167" s="72"/>
      <c r="AL167" s="72"/>
      <c r="AM167" s="72"/>
      <c r="AN167" s="72"/>
      <c r="AO167" s="46"/>
    </row>
    <row r="168" spans="1:41" ht="15.75">
      <c r="A168" s="55"/>
      <c r="B168" s="58"/>
      <c r="C168" s="58"/>
      <c r="D168" s="72"/>
      <c r="E168" s="73"/>
      <c r="F168" s="58"/>
      <c r="G168" s="52"/>
      <c r="H168" s="58"/>
      <c r="I168" s="58"/>
      <c r="J168" s="57"/>
      <c r="K168" s="53"/>
      <c r="L168" s="53"/>
      <c r="M168" s="53"/>
      <c r="N168" s="53"/>
      <c r="O168" s="53"/>
      <c r="P168" s="53"/>
      <c r="Q168" s="53"/>
      <c r="R168" s="53"/>
      <c r="S168" s="54"/>
      <c r="T168" s="75"/>
      <c r="U168" s="75"/>
      <c r="V168" s="75"/>
      <c r="W168" s="75"/>
      <c r="X168" s="75"/>
      <c r="Y168" s="75"/>
      <c r="Z168" s="53"/>
      <c r="AA168" s="75"/>
      <c r="AB168" s="75"/>
      <c r="AC168" s="75"/>
      <c r="AD168" s="75"/>
      <c r="AE168" s="75"/>
      <c r="AF168" s="75"/>
      <c r="AG168" s="54"/>
      <c r="AH168" s="53"/>
      <c r="AI168" s="53"/>
      <c r="AJ168" s="76"/>
      <c r="AK168" s="52"/>
      <c r="AL168" s="76"/>
      <c r="AM168" s="52"/>
      <c r="AN168" s="52"/>
      <c r="AO168" s="46"/>
    </row>
    <row r="169" spans="1:41" ht="15.75">
      <c r="A169" s="55" t="s">
        <v>645</v>
      </c>
      <c r="B169" s="52"/>
      <c r="C169" s="52"/>
      <c r="D169" s="53">
        <f>+D26+D29+D33+D37+D49+D57+D64+D74+D85+D111+D118+D126+D136+D141+D145+D154+D166</f>
        <v>10031017.99</v>
      </c>
      <c r="E169" s="53"/>
      <c r="F169" s="53"/>
      <c r="G169" s="53"/>
      <c r="H169" s="53"/>
      <c r="I169" s="53"/>
      <c r="J169" s="53"/>
      <c r="K169" s="53">
        <f t="shared" ref="K169:AN169" si="340">+K26+K29+K33+K37+K49+K57+K64+K74+K85+K111+K118+K126+K136+K141+K145+K154+K166</f>
        <v>10031017.99</v>
      </c>
      <c r="L169" s="53">
        <f t="shared" si="340"/>
        <v>112834.49148809524</v>
      </c>
      <c r="M169" s="53">
        <f t="shared" si="340"/>
        <v>365011.01071428572</v>
      </c>
      <c r="N169" s="53">
        <f t="shared" si="340"/>
        <v>8170592.324702383</v>
      </c>
      <c r="O169" s="53">
        <f t="shared" si="340"/>
        <v>8535603.3354166672</v>
      </c>
      <c r="P169" s="53">
        <f t="shared" si="340"/>
        <v>1662923.5885119052</v>
      </c>
      <c r="Q169" s="53">
        <f t="shared" si="340"/>
        <v>0</v>
      </c>
      <c r="R169" s="53">
        <f t="shared" si="340"/>
        <v>365011.01071428572</v>
      </c>
      <c r="S169" s="53">
        <f t="shared" si="340"/>
        <v>1</v>
      </c>
      <c r="T169" s="53">
        <f t="shared" si="340"/>
        <v>170149.0433606416</v>
      </c>
      <c r="U169" s="53">
        <f t="shared" si="340"/>
        <v>23907.576647640548</v>
      </c>
      <c r="V169" s="53">
        <f t="shared" si="340"/>
        <v>28185.480574173442</v>
      </c>
      <c r="W169" s="53">
        <f t="shared" si="340"/>
        <v>33.630521931061388</v>
      </c>
      <c r="X169" s="53">
        <f t="shared" si="340"/>
        <v>27.80487191384249</v>
      </c>
      <c r="Y169" s="53">
        <f t="shared" si="340"/>
        <v>1510.2385951280949</v>
      </c>
      <c r="Z169" s="53">
        <f t="shared" si="340"/>
        <v>163868.48657142857</v>
      </c>
      <c r="AA169" s="53">
        <f t="shared" si="340"/>
        <v>317945.56062463648</v>
      </c>
      <c r="AB169" s="53">
        <f t="shared" si="340"/>
        <v>50564.133238202739</v>
      </c>
      <c r="AC169" s="53">
        <f t="shared" si="340"/>
        <v>158076.8538708672</v>
      </c>
      <c r="AD169" s="53">
        <f t="shared" si="340"/>
        <v>168.15260965530695</v>
      </c>
      <c r="AE169" s="53">
        <f t="shared" si="340"/>
        <v>139.02435956921246</v>
      </c>
      <c r="AF169" s="53">
        <f t="shared" si="340"/>
        <v>8551.1929756404752</v>
      </c>
      <c r="AG169" s="53">
        <f t="shared" si="340"/>
        <v>1</v>
      </c>
      <c r="AH169" s="53">
        <f t="shared" si="340"/>
        <v>7867039.7576071434</v>
      </c>
      <c r="AI169" s="53">
        <f t="shared" si="340"/>
        <v>7867039.7576071434</v>
      </c>
      <c r="AJ169" s="53">
        <f t="shared" si="340"/>
        <v>2017.1666666666667</v>
      </c>
      <c r="AK169" s="53">
        <f t="shared" si="340"/>
        <v>2018.9166666666667</v>
      </c>
      <c r="AL169" s="53">
        <f t="shared" si="340"/>
        <v>2024.1666666666667</v>
      </c>
      <c r="AM169" s="53">
        <f t="shared" si="340"/>
        <v>2019</v>
      </c>
      <c r="AN169" s="53">
        <f t="shared" si="340"/>
        <v>-8.3333333333333329E-2</v>
      </c>
      <c r="AO169" s="86"/>
    </row>
    <row r="170" spans="1:41" ht="15.75">
      <c r="A170" s="109" t="s">
        <v>679</v>
      </c>
      <c r="B170" s="52"/>
      <c r="C170" s="52"/>
      <c r="D170" s="78">
        <f>231397.68+5641355.24+59862.49+3736184.64+54411.17+151871+10171.89</f>
        <v>9885254.1100000013</v>
      </c>
      <c r="E170" s="52"/>
      <c r="F170" s="52"/>
      <c r="G170" s="52"/>
      <c r="H170" s="52"/>
      <c r="I170" s="52"/>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46"/>
    </row>
    <row r="171" spans="1:41" ht="15.75">
      <c r="A171" s="109"/>
      <c r="B171" s="52"/>
      <c r="C171" s="52"/>
      <c r="D171" s="53">
        <f>+D169-D170</f>
        <v>145763.87999999896</v>
      </c>
      <c r="E171" s="52"/>
      <c r="F171" s="52"/>
      <c r="G171" s="52"/>
      <c r="H171" s="52"/>
      <c r="I171" s="52"/>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46"/>
    </row>
    <row r="172" spans="1:41" ht="30">
      <c r="A172" s="551" t="s">
        <v>678</v>
      </c>
      <c r="B172" s="552"/>
      <c r="C172" s="552"/>
      <c r="D172" s="553">
        <f>+D73</f>
        <v>14304</v>
      </c>
      <c r="E172" s="552"/>
      <c r="F172" s="552"/>
      <c r="G172" s="552"/>
      <c r="H172" s="552"/>
      <c r="I172" s="552"/>
      <c r="J172" s="554"/>
      <c r="K172" s="554"/>
      <c r="L172" s="554"/>
      <c r="M172" s="554"/>
      <c r="N172" s="554"/>
      <c r="O172" s="554"/>
      <c r="P172" s="554"/>
      <c r="Q172" s="554"/>
      <c r="R172" s="554"/>
      <c r="S172" s="554"/>
      <c r="T172" s="554"/>
      <c r="U172" s="554"/>
      <c r="V172" s="53"/>
      <c r="W172" s="53"/>
      <c r="X172" s="53"/>
      <c r="Y172" s="53"/>
      <c r="Z172" s="53"/>
      <c r="AA172" s="75"/>
      <c r="AB172" s="75"/>
      <c r="AC172" s="75"/>
      <c r="AD172" s="75"/>
      <c r="AE172" s="75"/>
      <c r="AF172" s="75"/>
      <c r="AG172" s="54"/>
      <c r="AH172" s="53"/>
      <c r="AI172" s="53"/>
      <c r="AJ172" s="52"/>
      <c r="AK172" s="52"/>
      <c r="AL172" s="52"/>
      <c r="AM172" s="52"/>
      <c r="AN172" s="52"/>
      <c r="AO172" s="46"/>
    </row>
    <row r="173" spans="1:41" ht="15.75">
      <c r="A173" s="555" t="s">
        <v>1254</v>
      </c>
      <c r="B173" s="555"/>
      <c r="C173" s="555"/>
      <c r="D173" s="555">
        <f>15149.57+15149.57+15149.57+877.6+10849.33+16274+14776.59+9851.06</f>
        <v>98077.29</v>
      </c>
      <c r="E173" s="555"/>
      <c r="F173" s="555"/>
      <c r="G173" s="555"/>
      <c r="H173" s="555"/>
      <c r="I173" s="555"/>
      <c r="J173" s="555"/>
      <c r="K173" s="555"/>
      <c r="L173" s="555"/>
      <c r="M173" s="555"/>
      <c r="N173" s="555"/>
      <c r="O173" s="555"/>
      <c r="P173" s="555"/>
      <c r="Q173" s="555"/>
      <c r="R173" s="555"/>
      <c r="S173" s="555"/>
      <c r="T173" s="555"/>
      <c r="U173" s="555"/>
      <c r="V173" s="87"/>
      <c r="W173" s="87"/>
      <c r="X173" s="87"/>
      <c r="Y173" s="87"/>
      <c r="Z173" s="87"/>
      <c r="AA173" s="87"/>
      <c r="AB173" s="87"/>
      <c r="AC173" s="87"/>
      <c r="AD173" s="87"/>
      <c r="AE173" s="87"/>
      <c r="AF173" s="87"/>
      <c r="AG173" s="87"/>
      <c r="AH173" s="87"/>
      <c r="AI173" s="87"/>
      <c r="AJ173" s="87"/>
      <c r="AK173" s="87"/>
      <c r="AL173" s="87"/>
      <c r="AM173" s="87"/>
      <c r="AN173" s="87"/>
    </row>
    <row r="174" spans="1:41" ht="15.75">
      <c r="A174" s="555" t="s">
        <v>1255</v>
      </c>
      <c r="B174" s="555"/>
      <c r="C174" s="555"/>
      <c r="D174" s="556">
        <v>33384.14</v>
      </c>
      <c r="E174" s="555"/>
      <c r="F174" s="555"/>
      <c r="G174" s="555"/>
      <c r="H174" s="555"/>
      <c r="I174" s="555"/>
      <c r="J174" s="555"/>
      <c r="K174" s="555"/>
      <c r="L174" s="555"/>
      <c r="M174" s="555"/>
      <c r="N174" s="555"/>
      <c r="O174" s="555"/>
      <c r="P174" s="555"/>
      <c r="Q174" s="555"/>
      <c r="R174" s="555"/>
      <c r="S174" s="555"/>
      <c r="T174" s="555"/>
      <c r="U174" s="555"/>
      <c r="V174" s="87"/>
      <c r="W174" s="87"/>
      <c r="X174" s="87"/>
      <c r="Y174" s="87"/>
      <c r="Z174" s="87"/>
      <c r="AA174" s="87"/>
      <c r="AB174" s="87"/>
      <c r="AC174" s="87"/>
      <c r="AD174" s="87"/>
      <c r="AE174" s="87"/>
      <c r="AF174" s="87"/>
      <c r="AG174" s="87"/>
      <c r="AH174" s="87"/>
      <c r="AI174" s="87"/>
      <c r="AJ174" s="87"/>
      <c r="AK174" s="87"/>
      <c r="AL174" s="87"/>
      <c r="AM174" s="87"/>
      <c r="AN174" s="87"/>
    </row>
    <row r="175" spans="1:41" ht="16.5" thickBot="1">
      <c r="A175" s="555"/>
      <c r="B175" s="555"/>
      <c r="C175" s="555"/>
      <c r="D175" s="555">
        <f>SUM(D172:D174)</f>
        <v>145765.43</v>
      </c>
      <c r="E175" s="555"/>
      <c r="F175" s="555"/>
      <c r="G175" s="555"/>
      <c r="H175" s="555"/>
      <c r="I175" s="555"/>
      <c r="J175" s="555"/>
      <c r="K175" s="555"/>
      <c r="L175" s="555"/>
      <c r="M175" s="555"/>
      <c r="N175" s="555"/>
      <c r="O175" s="555"/>
      <c r="P175" s="555"/>
      <c r="Q175" s="555"/>
      <c r="R175" s="555"/>
      <c r="S175" s="555"/>
      <c r="T175" s="555"/>
      <c r="U175" s="555"/>
      <c r="V175" s="87"/>
      <c r="W175" s="87"/>
      <c r="X175" s="87"/>
      <c r="Y175" s="87"/>
      <c r="Z175" s="87"/>
      <c r="AA175" s="87"/>
      <c r="AB175" s="87"/>
      <c r="AC175" s="87"/>
      <c r="AD175" s="87"/>
      <c r="AE175" s="87"/>
      <c r="AF175" s="87"/>
      <c r="AG175" s="87"/>
      <c r="AH175" s="87"/>
      <c r="AI175" s="87"/>
      <c r="AJ175" s="87"/>
      <c r="AK175" s="87"/>
      <c r="AL175" s="87"/>
      <c r="AM175" s="87"/>
      <c r="AN175" s="87"/>
    </row>
    <row r="176" spans="1:41" ht="15.75">
      <c r="A176" s="555"/>
      <c r="B176" s="555"/>
      <c r="C176" s="555"/>
      <c r="D176" s="555"/>
      <c r="E176" s="555"/>
      <c r="F176" s="555"/>
      <c r="G176" s="663" t="s">
        <v>1409</v>
      </c>
      <c r="H176" s="664"/>
      <c r="I176" s="664"/>
      <c r="J176" s="664"/>
      <c r="K176" s="665" t="s">
        <v>1405</v>
      </c>
      <c r="L176" s="665" t="s">
        <v>661</v>
      </c>
      <c r="M176" s="665" t="s">
        <v>1407</v>
      </c>
      <c r="N176" s="665" t="s">
        <v>664</v>
      </c>
      <c r="O176" s="666" t="s">
        <v>1166</v>
      </c>
      <c r="P176" s="555"/>
      <c r="Q176" s="555"/>
      <c r="R176" s="555"/>
      <c r="S176" s="555"/>
      <c r="T176" s="555"/>
      <c r="U176" s="555"/>
      <c r="V176" s="87"/>
      <c r="W176" s="87"/>
      <c r="X176" s="87"/>
      <c r="Y176" s="87"/>
      <c r="Z176" s="87"/>
      <c r="AA176" s="87"/>
      <c r="AB176" s="87"/>
      <c r="AC176" s="87"/>
      <c r="AD176" s="87"/>
      <c r="AE176" s="87"/>
      <c r="AF176" s="87"/>
      <c r="AG176" s="87"/>
      <c r="AH176" s="87"/>
      <c r="AI176" s="87"/>
      <c r="AJ176" s="87"/>
      <c r="AK176" s="87"/>
      <c r="AL176" s="87"/>
      <c r="AM176" s="87"/>
      <c r="AN176" s="87"/>
    </row>
    <row r="177" spans="1:40" ht="16.5" thickBot="1">
      <c r="A177" s="659" t="s">
        <v>1410</v>
      </c>
      <c r="B177" s="555"/>
      <c r="C177" s="555"/>
      <c r="D177" s="555"/>
      <c r="E177" s="555"/>
      <c r="F177" s="555"/>
      <c r="G177" s="667" t="s">
        <v>672</v>
      </c>
      <c r="H177" s="668"/>
      <c r="I177" s="668"/>
      <c r="J177" s="668"/>
      <c r="K177" s="669" t="s">
        <v>1360</v>
      </c>
      <c r="L177" s="669" t="s">
        <v>1406</v>
      </c>
      <c r="M177" s="669" t="s">
        <v>1408</v>
      </c>
      <c r="N177" s="669" t="s">
        <v>990</v>
      </c>
      <c r="O177" s="670"/>
      <c r="P177" s="555"/>
      <c r="Q177" s="555"/>
      <c r="R177" s="555"/>
      <c r="S177" s="555"/>
      <c r="T177" s="555"/>
      <c r="U177" s="555"/>
      <c r="V177" s="87"/>
      <c r="W177" s="87"/>
      <c r="X177" s="87"/>
      <c r="Y177" s="87"/>
      <c r="Z177" s="87"/>
      <c r="AA177" s="87"/>
      <c r="AB177" s="87"/>
      <c r="AC177" s="87"/>
      <c r="AD177" s="87"/>
      <c r="AE177" s="87"/>
      <c r="AF177" s="87"/>
      <c r="AG177" s="87"/>
      <c r="AH177" s="87"/>
      <c r="AI177" s="87"/>
      <c r="AJ177" s="87"/>
      <c r="AK177" s="87"/>
      <c r="AL177" s="87"/>
      <c r="AM177" s="87"/>
      <c r="AN177" s="87"/>
    </row>
    <row r="178" spans="1:40" ht="15.75">
      <c r="A178" s="555" t="s">
        <v>538</v>
      </c>
      <c r="B178" s="555"/>
      <c r="C178" s="555"/>
      <c r="D178" s="555"/>
      <c r="E178" s="555"/>
      <c r="F178" s="555"/>
      <c r="G178" s="555">
        <f>+M26</f>
        <v>71606.500999999989</v>
      </c>
      <c r="H178" s="555"/>
      <c r="I178" s="555"/>
      <c r="J178" s="555"/>
      <c r="K178" s="555"/>
      <c r="L178" s="555"/>
      <c r="M178" s="555"/>
      <c r="N178" s="555"/>
      <c r="O178" s="555"/>
      <c r="P178" s="555"/>
      <c r="Q178" s="555"/>
      <c r="R178" s="555"/>
      <c r="S178" s="555"/>
      <c r="T178" s="555"/>
      <c r="U178" s="555"/>
      <c r="V178" s="87"/>
      <c r="W178" s="87"/>
      <c r="X178" s="87"/>
      <c r="Y178" s="87"/>
      <c r="Z178" s="87"/>
      <c r="AA178" s="87"/>
      <c r="AB178" s="87"/>
      <c r="AC178" s="87"/>
      <c r="AD178" s="87"/>
      <c r="AE178" s="87"/>
      <c r="AF178" s="87"/>
      <c r="AG178" s="87"/>
      <c r="AH178" s="87"/>
      <c r="AI178" s="87"/>
      <c r="AJ178" s="87"/>
      <c r="AK178" s="87"/>
      <c r="AL178" s="87"/>
      <c r="AM178" s="87"/>
      <c r="AN178" s="87"/>
    </row>
    <row r="179" spans="1:40" ht="15.75">
      <c r="A179" s="555" t="s">
        <v>676</v>
      </c>
      <c r="B179" s="555"/>
      <c r="C179" s="555"/>
      <c r="D179" s="555"/>
      <c r="E179" s="555"/>
      <c r="F179" s="555"/>
      <c r="G179" s="555">
        <f>+M29</f>
        <v>7716.4285714285725</v>
      </c>
      <c r="H179" s="555"/>
      <c r="I179" s="555"/>
      <c r="J179" s="555"/>
      <c r="K179" s="555"/>
      <c r="L179" s="555"/>
      <c r="M179" s="555"/>
      <c r="N179" s="555"/>
      <c r="O179" s="555"/>
      <c r="P179" s="555"/>
      <c r="Q179" s="555"/>
      <c r="R179" s="555"/>
      <c r="S179" s="555"/>
      <c r="T179" s="555"/>
      <c r="U179" s="555"/>
      <c r="V179" s="87"/>
      <c r="W179" s="87"/>
      <c r="X179" s="87"/>
      <c r="Y179" s="87"/>
      <c r="Z179" s="87"/>
      <c r="AA179" s="87"/>
      <c r="AB179" s="87"/>
      <c r="AC179" s="87"/>
      <c r="AD179" s="87"/>
      <c r="AE179" s="87"/>
      <c r="AF179" s="87"/>
      <c r="AG179" s="87"/>
      <c r="AH179" s="87"/>
      <c r="AI179" s="87"/>
      <c r="AJ179" s="87"/>
      <c r="AK179" s="87"/>
      <c r="AL179" s="87"/>
      <c r="AM179" s="87"/>
      <c r="AN179" s="87"/>
    </row>
    <row r="180" spans="1:40" ht="15.75">
      <c r="A180" s="555" t="s">
        <v>546</v>
      </c>
      <c r="B180" s="555"/>
      <c r="C180" s="555"/>
      <c r="D180" s="555"/>
      <c r="E180" s="555"/>
      <c r="F180" s="555"/>
      <c r="G180" s="555"/>
      <c r="H180" s="555"/>
      <c r="I180" s="555"/>
      <c r="J180" s="555"/>
      <c r="K180" s="555"/>
      <c r="L180" s="555"/>
      <c r="M180" s="555"/>
      <c r="N180" s="555"/>
      <c r="O180" s="555">
        <f>+M33</f>
        <v>0</v>
      </c>
      <c r="P180" s="555"/>
      <c r="Q180" s="555"/>
      <c r="R180" s="555"/>
      <c r="S180" s="555"/>
      <c r="T180" s="555"/>
      <c r="U180" s="555"/>
      <c r="V180" s="87"/>
      <c r="W180" s="87"/>
      <c r="X180" s="87"/>
      <c r="Y180" s="87"/>
      <c r="Z180" s="87"/>
      <c r="AA180" s="87"/>
      <c r="AB180" s="87"/>
      <c r="AC180" s="87"/>
      <c r="AD180" s="87"/>
      <c r="AE180" s="87"/>
      <c r="AF180" s="87"/>
      <c r="AG180" s="87"/>
      <c r="AH180" s="87"/>
      <c r="AI180" s="87"/>
      <c r="AJ180" s="87"/>
      <c r="AK180" s="87"/>
      <c r="AL180" s="87"/>
      <c r="AM180" s="87"/>
      <c r="AN180" s="87"/>
    </row>
    <row r="181" spans="1:40" ht="15.75">
      <c r="A181" s="553" t="s">
        <v>549</v>
      </c>
      <c r="B181" s="553"/>
      <c r="C181" s="553"/>
      <c r="D181" s="553"/>
      <c r="E181" s="553"/>
      <c r="F181" s="553"/>
      <c r="G181" s="553">
        <f>+M37</f>
        <v>0</v>
      </c>
      <c r="H181" s="553"/>
      <c r="I181" s="553"/>
      <c r="J181" s="553"/>
      <c r="K181" s="553"/>
      <c r="L181" s="553"/>
      <c r="M181" s="553"/>
      <c r="N181" s="553"/>
      <c r="O181" s="553"/>
      <c r="P181" s="553"/>
      <c r="Q181" s="553"/>
      <c r="R181" s="553"/>
      <c r="S181" s="553"/>
      <c r="T181" s="553"/>
      <c r="U181" s="553"/>
    </row>
    <row r="182" spans="1:40" ht="15.75">
      <c r="A182" s="553" t="s">
        <v>552</v>
      </c>
      <c r="B182" s="553"/>
      <c r="C182" s="553"/>
      <c r="D182" s="553"/>
      <c r="E182" s="553"/>
      <c r="F182" s="553"/>
      <c r="G182" s="553">
        <f>+M49</f>
        <v>5709.4</v>
      </c>
      <c r="H182" s="553"/>
      <c r="I182" s="553"/>
      <c r="J182" s="553"/>
      <c r="K182" s="553"/>
      <c r="L182" s="553"/>
      <c r="M182" s="553"/>
      <c r="N182" s="553"/>
      <c r="O182" s="553"/>
      <c r="P182" s="553"/>
      <c r="Q182" s="553"/>
      <c r="R182" s="553"/>
      <c r="S182" s="553"/>
      <c r="T182" s="553"/>
      <c r="U182" s="553"/>
    </row>
    <row r="183" spans="1:40" ht="15.75">
      <c r="A183" s="553" t="s">
        <v>563</v>
      </c>
      <c r="B183" s="553"/>
      <c r="C183" s="553"/>
      <c r="D183" s="553"/>
      <c r="E183" s="553"/>
      <c r="F183" s="553"/>
      <c r="G183" s="553"/>
      <c r="H183" s="553"/>
      <c r="I183" s="553"/>
      <c r="J183" s="553"/>
      <c r="K183" s="553"/>
      <c r="L183" s="553"/>
      <c r="M183" s="553"/>
      <c r="N183" s="553">
        <f>+M57</f>
        <v>25900.300000000003</v>
      </c>
      <c r="O183" s="553"/>
      <c r="P183" s="553"/>
      <c r="Q183" s="553"/>
      <c r="R183" s="553"/>
      <c r="S183" s="553"/>
      <c r="T183" s="553"/>
      <c r="U183" s="553"/>
    </row>
    <row r="184" spans="1:40" ht="15.75">
      <c r="A184" s="553" t="s">
        <v>569</v>
      </c>
      <c r="B184" s="553"/>
      <c r="C184" s="553"/>
      <c r="D184" s="553"/>
      <c r="E184" s="553"/>
      <c r="F184" s="553"/>
      <c r="G184" s="553"/>
      <c r="H184" s="553"/>
      <c r="I184" s="553"/>
      <c r="J184" s="553"/>
      <c r="K184" s="553"/>
      <c r="L184" s="553">
        <f>+M64</f>
        <v>3418.9814285714283</v>
      </c>
      <c r="M184" s="553"/>
      <c r="N184" s="553"/>
      <c r="O184" s="553"/>
      <c r="P184" s="553"/>
      <c r="Q184" s="553"/>
      <c r="R184" s="553"/>
      <c r="S184" s="553"/>
      <c r="T184" s="553"/>
      <c r="U184" s="553"/>
    </row>
    <row r="185" spans="1:40" ht="15.75">
      <c r="A185" s="553" t="s">
        <v>575</v>
      </c>
      <c r="B185" s="553"/>
      <c r="C185" s="553"/>
      <c r="D185" s="553"/>
      <c r="E185" s="553"/>
      <c r="F185" s="553"/>
      <c r="G185" s="553"/>
      <c r="H185" s="553"/>
      <c r="I185" s="553"/>
      <c r="J185" s="553"/>
      <c r="K185" s="553">
        <f>+M74</f>
        <v>51223.71428571429</v>
      </c>
      <c r="L185" s="553"/>
      <c r="M185" s="553"/>
      <c r="N185" s="553"/>
      <c r="O185" s="553"/>
      <c r="P185" s="553"/>
      <c r="Q185" s="553"/>
      <c r="R185" s="553"/>
      <c r="S185" s="553"/>
      <c r="T185" s="553"/>
      <c r="U185" s="553"/>
    </row>
    <row r="186" spans="1:40" ht="15.75">
      <c r="A186" s="553" t="s">
        <v>1399</v>
      </c>
      <c r="B186" s="553"/>
      <c r="C186" s="553"/>
      <c r="D186" s="553"/>
      <c r="E186" s="553"/>
      <c r="F186" s="553"/>
      <c r="G186" s="553">
        <f>+M85</f>
        <v>7470.9839999999986</v>
      </c>
      <c r="H186" s="553"/>
      <c r="I186" s="553"/>
      <c r="J186" s="553"/>
      <c r="K186" s="553"/>
      <c r="L186" s="553"/>
      <c r="M186" s="553"/>
      <c r="N186" s="553"/>
      <c r="O186" s="553"/>
      <c r="P186" s="553"/>
      <c r="Q186" s="553"/>
      <c r="R186" s="553"/>
      <c r="S186" s="553"/>
      <c r="T186" s="553"/>
      <c r="U186" s="553"/>
    </row>
    <row r="187" spans="1:40" ht="15.75">
      <c r="A187" s="553" t="s">
        <v>590</v>
      </c>
      <c r="B187" s="553"/>
      <c r="C187" s="553"/>
      <c r="D187" s="553"/>
      <c r="E187" s="553"/>
      <c r="F187" s="553"/>
      <c r="G187" s="553">
        <f>+M111</f>
        <v>62655.603999999999</v>
      </c>
      <c r="H187" s="553"/>
      <c r="I187" s="553"/>
      <c r="J187" s="553"/>
      <c r="K187" s="553"/>
      <c r="L187" s="553"/>
      <c r="M187" s="553"/>
      <c r="N187" s="553"/>
      <c r="O187" s="553"/>
      <c r="P187" s="553"/>
      <c r="Q187" s="553"/>
      <c r="R187" s="553"/>
      <c r="S187" s="553"/>
      <c r="T187" s="553"/>
      <c r="U187" s="553"/>
    </row>
    <row r="188" spans="1:40" ht="15.75">
      <c r="A188" s="553" t="s">
        <v>604</v>
      </c>
      <c r="B188" s="553"/>
      <c r="C188" s="553"/>
      <c r="D188" s="553"/>
      <c r="E188" s="553"/>
      <c r="F188" s="553"/>
      <c r="G188" s="553"/>
      <c r="H188" s="553"/>
      <c r="I188" s="553"/>
      <c r="J188" s="553"/>
      <c r="K188" s="553"/>
      <c r="L188" s="553"/>
      <c r="M188" s="553"/>
      <c r="N188" s="553">
        <f>+M118</f>
        <v>1200</v>
      </c>
      <c r="O188" s="553"/>
      <c r="P188" s="553"/>
      <c r="Q188" s="553"/>
      <c r="R188" s="553"/>
      <c r="S188" s="553"/>
      <c r="T188" s="553"/>
      <c r="U188" s="553"/>
    </row>
    <row r="189" spans="1:40" ht="15.75">
      <c r="A189" s="553" t="s">
        <v>569</v>
      </c>
      <c r="B189" s="553"/>
      <c r="C189" s="553"/>
      <c r="D189" s="553"/>
      <c r="E189" s="553"/>
      <c r="F189" s="553"/>
      <c r="G189" s="553"/>
      <c r="H189" s="553"/>
      <c r="I189" s="553"/>
      <c r="J189" s="553"/>
      <c r="K189" s="553"/>
      <c r="L189" s="553">
        <f>+M126</f>
        <v>16034.245999999999</v>
      </c>
      <c r="M189" s="553"/>
      <c r="N189" s="553"/>
      <c r="O189" s="553"/>
      <c r="P189" s="553"/>
      <c r="Q189" s="553"/>
      <c r="R189" s="553"/>
      <c r="S189" s="553"/>
      <c r="T189" s="553"/>
      <c r="U189" s="553"/>
    </row>
    <row r="190" spans="1:40" ht="15.75">
      <c r="A190" s="553" t="s">
        <v>612</v>
      </c>
      <c r="B190" s="553"/>
      <c r="C190" s="553"/>
      <c r="D190" s="553"/>
      <c r="E190" s="553"/>
      <c r="F190" s="553"/>
      <c r="G190" s="553">
        <f>+M136</f>
        <v>15603.012000000001</v>
      </c>
      <c r="H190" s="553"/>
      <c r="I190" s="553"/>
      <c r="J190" s="553"/>
      <c r="K190" s="553"/>
      <c r="L190" s="553"/>
      <c r="M190" s="553"/>
      <c r="N190" s="553"/>
      <c r="O190" s="553"/>
      <c r="P190" s="553"/>
      <c r="Q190" s="553"/>
      <c r="R190" s="553"/>
      <c r="S190" s="553"/>
      <c r="T190" s="553"/>
      <c r="U190" s="553"/>
    </row>
    <row r="191" spans="1:40" ht="15.75">
      <c r="A191" s="553" t="s">
        <v>619</v>
      </c>
      <c r="B191" s="553"/>
      <c r="C191" s="553"/>
      <c r="D191" s="553"/>
      <c r="E191" s="553"/>
      <c r="F191" s="553"/>
      <c r="G191" s="553">
        <f>+M141</f>
        <v>4348.8999999999996</v>
      </c>
      <c r="H191" s="553"/>
      <c r="I191" s="553"/>
      <c r="J191" s="553"/>
      <c r="K191" s="553"/>
      <c r="L191" s="553"/>
      <c r="M191" s="553"/>
      <c r="N191" s="553"/>
      <c r="O191" s="553"/>
      <c r="P191" s="553"/>
      <c r="Q191" s="553"/>
      <c r="R191" s="553"/>
      <c r="S191" s="553"/>
      <c r="T191" s="553"/>
      <c r="U191" s="553"/>
    </row>
    <row r="192" spans="1:40" ht="15.75">
      <c r="A192" s="553" t="s">
        <v>623</v>
      </c>
      <c r="B192" s="553"/>
      <c r="C192" s="553"/>
      <c r="D192" s="553"/>
      <c r="E192" s="553"/>
      <c r="F192" s="553"/>
      <c r="G192" s="553"/>
      <c r="H192" s="553"/>
      <c r="I192" s="553"/>
      <c r="J192" s="553"/>
      <c r="K192" s="553"/>
      <c r="L192" s="553"/>
      <c r="M192" s="553"/>
      <c r="N192" s="553"/>
      <c r="O192" s="553">
        <f>+M145</f>
        <v>0</v>
      </c>
      <c r="P192" s="553"/>
      <c r="Q192" s="553"/>
      <c r="R192" s="553"/>
      <c r="S192" s="553"/>
      <c r="T192" s="553"/>
      <c r="U192" s="553"/>
    </row>
    <row r="193" spans="1:21" ht="15.75">
      <c r="A193" s="553" t="s">
        <v>626</v>
      </c>
      <c r="B193" s="553"/>
      <c r="C193" s="553"/>
      <c r="D193" s="553"/>
      <c r="E193" s="553"/>
      <c r="F193" s="553"/>
      <c r="G193" s="553">
        <f>+M154</f>
        <v>57648.571428571428</v>
      </c>
      <c r="H193" s="553"/>
      <c r="I193" s="553"/>
      <c r="J193" s="553"/>
      <c r="K193" s="553"/>
      <c r="L193" s="553"/>
      <c r="M193" s="553"/>
      <c r="N193" s="553"/>
      <c r="O193" s="553"/>
      <c r="P193" s="553"/>
      <c r="Q193" s="553"/>
      <c r="R193" s="553"/>
      <c r="S193" s="553"/>
      <c r="T193" s="553"/>
      <c r="U193" s="553"/>
    </row>
    <row r="194" spans="1:21" ht="15.75">
      <c r="A194" s="553" t="s">
        <v>634</v>
      </c>
      <c r="B194" s="553"/>
      <c r="C194" s="553"/>
      <c r="D194" s="553"/>
      <c r="E194" s="553"/>
      <c r="F194" s="553"/>
      <c r="G194" s="627">
        <f>+M166</f>
        <v>34474.368000000002</v>
      </c>
      <c r="H194" s="627"/>
      <c r="I194" s="627"/>
      <c r="J194" s="627"/>
      <c r="K194" s="627"/>
      <c r="L194" s="627"/>
      <c r="M194" s="627"/>
      <c r="N194" s="627"/>
      <c r="O194" s="627"/>
      <c r="P194" s="553"/>
      <c r="Q194" s="553"/>
      <c r="R194" s="553"/>
      <c r="S194" s="553"/>
      <c r="T194" s="553"/>
      <c r="U194" s="553"/>
    </row>
    <row r="195" spans="1:21" ht="15.75">
      <c r="A195" s="553"/>
      <c r="B195" s="553"/>
      <c r="C195" s="553"/>
      <c r="D195" s="553"/>
      <c r="E195" s="553"/>
      <c r="F195" s="553"/>
      <c r="G195" s="553">
        <f>SUM(G178:G194)</f>
        <v>267233.76899999997</v>
      </c>
      <c r="H195" s="553"/>
      <c r="I195" s="553"/>
      <c r="J195" s="553"/>
      <c r="K195" s="553">
        <f t="shared" ref="K195:O195" si="341">SUM(K178:K194)</f>
        <v>51223.71428571429</v>
      </c>
      <c r="L195" s="553">
        <f t="shared" si="341"/>
        <v>19453.227428571427</v>
      </c>
      <c r="M195" s="553">
        <f t="shared" si="341"/>
        <v>0</v>
      </c>
      <c r="N195" s="553">
        <f t="shared" si="341"/>
        <v>27100.300000000003</v>
      </c>
      <c r="O195" s="553">
        <f t="shared" si="341"/>
        <v>0</v>
      </c>
      <c r="P195" s="553"/>
      <c r="Q195" s="553"/>
      <c r="R195" s="553"/>
      <c r="S195" s="553"/>
      <c r="T195" s="553"/>
      <c r="U195" s="553"/>
    </row>
    <row r="196" spans="1:21" ht="15.75">
      <c r="A196" s="553"/>
      <c r="B196" s="553"/>
      <c r="C196" s="553"/>
      <c r="D196" s="553"/>
      <c r="E196" s="553"/>
      <c r="F196" s="553"/>
      <c r="G196" s="553"/>
      <c r="H196" s="553"/>
      <c r="I196" s="553"/>
      <c r="J196" s="553"/>
      <c r="K196" s="553"/>
      <c r="L196" s="553"/>
      <c r="M196" s="553"/>
      <c r="N196" s="553"/>
      <c r="O196" s="553"/>
      <c r="P196" s="553"/>
      <c r="Q196" s="553"/>
      <c r="R196" s="553"/>
      <c r="S196" s="553"/>
      <c r="T196" s="553"/>
      <c r="U196" s="553"/>
    </row>
    <row r="197" spans="1:21" ht="15.75">
      <c r="A197" s="553"/>
      <c r="B197" s="553"/>
      <c r="C197" s="553"/>
      <c r="D197" s="553"/>
      <c r="E197" s="553"/>
      <c r="F197" s="553"/>
      <c r="G197" s="553"/>
      <c r="H197" s="553"/>
      <c r="I197" s="553"/>
      <c r="J197" s="553"/>
      <c r="K197" s="553"/>
      <c r="L197" s="553"/>
      <c r="M197" s="553"/>
      <c r="N197" s="553"/>
      <c r="O197" s="553"/>
      <c r="P197" s="553"/>
      <c r="Q197" s="553"/>
      <c r="R197" s="553"/>
      <c r="S197" s="553"/>
      <c r="T197" s="553"/>
      <c r="U197" s="553"/>
    </row>
    <row r="198" spans="1:21" ht="15.75">
      <c r="A198" s="553"/>
      <c r="B198" s="553"/>
      <c r="C198" s="553"/>
      <c r="D198" s="553"/>
      <c r="E198" s="553"/>
      <c r="F198" s="553"/>
      <c r="G198" s="553"/>
      <c r="H198" s="553"/>
      <c r="I198" s="553"/>
      <c r="J198" s="553"/>
      <c r="K198" s="553"/>
      <c r="L198" s="553"/>
      <c r="M198" s="553"/>
      <c r="N198" s="553"/>
      <c r="O198" s="553"/>
      <c r="P198" s="553"/>
      <c r="Q198" s="553"/>
      <c r="R198" s="553"/>
      <c r="S198" s="553"/>
      <c r="T198" s="553"/>
      <c r="U198" s="553"/>
    </row>
    <row r="199" spans="1:21" ht="16.5" thickBot="1">
      <c r="A199" s="553"/>
      <c r="B199" s="553"/>
      <c r="C199" s="553"/>
      <c r="D199" s="553"/>
      <c r="E199" s="553"/>
      <c r="F199" s="553"/>
      <c r="G199" s="553"/>
      <c r="H199" s="553"/>
      <c r="I199" s="553"/>
      <c r="J199" s="553"/>
      <c r="K199" s="553"/>
      <c r="L199" s="553"/>
      <c r="M199" s="553"/>
      <c r="N199" s="553"/>
      <c r="O199" s="553"/>
      <c r="P199" s="553"/>
      <c r="Q199" s="553"/>
      <c r="R199" s="553"/>
      <c r="S199" s="553"/>
      <c r="T199" s="553"/>
      <c r="U199" s="553"/>
    </row>
    <row r="200" spans="1:21" ht="15.75">
      <c r="A200" s="555"/>
      <c r="B200" s="555"/>
      <c r="C200" s="555"/>
      <c r="D200" s="555"/>
      <c r="E200" s="555"/>
      <c r="F200" s="555"/>
      <c r="G200" s="663" t="s">
        <v>1409</v>
      </c>
      <c r="H200" s="664"/>
      <c r="I200" s="664"/>
      <c r="J200" s="664"/>
      <c r="K200" s="665" t="s">
        <v>1405</v>
      </c>
      <c r="L200" s="665" t="s">
        <v>661</v>
      </c>
      <c r="M200" s="665" t="s">
        <v>1407</v>
      </c>
      <c r="N200" s="665" t="s">
        <v>664</v>
      </c>
      <c r="O200" s="666" t="s">
        <v>1166</v>
      </c>
      <c r="P200" s="553"/>
      <c r="Q200" s="553"/>
      <c r="R200" s="553"/>
      <c r="S200" s="553"/>
      <c r="T200" s="553"/>
      <c r="U200" s="553"/>
    </row>
    <row r="201" spans="1:21" ht="16.5" thickBot="1">
      <c r="A201" s="659" t="s">
        <v>1411</v>
      </c>
      <c r="B201" s="555"/>
      <c r="C201" s="555"/>
      <c r="D201" s="555"/>
      <c r="E201" s="555"/>
      <c r="F201" s="555"/>
      <c r="G201" s="667" t="s">
        <v>672</v>
      </c>
      <c r="H201" s="668"/>
      <c r="I201" s="668"/>
      <c r="J201" s="668"/>
      <c r="K201" s="669" t="s">
        <v>1360</v>
      </c>
      <c r="L201" s="669" t="s">
        <v>1406</v>
      </c>
      <c r="M201" s="669" t="s">
        <v>1408</v>
      </c>
      <c r="N201" s="669" t="s">
        <v>990</v>
      </c>
      <c r="O201" s="670"/>
      <c r="P201" s="553"/>
      <c r="Q201" s="553"/>
      <c r="R201" s="553"/>
      <c r="S201" s="553"/>
      <c r="T201" s="553"/>
      <c r="U201" s="553"/>
    </row>
    <row r="202" spans="1:21" ht="15.75">
      <c r="A202" s="555" t="s">
        <v>538</v>
      </c>
      <c r="B202" s="555"/>
      <c r="C202" s="555"/>
      <c r="D202" s="555"/>
      <c r="E202" s="555"/>
      <c r="F202" s="555"/>
      <c r="G202" s="555">
        <f>+P26</f>
        <v>370147.71619047626</v>
      </c>
      <c r="H202" s="555"/>
      <c r="I202" s="555"/>
      <c r="J202" s="555"/>
      <c r="K202" s="555"/>
      <c r="L202" s="555"/>
      <c r="M202" s="555"/>
      <c r="N202" s="555"/>
      <c r="O202" s="555"/>
      <c r="P202" s="553"/>
      <c r="Q202" s="553"/>
      <c r="R202" s="553"/>
      <c r="S202" s="553"/>
      <c r="T202" s="553"/>
      <c r="U202" s="553"/>
    </row>
    <row r="203" spans="1:21" ht="15.75">
      <c r="A203" s="555" t="s">
        <v>676</v>
      </c>
      <c r="B203" s="555"/>
      <c r="C203" s="555"/>
      <c r="D203" s="555"/>
      <c r="E203" s="555"/>
      <c r="F203" s="555"/>
      <c r="G203" s="555">
        <f>+P29</f>
        <v>43726.428571428565</v>
      </c>
      <c r="H203" s="555"/>
      <c r="I203" s="555"/>
      <c r="J203" s="555"/>
      <c r="K203" s="555"/>
      <c r="L203" s="555"/>
      <c r="M203" s="555"/>
      <c r="N203" s="555"/>
      <c r="O203" s="555"/>
      <c r="P203" s="553"/>
      <c r="Q203" s="553"/>
      <c r="R203" s="553"/>
      <c r="S203" s="553"/>
      <c r="T203" s="553"/>
      <c r="U203" s="553"/>
    </row>
    <row r="204" spans="1:21" ht="15.75">
      <c r="A204" s="555" t="s">
        <v>546</v>
      </c>
      <c r="B204" s="555"/>
      <c r="C204" s="555"/>
      <c r="D204" s="555"/>
      <c r="E204" s="555"/>
      <c r="F204" s="555"/>
      <c r="G204" s="555"/>
      <c r="H204" s="555"/>
      <c r="I204" s="555"/>
      <c r="J204" s="555"/>
      <c r="K204" s="555"/>
      <c r="L204" s="555"/>
      <c r="M204" s="555"/>
      <c r="N204" s="555"/>
      <c r="O204" s="555">
        <f>+P33</f>
        <v>0</v>
      </c>
      <c r="P204" s="553"/>
      <c r="Q204" s="553"/>
      <c r="R204" s="553"/>
      <c r="S204" s="553"/>
      <c r="T204" s="553"/>
      <c r="U204" s="553"/>
    </row>
    <row r="205" spans="1:21" ht="15.75">
      <c r="A205" s="553" t="s">
        <v>549</v>
      </c>
      <c r="B205" s="553"/>
      <c r="C205" s="553"/>
      <c r="D205" s="553"/>
      <c r="E205" s="553"/>
      <c r="F205" s="553"/>
      <c r="G205" s="553">
        <f>+P37</f>
        <v>0</v>
      </c>
      <c r="H205" s="553"/>
      <c r="I205" s="553"/>
      <c r="J205" s="553"/>
      <c r="K205" s="553"/>
      <c r="L205" s="553"/>
      <c r="M205" s="553"/>
      <c r="N205" s="553"/>
      <c r="O205" s="553"/>
      <c r="P205" s="553"/>
      <c r="Q205" s="553"/>
      <c r="R205" s="553"/>
      <c r="S205" s="553"/>
      <c r="T205" s="553"/>
      <c r="U205" s="553"/>
    </row>
    <row r="206" spans="1:21" ht="15.75">
      <c r="A206" s="553" t="s">
        <v>552</v>
      </c>
      <c r="B206" s="553"/>
      <c r="C206" s="553"/>
      <c r="D206" s="553"/>
      <c r="E206" s="553"/>
      <c r="F206" s="553"/>
      <c r="G206" s="553">
        <f>+P49</f>
        <v>5540.2666666666664</v>
      </c>
      <c r="H206" s="553"/>
      <c r="I206" s="553"/>
      <c r="J206" s="553"/>
      <c r="K206" s="553"/>
      <c r="L206" s="553"/>
      <c r="M206" s="553"/>
      <c r="N206" s="553"/>
      <c r="O206" s="553"/>
      <c r="P206" s="553"/>
      <c r="Q206" s="553"/>
      <c r="R206" s="553"/>
      <c r="S206" s="553"/>
      <c r="T206" s="553"/>
      <c r="U206" s="553"/>
    </row>
    <row r="207" spans="1:21" ht="15.75">
      <c r="A207" s="553" t="s">
        <v>563</v>
      </c>
      <c r="B207" s="553"/>
      <c r="C207" s="553"/>
      <c r="D207" s="553"/>
      <c r="E207" s="553"/>
      <c r="F207" s="553"/>
      <c r="G207" s="553"/>
      <c r="H207" s="553"/>
      <c r="I207" s="553"/>
      <c r="J207" s="553"/>
      <c r="K207" s="553"/>
      <c r="L207" s="553"/>
      <c r="M207" s="553"/>
      <c r="N207" s="553">
        <f>+P57</f>
        <v>65926.383333333331</v>
      </c>
      <c r="O207" s="553"/>
      <c r="P207" s="553"/>
      <c r="Q207" s="553"/>
      <c r="R207" s="553"/>
      <c r="S207" s="553"/>
      <c r="T207" s="553"/>
      <c r="U207" s="553"/>
    </row>
    <row r="208" spans="1:21" ht="15.75">
      <c r="A208" s="553" t="s">
        <v>569</v>
      </c>
      <c r="B208" s="553"/>
      <c r="C208" s="553"/>
      <c r="D208" s="553"/>
      <c r="E208" s="553"/>
      <c r="F208" s="553"/>
      <c r="G208" s="553"/>
      <c r="H208" s="553"/>
      <c r="I208" s="553"/>
      <c r="J208" s="553"/>
      <c r="K208" s="553"/>
      <c r="L208" s="553">
        <f>+P64</f>
        <v>10256.944285714286</v>
      </c>
      <c r="M208" s="553"/>
      <c r="N208" s="553"/>
      <c r="O208" s="553"/>
      <c r="P208" s="553"/>
      <c r="Q208" s="553"/>
      <c r="R208" s="553"/>
      <c r="S208" s="553"/>
      <c r="T208" s="553"/>
      <c r="U208" s="553"/>
    </row>
    <row r="209" spans="1:21" ht="15.75">
      <c r="A209" s="553" t="s">
        <v>575</v>
      </c>
      <c r="B209" s="553"/>
      <c r="C209" s="553"/>
      <c r="D209" s="553"/>
      <c r="E209" s="553"/>
      <c r="F209" s="553"/>
      <c r="G209" s="553"/>
      <c r="H209" s="553"/>
      <c r="I209" s="553"/>
      <c r="J209" s="553"/>
      <c r="K209" s="553">
        <f>+P74</f>
        <v>122562.21428571428</v>
      </c>
      <c r="L209" s="553"/>
      <c r="M209" s="553"/>
      <c r="N209" s="553"/>
      <c r="O209" s="553"/>
      <c r="P209" s="553"/>
      <c r="Q209" s="553"/>
      <c r="R209" s="553"/>
      <c r="S209" s="553"/>
      <c r="T209" s="553"/>
      <c r="U209" s="553"/>
    </row>
    <row r="210" spans="1:21" ht="15.75">
      <c r="A210" s="553" t="s">
        <v>1399</v>
      </c>
      <c r="B210" s="553"/>
      <c r="C210" s="553"/>
      <c r="D210" s="553"/>
      <c r="E210" s="553"/>
      <c r="F210" s="553"/>
      <c r="G210" s="553">
        <f>+P85</f>
        <v>30604.811666666668</v>
      </c>
      <c r="H210" s="553"/>
      <c r="I210" s="553"/>
      <c r="J210" s="553"/>
      <c r="K210" s="553"/>
      <c r="L210" s="553"/>
      <c r="M210" s="553"/>
      <c r="N210" s="553"/>
      <c r="O210" s="553"/>
      <c r="P210" s="553"/>
      <c r="Q210" s="553"/>
      <c r="R210" s="553"/>
      <c r="S210" s="553"/>
      <c r="T210" s="553"/>
      <c r="U210" s="553"/>
    </row>
    <row r="211" spans="1:21" ht="15.75">
      <c r="A211" s="553" t="s">
        <v>590</v>
      </c>
      <c r="B211" s="553"/>
      <c r="C211" s="553"/>
      <c r="D211" s="553"/>
      <c r="E211" s="553"/>
      <c r="F211" s="553"/>
      <c r="G211" s="553">
        <f>+P111</f>
        <v>460426.76616666676</v>
      </c>
      <c r="H211" s="553"/>
      <c r="I211" s="553"/>
      <c r="J211" s="553"/>
      <c r="K211" s="553"/>
      <c r="L211" s="553"/>
      <c r="M211" s="553"/>
      <c r="N211" s="553"/>
      <c r="O211" s="553"/>
      <c r="P211" s="553"/>
      <c r="Q211" s="553"/>
      <c r="R211" s="553"/>
      <c r="S211" s="553"/>
      <c r="T211" s="553"/>
      <c r="U211" s="553"/>
    </row>
    <row r="212" spans="1:21" ht="15.75">
      <c r="A212" s="553" t="s">
        <v>604</v>
      </c>
      <c r="B212" s="553"/>
      <c r="C212" s="553"/>
      <c r="D212" s="553"/>
      <c r="E212" s="553"/>
      <c r="F212" s="553"/>
      <c r="G212" s="553"/>
      <c r="H212" s="553"/>
      <c r="I212" s="553"/>
      <c r="J212" s="553"/>
      <c r="K212" s="553"/>
      <c r="L212" s="553"/>
      <c r="M212" s="553"/>
      <c r="N212" s="553">
        <f>+P118</f>
        <v>7000</v>
      </c>
      <c r="O212" s="553"/>
      <c r="P212" s="553"/>
      <c r="Q212" s="553"/>
      <c r="R212" s="553"/>
      <c r="S212" s="553"/>
      <c r="T212" s="553"/>
      <c r="U212" s="553"/>
    </row>
    <row r="213" spans="1:21" ht="15.75">
      <c r="A213" s="553" t="s">
        <v>569</v>
      </c>
      <c r="B213" s="553"/>
      <c r="C213" s="553"/>
      <c r="D213" s="553"/>
      <c r="E213" s="553"/>
      <c r="F213" s="553"/>
      <c r="G213" s="553"/>
      <c r="H213" s="553"/>
      <c r="I213" s="553"/>
      <c r="J213" s="553"/>
      <c r="K213" s="553"/>
      <c r="L213" s="553">
        <f>+P126</f>
        <v>131807.55600000001</v>
      </c>
      <c r="M213" s="553"/>
      <c r="N213" s="553"/>
      <c r="O213" s="553"/>
      <c r="P213" s="553"/>
      <c r="Q213" s="553"/>
      <c r="R213" s="553"/>
      <c r="S213" s="553"/>
      <c r="T213" s="553"/>
      <c r="U213" s="553"/>
    </row>
    <row r="214" spans="1:21" ht="15.75">
      <c r="A214" s="553" t="s">
        <v>612</v>
      </c>
      <c r="B214" s="553"/>
      <c r="C214" s="553"/>
      <c r="D214" s="553"/>
      <c r="E214" s="553"/>
      <c r="F214" s="553"/>
      <c r="G214" s="553">
        <f>+P136</f>
        <v>125073.74858333332</v>
      </c>
      <c r="H214" s="553"/>
      <c r="I214" s="553"/>
      <c r="J214" s="553"/>
      <c r="K214" s="553"/>
      <c r="L214" s="553"/>
      <c r="M214" s="553"/>
      <c r="N214" s="553"/>
      <c r="O214" s="553"/>
      <c r="P214" s="553"/>
      <c r="Q214" s="553"/>
      <c r="R214" s="553"/>
      <c r="S214" s="553"/>
      <c r="T214" s="553"/>
      <c r="U214" s="553"/>
    </row>
    <row r="215" spans="1:21" ht="15.75">
      <c r="A215" s="553" t="s">
        <v>619</v>
      </c>
      <c r="B215" s="553"/>
      <c r="C215" s="553"/>
      <c r="D215" s="553"/>
      <c r="E215" s="553"/>
      <c r="F215" s="553"/>
      <c r="G215" s="553">
        <f>+P141</f>
        <v>21744.5</v>
      </c>
      <c r="H215" s="553"/>
      <c r="I215" s="553"/>
      <c r="J215" s="553"/>
      <c r="K215" s="553"/>
      <c r="L215" s="553"/>
      <c r="M215" s="553"/>
      <c r="N215" s="553"/>
      <c r="O215" s="553"/>
      <c r="P215" s="553"/>
      <c r="Q215" s="553"/>
      <c r="R215" s="553"/>
      <c r="S215" s="553"/>
      <c r="T215" s="553"/>
      <c r="U215" s="553"/>
    </row>
    <row r="216" spans="1:21" ht="15.75">
      <c r="A216" s="553" t="s">
        <v>623</v>
      </c>
      <c r="B216" s="553"/>
      <c r="C216" s="553"/>
      <c r="D216" s="553"/>
      <c r="E216" s="553"/>
      <c r="F216" s="553"/>
      <c r="G216" s="553"/>
      <c r="H216" s="553"/>
      <c r="I216" s="553"/>
      <c r="J216" s="553"/>
      <c r="K216" s="553"/>
      <c r="L216" s="553"/>
      <c r="M216" s="553"/>
      <c r="N216" s="553"/>
      <c r="O216" s="553">
        <f>+P145</f>
        <v>0</v>
      </c>
      <c r="P216" s="553"/>
      <c r="Q216" s="553"/>
      <c r="R216" s="553"/>
      <c r="S216" s="553"/>
      <c r="T216" s="553"/>
      <c r="U216" s="553"/>
    </row>
    <row r="217" spans="1:21" ht="15.75">
      <c r="A217" s="553" t="s">
        <v>626</v>
      </c>
      <c r="B217" s="553"/>
      <c r="C217" s="553"/>
      <c r="D217" s="553"/>
      <c r="E217" s="553"/>
      <c r="F217" s="553"/>
      <c r="G217" s="553">
        <f>+P154</f>
        <v>192174.15476190482</v>
      </c>
      <c r="H217" s="553"/>
      <c r="I217" s="553"/>
      <c r="J217" s="553"/>
      <c r="K217" s="553"/>
      <c r="L217" s="553"/>
      <c r="M217" s="553"/>
      <c r="N217" s="553"/>
      <c r="O217" s="553"/>
      <c r="P217" s="553"/>
      <c r="Q217" s="553"/>
      <c r="R217" s="553"/>
      <c r="S217" s="553"/>
      <c r="T217" s="553"/>
      <c r="U217" s="553"/>
    </row>
    <row r="218" spans="1:21" ht="15.75">
      <c r="A218" s="553" t="s">
        <v>634</v>
      </c>
      <c r="B218" s="553"/>
      <c r="C218" s="553"/>
      <c r="D218" s="553"/>
      <c r="E218" s="553"/>
      <c r="F218" s="553"/>
      <c r="G218" s="627">
        <f>+P166</f>
        <v>75932.097999999998</v>
      </c>
      <c r="H218" s="627"/>
      <c r="I218" s="627"/>
      <c r="J218" s="627"/>
      <c r="K218" s="627"/>
      <c r="L218" s="627"/>
      <c r="M218" s="627"/>
      <c r="N218" s="627"/>
      <c r="O218" s="627"/>
      <c r="P218" s="627"/>
      <c r="Q218" s="553"/>
      <c r="R218" s="553"/>
      <c r="S218" s="553"/>
      <c r="T218" s="553"/>
      <c r="U218" s="553"/>
    </row>
    <row r="219" spans="1:21" ht="15.75">
      <c r="A219" s="553"/>
      <c r="B219" s="553"/>
      <c r="C219" s="553"/>
      <c r="D219" s="553"/>
      <c r="E219" s="553"/>
      <c r="F219" s="553"/>
      <c r="G219" s="553">
        <f>SUM(G202:G218)</f>
        <v>1325370.4906071431</v>
      </c>
      <c r="H219" s="553"/>
      <c r="I219" s="553"/>
      <c r="J219" s="553"/>
      <c r="K219" s="553">
        <f t="shared" ref="K219" si="342">SUM(K202:K218)</f>
        <v>122562.21428571428</v>
      </c>
      <c r="L219" s="553">
        <f t="shared" ref="L219" si="343">SUM(L202:L218)</f>
        <v>142064.50028571428</v>
      </c>
      <c r="M219" s="553">
        <f t="shared" ref="M219" si="344">SUM(M202:M218)</f>
        <v>0</v>
      </c>
      <c r="N219" s="553">
        <f t="shared" ref="N219" si="345">SUM(N202:N218)</f>
        <v>72926.383333333331</v>
      </c>
      <c r="O219" s="553">
        <f t="shared" ref="O219" si="346">SUM(O202:O218)</f>
        <v>0</v>
      </c>
      <c r="P219" s="553">
        <f>SUM(G219:O219)</f>
        <v>1662923.5885119052</v>
      </c>
      <c r="Q219" s="553"/>
      <c r="R219" s="553"/>
      <c r="S219" s="553"/>
      <c r="T219" s="553"/>
      <c r="U219" s="553"/>
    </row>
    <row r="220" spans="1:21" ht="15.75">
      <c r="A220" s="553"/>
      <c r="B220" s="553"/>
      <c r="C220" s="553"/>
      <c r="D220" s="553"/>
      <c r="E220" s="553"/>
      <c r="F220" s="553"/>
      <c r="G220" s="553"/>
      <c r="H220" s="553"/>
      <c r="I220" s="553"/>
      <c r="J220" s="553"/>
      <c r="K220" s="553"/>
      <c r="L220" s="553"/>
      <c r="M220" s="553"/>
      <c r="N220" s="553"/>
      <c r="O220" s="553"/>
      <c r="P220" s="553"/>
      <c r="Q220" s="553"/>
      <c r="R220" s="553"/>
      <c r="S220" s="553"/>
      <c r="T220" s="553"/>
      <c r="U220" s="553"/>
    </row>
    <row r="221" spans="1:21" ht="15.75">
      <c r="A221" s="553"/>
      <c r="B221" s="553"/>
      <c r="C221" s="553"/>
      <c r="D221" s="553"/>
      <c r="E221" s="553"/>
      <c r="F221" s="553"/>
      <c r="G221" s="553"/>
      <c r="H221" s="553"/>
      <c r="I221" s="553"/>
      <c r="J221" s="553"/>
      <c r="K221" s="553"/>
      <c r="L221" s="553"/>
      <c r="M221" s="553"/>
      <c r="N221" s="553"/>
      <c r="O221" s="553"/>
      <c r="P221" s="553"/>
      <c r="Q221" s="553"/>
      <c r="R221" s="553"/>
      <c r="S221" s="553"/>
      <c r="T221" s="553"/>
      <c r="U221" s="553"/>
    </row>
    <row r="222" spans="1:21" ht="15.75">
      <c r="A222" s="553"/>
      <c r="B222" s="553"/>
      <c r="C222" s="553"/>
      <c r="D222" s="553"/>
      <c r="E222" s="553"/>
      <c r="F222" s="553"/>
      <c r="G222" s="553"/>
      <c r="H222" s="553"/>
      <c r="I222" s="553"/>
      <c r="J222" s="553"/>
      <c r="K222" s="553"/>
      <c r="L222" s="553"/>
      <c r="M222" s="553"/>
      <c r="N222" s="553"/>
      <c r="O222" s="553"/>
      <c r="P222" s="553"/>
      <c r="Q222" s="553"/>
      <c r="R222" s="553"/>
      <c r="S222" s="553"/>
      <c r="T222" s="553"/>
      <c r="U222" s="553"/>
    </row>
    <row r="223" spans="1:21" ht="15.75">
      <c r="A223" s="553"/>
      <c r="B223" s="553"/>
      <c r="C223" s="553"/>
      <c r="D223" s="553"/>
      <c r="E223" s="553"/>
      <c r="F223" s="553"/>
      <c r="G223" s="553"/>
      <c r="H223" s="553"/>
      <c r="I223" s="553"/>
      <c r="J223" s="553"/>
      <c r="K223" s="553"/>
      <c r="L223" s="553"/>
      <c r="M223" s="553"/>
      <c r="N223" s="553"/>
      <c r="O223" s="553"/>
      <c r="P223" s="553"/>
      <c r="Q223" s="553"/>
      <c r="R223" s="553"/>
      <c r="S223" s="553"/>
      <c r="T223" s="553"/>
      <c r="U223" s="553"/>
    </row>
    <row r="224" spans="1:21" ht="15.75">
      <c r="A224" s="553"/>
      <c r="B224" s="553"/>
      <c r="C224" s="553"/>
      <c r="D224" s="553"/>
      <c r="E224" s="553"/>
      <c r="F224" s="553"/>
      <c r="G224" s="553"/>
      <c r="H224" s="553"/>
      <c r="I224" s="553"/>
      <c r="J224" s="553"/>
      <c r="K224" s="553"/>
      <c r="L224" s="553"/>
      <c r="M224" s="553"/>
      <c r="N224" s="553"/>
      <c r="O224" s="553"/>
      <c r="P224" s="553"/>
      <c r="Q224" s="553"/>
      <c r="R224" s="553"/>
      <c r="S224" s="553"/>
      <c r="T224" s="553"/>
      <c r="U224" s="553"/>
    </row>
    <row r="225" spans="1:21" ht="15.75">
      <c r="A225" s="553"/>
      <c r="B225" s="553"/>
      <c r="C225" s="553"/>
      <c r="D225" s="553"/>
      <c r="E225" s="553"/>
      <c r="F225" s="553"/>
      <c r="G225" s="553"/>
      <c r="H225" s="553"/>
      <c r="I225" s="553"/>
      <c r="J225" s="553"/>
      <c r="K225" s="553"/>
      <c r="L225" s="553"/>
      <c r="M225" s="553"/>
      <c r="N225" s="553"/>
      <c r="O225" s="553"/>
      <c r="P225" s="553"/>
      <c r="Q225" s="553"/>
      <c r="R225" s="553"/>
      <c r="S225" s="553"/>
      <c r="T225" s="553"/>
      <c r="U225" s="553"/>
    </row>
    <row r="226" spans="1:21" ht="15.75">
      <c r="A226" s="553"/>
      <c r="B226" s="553"/>
      <c r="C226" s="553"/>
      <c r="D226" s="553"/>
      <c r="E226" s="553"/>
      <c r="F226" s="553"/>
      <c r="G226" s="553"/>
      <c r="H226" s="553"/>
      <c r="I226" s="553"/>
      <c r="J226" s="553"/>
      <c r="K226" s="553"/>
      <c r="L226" s="553"/>
      <c r="M226" s="553"/>
      <c r="N226" s="553"/>
      <c r="O226" s="553"/>
      <c r="P226" s="553"/>
      <c r="Q226" s="553"/>
      <c r="R226" s="553"/>
      <c r="S226" s="553"/>
      <c r="T226" s="553"/>
      <c r="U226" s="553"/>
    </row>
    <row r="227" spans="1:21" ht="15.75">
      <c r="A227" s="553"/>
      <c r="B227" s="553"/>
      <c r="C227" s="553"/>
      <c r="D227" s="553"/>
      <c r="E227" s="553"/>
      <c r="F227" s="553"/>
      <c r="G227" s="553"/>
      <c r="H227" s="553"/>
      <c r="I227" s="553"/>
      <c r="J227" s="553"/>
      <c r="K227" s="553"/>
      <c r="L227" s="553"/>
      <c r="M227" s="553"/>
      <c r="N227" s="553"/>
      <c r="O227" s="553"/>
      <c r="P227" s="553"/>
      <c r="Q227" s="553"/>
      <c r="R227" s="553"/>
      <c r="S227" s="553"/>
      <c r="T227" s="553"/>
      <c r="U227" s="553"/>
    </row>
    <row r="228" spans="1:21" ht="15.75">
      <c r="A228" s="553"/>
      <c r="B228" s="553"/>
      <c r="C228" s="553"/>
      <c r="D228" s="553"/>
      <c r="E228" s="553"/>
      <c r="F228" s="553"/>
      <c r="G228" s="553"/>
      <c r="H228" s="553"/>
      <c r="I228" s="553"/>
      <c r="J228" s="553"/>
      <c r="K228" s="553"/>
      <c r="L228" s="553"/>
      <c r="M228" s="553"/>
      <c r="N228" s="553"/>
      <c r="O228" s="553"/>
      <c r="P228" s="553"/>
      <c r="Q228" s="553"/>
      <c r="R228" s="553"/>
      <c r="S228" s="553"/>
      <c r="T228" s="553"/>
      <c r="U228" s="553"/>
    </row>
    <row r="229" spans="1:21" ht="15.75">
      <c r="A229" s="553"/>
      <c r="B229" s="553"/>
      <c r="C229" s="553"/>
      <c r="D229" s="553"/>
      <c r="E229" s="553"/>
      <c r="F229" s="553"/>
      <c r="G229" s="553"/>
      <c r="H229" s="553"/>
      <c r="I229" s="553"/>
      <c r="J229" s="553"/>
      <c r="K229" s="553"/>
      <c r="L229" s="553"/>
      <c r="M229" s="553"/>
      <c r="N229" s="553"/>
      <c r="O229" s="553"/>
      <c r="P229" s="553"/>
      <c r="Q229" s="553"/>
      <c r="R229" s="553"/>
      <c r="S229" s="553"/>
      <c r="T229" s="553"/>
      <c r="U229" s="553"/>
    </row>
    <row r="230" spans="1:21" ht="15.75">
      <c r="A230" s="553"/>
      <c r="B230" s="553"/>
      <c r="C230" s="553"/>
      <c r="D230" s="553"/>
      <c r="E230" s="553"/>
      <c r="F230" s="553"/>
      <c r="G230" s="553"/>
      <c r="H230" s="553"/>
      <c r="I230" s="553"/>
      <c r="J230" s="553"/>
      <c r="K230" s="553"/>
      <c r="L230" s="553"/>
      <c r="M230" s="553"/>
      <c r="N230" s="553"/>
      <c r="O230" s="553"/>
      <c r="P230" s="553"/>
      <c r="Q230" s="553"/>
      <c r="R230" s="553"/>
      <c r="S230" s="553"/>
      <c r="T230" s="553"/>
      <c r="U230" s="553"/>
    </row>
    <row r="231" spans="1:21" ht="15.75">
      <c r="A231" s="553"/>
      <c r="B231" s="553"/>
      <c r="C231" s="553"/>
      <c r="D231" s="553"/>
      <c r="E231" s="553"/>
      <c r="F231" s="553"/>
      <c r="G231" s="553"/>
      <c r="H231" s="553"/>
      <c r="I231" s="553"/>
      <c r="J231" s="553"/>
      <c r="K231" s="553"/>
      <c r="L231" s="553"/>
      <c r="M231" s="553"/>
      <c r="N231" s="553"/>
      <c r="O231" s="553"/>
      <c r="P231" s="553"/>
      <c r="Q231" s="553"/>
      <c r="R231" s="553"/>
      <c r="S231" s="553"/>
      <c r="T231" s="553"/>
      <c r="U231" s="553"/>
    </row>
    <row r="232" spans="1:21" ht="15.75">
      <c r="A232" s="553"/>
      <c r="B232" s="553"/>
      <c r="C232" s="553"/>
      <c r="D232" s="553"/>
      <c r="E232" s="553"/>
      <c r="F232" s="553"/>
      <c r="G232" s="553"/>
      <c r="H232" s="553"/>
      <c r="I232" s="553"/>
      <c r="J232" s="553"/>
      <c r="K232" s="553"/>
      <c r="L232" s="553"/>
      <c r="M232" s="553"/>
      <c r="N232" s="553"/>
      <c r="O232" s="553"/>
      <c r="P232" s="553"/>
      <c r="Q232" s="553"/>
      <c r="R232" s="553"/>
      <c r="S232" s="553"/>
      <c r="T232" s="553"/>
      <c r="U232" s="553"/>
    </row>
    <row r="233" spans="1:21" ht="15.75">
      <c r="A233" s="553"/>
      <c r="B233" s="553"/>
      <c r="C233" s="553"/>
      <c r="D233" s="553"/>
      <c r="E233" s="553"/>
      <c r="F233" s="553"/>
      <c r="G233" s="553"/>
      <c r="H233" s="553"/>
      <c r="I233" s="553"/>
      <c r="J233" s="553"/>
      <c r="K233" s="553"/>
      <c r="L233" s="553"/>
      <c r="M233" s="553"/>
      <c r="N233" s="553"/>
      <c r="O233" s="553"/>
      <c r="P233" s="553"/>
      <c r="Q233" s="553"/>
      <c r="R233" s="553"/>
      <c r="S233" s="553"/>
      <c r="T233" s="553"/>
      <c r="U233" s="553"/>
    </row>
    <row r="234" spans="1:21" ht="15.75">
      <c r="A234" s="553"/>
      <c r="B234" s="553"/>
      <c r="C234" s="553"/>
      <c r="D234" s="553"/>
      <c r="E234" s="553"/>
      <c r="F234" s="553"/>
      <c r="G234" s="553"/>
      <c r="H234" s="553"/>
      <c r="I234" s="553"/>
      <c r="J234" s="553"/>
      <c r="K234" s="553"/>
      <c r="L234" s="553"/>
      <c r="M234" s="553"/>
      <c r="N234" s="553"/>
      <c r="O234" s="553"/>
      <c r="P234" s="553"/>
      <c r="Q234" s="553"/>
      <c r="R234" s="553"/>
      <c r="S234" s="553"/>
      <c r="T234" s="553"/>
      <c r="U234" s="553"/>
    </row>
    <row r="235" spans="1:21" ht="15.75">
      <c r="A235" s="553"/>
      <c r="B235" s="553"/>
      <c r="C235" s="553"/>
      <c r="D235" s="553"/>
      <c r="E235" s="553"/>
      <c r="F235" s="553"/>
      <c r="G235" s="553"/>
      <c r="H235" s="553"/>
      <c r="I235" s="553"/>
      <c r="J235" s="553"/>
      <c r="K235" s="553"/>
      <c r="L235" s="553"/>
      <c r="M235" s="553"/>
      <c r="N235" s="553"/>
      <c r="O235" s="553"/>
      <c r="P235" s="553"/>
      <c r="Q235" s="553"/>
      <c r="R235" s="553"/>
      <c r="S235" s="553"/>
      <c r="T235" s="553"/>
      <c r="U235" s="553"/>
    </row>
    <row r="236" spans="1:21" ht="15.75">
      <c r="A236" s="553"/>
      <c r="B236" s="553"/>
      <c r="C236" s="553"/>
      <c r="D236" s="553"/>
      <c r="E236" s="553"/>
      <c r="F236" s="553"/>
      <c r="G236" s="553"/>
      <c r="H236" s="553"/>
      <c r="I236" s="553"/>
      <c r="J236" s="553"/>
      <c r="K236" s="553"/>
      <c r="L236" s="553"/>
      <c r="M236" s="553"/>
      <c r="N236" s="553"/>
      <c r="O236" s="553"/>
      <c r="P236" s="553"/>
      <c r="Q236" s="553"/>
      <c r="R236" s="553"/>
      <c r="S236" s="553"/>
      <c r="T236" s="553"/>
      <c r="U236" s="553"/>
    </row>
    <row r="237" spans="1:21" ht="15.75">
      <c r="A237" s="553"/>
      <c r="B237" s="553"/>
      <c r="C237" s="553"/>
      <c r="D237" s="553"/>
      <c r="E237" s="553"/>
      <c r="F237" s="553"/>
      <c r="G237" s="553"/>
      <c r="H237" s="553"/>
      <c r="I237" s="553"/>
      <c r="J237" s="553"/>
      <c r="K237" s="553"/>
      <c r="L237" s="553"/>
      <c r="M237" s="553"/>
      <c r="N237" s="553"/>
      <c r="O237" s="553"/>
      <c r="P237" s="553"/>
      <c r="Q237" s="553"/>
      <c r="R237" s="553"/>
      <c r="S237" s="553"/>
      <c r="T237" s="553"/>
      <c r="U237" s="553"/>
    </row>
    <row r="238" spans="1:21" ht="15.75">
      <c r="A238" s="553"/>
      <c r="B238" s="553"/>
      <c r="C238" s="553"/>
      <c r="D238" s="553"/>
      <c r="E238" s="553"/>
      <c r="F238" s="553"/>
      <c r="G238" s="553"/>
      <c r="H238" s="553"/>
      <c r="I238" s="553"/>
      <c r="J238" s="553"/>
      <c r="K238" s="553"/>
      <c r="L238" s="553"/>
      <c r="M238" s="553"/>
      <c r="N238" s="553"/>
      <c r="O238" s="553"/>
      <c r="P238" s="553"/>
      <c r="Q238" s="553"/>
      <c r="R238" s="553"/>
      <c r="S238" s="553"/>
      <c r="T238" s="553"/>
      <c r="U238" s="553"/>
    </row>
    <row r="239" spans="1:21" ht="15.75">
      <c r="A239" s="553"/>
      <c r="B239" s="553"/>
      <c r="C239" s="553"/>
      <c r="D239" s="553"/>
      <c r="E239" s="553"/>
      <c r="F239" s="553"/>
      <c r="G239" s="553"/>
      <c r="H239" s="553"/>
      <c r="I239" s="553"/>
      <c r="J239" s="553"/>
      <c r="K239" s="553"/>
      <c r="L239" s="553"/>
      <c r="M239" s="553"/>
      <c r="N239" s="553"/>
      <c r="O239" s="553"/>
      <c r="P239" s="553"/>
      <c r="Q239" s="553"/>
      <c r="R239" s="553"/>
      <c r="S239" s="553"/>
      <c r="T239" s="553"/>
      <c r="U239" s="553"/>
    </row>
    <row r="240" spans="1:21" ht="15.75">
      <c r="A240" s="553"/>
      <c r="B240" s="553"/>
      <c r="C240" s="553"/>
      <c r="D240" s="553"/>
      <c r="E240" s="553"/>
      <c r="F240" s="553"/>
      <c r="G240" s="553"/>
      <c r="H240" s="553"/>
      <c r="I240" s="553"/>
      <c r="J240" s="553"/>
      <c r="K240" s="553"/>
      <c r="L240" s="553"/>
      <c r="M240" s="553"/>
      <c r="N240" s="553"/>
      <c r="O240" s="553"/>
      <c r="P240" s="553"/>
      <c r="Q240" s="553"/>
      <c r="R240" s="553"/>
      <c r="S240" s="553"/>
      <c r="T240" s="553"/>
      <c r="U240" s="553"/>
    </row>
    <row r="241" spans="1:21" ht="15.75">
      <c r="A241" s="553"/>
      <c r="B241" s="553"/>
      <c r="C241" s="553"/>
      <c r="D241" s="553"/>
      <c r="E241" s="553"/>
      <c r="F241" s="553"/>
      <c r="G241" s="553"/>
      <c r="H241" s="553"/>
      <c r="I241" s="553"/>
      <c r="J241" s="553"/>
      <c r="K241" s="553"/>
      <c r="L241" s="553"/>
      <c r="M241" s="553"/>
      <c r="N241" s="553"/>
      <c r="O241" s="553"/>
      <c r="P241" s="553"/>
      <c r="Q241" s="553"/>
      <c r="R241" s="553"/>
      <c r="S241" s="553"/>
      <c r="T241" s="553"/>
      <c r="U241" s="553"/>
    </row>
    <row r="242" spans="1:21" ht="15.75">
      <c r="A242" s="553"/>
      <c r="B242" s="553"/>
      <c r="C242" s="553"/>
      <c r="D242" s="553"/>
      <c r="E242" s="553"/>
      <c r="F242" s="553"/>
      <c r="G242" s="553"/>
      <c r="H242" s="553"/>
      <c r="I242" s="553"/>
      <c r="J242" s="553"/>
      <c r="K242" s="553"/>
      <c r="L242" s="553"/>
      <c r="M242" s="553"/>
      <c r="N242" s="553"/>
      <c r="O242" s="553"/>
      <c r="P242" s="553"/>
      <c r="Q242" s="553"/>
      <c r="R242" s="553"/>
      <c r="S242" s="553"/>
      <c r="T242" s="553"/>
      <c r="U242" s="553"/>
    </row>
    <row r="243" spans="1:21" ht="15.75">
      <c r="A243" s="553"/>
      <c r="B243" s="553"/>
      <c r="C243" s="553"/>
      <c r="D243" s="553"/>
      <c r="E243" s="553"/>
      <c r="F243" s="553"/>
      <c r="G243" s="553"/>
      <c r="H243" s="553"/>
      <c r="I243" s="553"/>
      <c r="J243" s="553"/>
      <c r="K243" s="553"/>
      <c r="L243" s="553"/>
      <c r="M243" s="553"/>
      <c r="N243" s="553"/>
      <c r="O243" s="553"/>
      <c r="P243" s="553"/>
      <c r="Q243" s="553"/>
      <c r="R243" s="553"/>
      <c r="S243" s="553"/>
      <c r="T243" s="553"/>
      <c r="U243" s="553"/>
    </row>
    <row r="244" spans="1:21" ht="15.75">
      <c r="A244" s="553"/>
      <c r="B244" s="553"/>
      <c r="C244" s="553"/>
      <c r="D244" s="553"/>
      <c r="E244" s="553"/>
      <c r="F244" s="553"/>
      <c r="G244" s="553"/>
      <c r="H244" s="553"/>
      <c r="I244" s="553"/>
      <c r="J244" s="553"/>
      <c r="K244" s="553"/>
      <c r="L244" s="553"/>
      <c r="M244" s="553"/>
      <c r="N244" s="553"/>
      <c r="O244" s="553"/>
      <c r="P244" s="553"/>
      <c r="Q244" s="553"/>
      <c r="R244" s="553"/>
      <c r="S244" s="553"/>
      <c r="T244" s="553"/>
      <c r="U244" s="553"/>
    </row>
    <row r="245" spans="1:21" ht="15.75">
      <c r="A245" s="553"/>
      <c r="B245" s="553"/>
      <c r="C245" s="553"/>
      <c r="D245" s="553"/>
      <c r="E245" s="553"/>
      <c r="F245" s="553"/>
      <c r="G245" s="553"/>
      <c r="H245" s="553"/>
      <c r="I245" s="553"/>
      <c r="J245" s="553"/>
      <c r="K245" s="553"/>
      <c r="L245" s="553"/>
      <c r="M245" s="553"/>
      <c r="N245" s="553"/>
      <c r="O245" s="553"/>
      <c r="P245" s="553"/>
      <c r="Q245" s="553"/>
      <c r="R245" s="553"/>
      <c r="S245" s="553"/>
      <c r="T245" s="553"/>
      <c r="U245" s="553"/>
    </row>
    <row r="246" spans="1:21" ht="15.75">
      <c r="A246" s="553"/>
      <c r="B246" s="553"/>
      <c r="C246" s="553"/>
      <c r="D246" s="553"/>
      <c r="E246" s="553"/>
      <c r="F246" s="553"/>
      <c r="G246" s="553"/>
      <c r="H246" s="553"/>
      <c r="I246" s="553"/>
      <c r="J246" s="553"/>
      <c r="K246" s="553"/>
      <c r="L246" s="553"/>
      <c r="M246" s="553"/>
      <c r="N246" s="553"/>
      <c r="O246" s="553"/>
      <c r="P246" s="553"/>
      <c r="Q246" s="553"/>
      <c r="R246" s="553"/>
      <c r="S246" s="553"/>
      <c r="T246" s="553"/>
      <c r="U246" s="553"/>
    </row>
    <row r="247" spans="1:21" ht="15.75">
      <c r="A247" s="553"/>
      <c r="B247" s="553"/>
      <c r="C247" s="553"/>
      <c r="D247" s="553"/>
      <c r="E247" s="553"/>
      <c r="F247" s="553"/>
      <c r="G247" s="553"/>
      <c r="H247" s="553"/>
      <c r="I247" s="553"/>
      <c r="J247" s="553"/>
      <c r="K247" s="553"/>
      <c r="L247" s="553"/>
      <c r="M247" s="553"/>
      <c r="N247" s="553"/>
      <c r="O247" s="553"/>
      <c r="P247" s="553"/>
      <c r="Q247" s="553"/>
      <c r="R247" s="553"/>
      <c r="S247" s="553"/>
      <c r="T247" s="553"/>
      <c r="U247" s="553"/>
    </row>
    <row r="248" spans="1:21" ht="15.75">
      <c r="A248" s="553"/>
      <c r="B248" s="553"/>
      <c r="C248" s="553"/>
      <c r="D248" s="553"/>
      <c r="E248" s="553"/>
      <c r="F248" s="553"/>
      <c r="G248" s="553"/>
      <c r="H248" s="553"/>
      <c r="I248" s="553"/>
      <c r="J248" s="553"/>
      <c r="K248" s="553"/>
      <c r="L248" s="553"/>
      <c r="M248" s="553"/>
      <c r="N248" s="553"/>
      <c r="O248" s="553"/>
      <c r="P248" s="553"/>
      <c r="Q248" s="553"/>
      <c r="R248" s="553"/>
      <c r="S248" s="553"/>
      <c r="T248" s="553"/>
      <c r="U248" s="553"/>
    </row>
    <row r="249" spans="1:21" ht="15.75">
      <c r="A249" s="553"/>
      <c r="B249" s="553"/>
      <c r="C249" s="553"/>
      <c r="D249" s="553"/>
      <c r="E249" s="553"/>
      <c r="F249" s="553"/>
      <c r="G249" s="553"/>
      <c r="H249" s="553"/>
      <c r="I249" s="553"/>
      <c r="J249" s="553"/>
      <c r="K249" s="553"/>
      <c r="L249" s="553"/>
      <c r="M249" s="553"/>
      <c r="N249" s="553"/>
      <c r="O249" s="553"/>
      <c r="P249" s="553"/>
      <c r="Q249" s="553"/>
      <c r="R249" s="553"/>
      <c r="S249" s="553"/>
      <c r="T249" s="553"/>
      <c r="U249" s="553"/>
    </row>
    <row r="250" spans="1:21" ht="15.75">
      <c r="A250" s="553"/>
      <c r="B250" s="553"/>
      <c r="C250" s="553"/>
      <c r="D250" s="553"/>
      <c r="E250" s="553"/>
      <c r="F250" s="553"/>
      <c r="G250" s="553"/>
      <c r="H250" s="553"/>
      <c r="I250" s="553"/>
      <c r="J250" s="553"/>
      <c r="K250" s="553"/>
      <c r="L250" s="553"/>
      <c r="M250" s="553"/>
      <c r="N250" s="553"/>
      <c r="O250" s="553"/>
      <c r="P250" s="553"/>
      <c r="Q250" s="553"/>
      <c r="R250" s="553"/>
      <c r="S250" s="553"/>
      <c r="T250" s="553"/>
      <c r="U250" s="553"/>
    </row>
    <row r="251" spans="1:21" ht="15.75">
      <c r="A251" s="553"/>
      <c r="B251" s="553"/>
      <c r="C251" s="553"/>
      <c r="D251" s="553"/>
      <c r="E251" s="553"/>
      <c r="F251" s="553"/>
      <c r="G251" s="553"/>
      <c r="H251" s="553"/>
      <c r="I251" s="553"/>
      <c r="J251" s="553"/>
      <c r="K251" s="553"/>
      <c r="L251" s="553"/>
      <c r="M251" s="553"/>
      <c r="N251" s="553"/>
      <c r="O251" s="553"/>
      <c r="P251" s="553"/>
      <c r="Q251" s="553"/>
      <c r="R251" s="553"/>
      <c r="S251" s="553"/>
      <c r="T251" s="553"/>
      <c r="U251" s="553"/>
    </row>
    <row r="252" spans="1:21" ht="15.75">
      <c r="A252" s="553"/>
      <c r="B252" s="553"/>
      <c r="C252" s="553"/>
      <c r="D252" s="553"/>
      <c r="E252" s="553"/>
      <c r="F252" s="553"/>
      <c r="G252" s="553"/>
      <c r="H252" s="553"/>
      <c r="I252" s="553"/>
      <c r="J252" s="553"/>
      <c r="K252" s="553"/>
      <c r="L252" s="553"/>
      <c r="M252" s="553"/>
      <c r="N252" s="553"/>
      <c r="O252" s="553"/>
      <c r="P252" s="553"/>
      <c r="Q252" s="553"/>
      <c r="R252" s="553"/>
      <c r="S252" s="553"/>
      <c r="T252" s="553"/>
      <c r="U252" s="553"/>
    </row>
    <row r="253" spans="1:21" ht="15.75">
      <c r="A253" s="553"/>
      <c r="B253" s="553"/>
      <c r="C253" s="553"/>
      <c r="D253" s="553"/>
      <c r="E253" s="553"/>
      <c r="F253" s="553"/>
      <c r="G253" s="553"/>
      <c r="H253" s="553"/>
      <c r="I253" s="553"/>
      <c r="J253" s="553"/>
      <c r="K253" s="553"/>
      <c r="L253" s="553"/>
      <c r="M253" s="553"/>
      <c r="N253" s="553"/>
      <c r="O253" s="553"/>
      <c r="P253" s="553"/>
      <c r="Q253" s="553"/>
      <c r="R253" s="553"/>
      <c r="S253" s="553"/>
      <c r="T253" s="553"/>
      <c r="U253" s="553"/>
    </row>
    <row r="254" spans="1:21" ht="15.75">
      <c r="A254" s="553"/>
      <c r="B254" s="553"/>
      <c r="C254" s="553"/>
      <c r="D254" s="553"/>
      <c r="E254" s="553"/>
      <c r="F254" s="553"/>
      <c r="G254" s="553"/>
      <c r="H254" s="553"/>
      <c r="I254" s="553"/>
      <c r="J254" s="553"/>
      <c r="K254" s="553"/>
      <c r="L254" s="553"/>
      <c r="M254" s="553"/>
      <c r="N254" s="553"/>
      <c r="O254" s="553"/>
      <c r="P254" s="553"/>
      <c r="Q254" s="553"/>
      <c r="R254" s="553"/>
      <c r="S254" s="553"/>
      <c r="T254" s="553"/>
      <c r="U254" s="553"/>
    </row>
    <row r="255" spans="1:21" ht="15.75">
      <c r="A255" s="553"/>
      <c r="B255" s="553"/>
      <c r="C255" s="553"/>
      <c r="D255" s="553"/>
      <c r="E255" s="553"/>
      <c r="F255" s="553"/>
      <c r="G255" s="553"/>
      <c r="H255" s="553"/>
      <c r="I255" s="553"/>
      <c r="J255" s="553"/>
      <c r="K255" s="553"/>
      <c r="L255" s="553"/>
      <c r="M255" s="553"/>
      <c r="N255" s="553"/>
      <c r="O255" s="553"/>
      <c r="P255" s="553"/>
      <c r="Q255" s="553"/>
      <c r="R255" s="553"/>
      <c r="S255" s="553"/>
      <c r="T255" s="553"/>
      <c r="U255" s="553"/>
    </row>
    <row r="256" spans="1:21" ht="15.75">
      <c r="A256" s="553"/>
      <c r="B256" s="553"/>
      <c r="C256" s="553"/>
      <c r="D256" s="553"/>
      <c r="E256" s="553"/>
      <c r="F256" s="553"/>
      <c r="G256" s="553"/>
      <c r="H256" s="553"/>
      <c r="I256" s="553"/>
      <c r="J256" s="553"/>
      <c r="K256" s="553"/>
      <c r="L256" s="553"/>
      <c r="M256" s="553"/>
      <c r="N256" s="553"/>
      <c r="O256" s="553"/>
      <c r="P256" s="553"/>
      <c r="Q256" s="553"/>
      <c r="R256" s="553"/>
      <c r="S256" s="553"/>
      <c r="T256" s="553"/>
      <c r="U256" s="553"/>
    </row>
    <row r="257" spans="1:21" ht="15.75">
      <c r="A257" s="553"/>
      <c r="B257" s="553"/>
      <c r="C257" s="553"/>
      <c r="D257" s="553"/>
      <c r="E257" s="553"/>
      <c r="F257" s="553"/>
      <c r="G257" s="553"/>
      <c r="H257" s="553"/>
      <c r="I257" s="553"/>
      <c r="J257" s="553"/>
      <c r="K257" s="553"/>
      <c r="L257" s="553"/>
      <c r="M257" s="553"/>
      <c r="N257" s="553"/>
      <c r="O257" s="553"/>
      <c r="P257" s="553"/>
      <c r="Q257" s="553"/>
      <c r="R257" s="553"/>
      <c r="S257" s="553"/>
      <c r="T257" s="553"/>
      <c r="U257" s="553"/>
    </row>
    <row r="258" spans="1:21" ht="15.75">
      <c r="A258" s="553"/>
      <c r="B258" s="553"/>
      <c r="C258" s="553"/>
      <c r="D258" s="553"/>
      <c r="E258" s="553"/>
      <c r="F258" s="553"/>
      <c r="G258" s="553"/>
      <c r="H258" s="553"/>
      <c r="I258" s="553"/>
      <c r="J258" s="553"/>
      <c r="K258" s="553"/>
      <c r="L258" s="553"/>
      <c r="M258" s="553"/>
      <c r="N258" s="553"/>
      <c r="O258" s="553"/>
      <c r="P258" s="553"/>
      <c r="Q258" s="553"/>
      <c r="R258" s="553"/>
      <c r="S258" s="553"/>
      <c r="T258" s="553"/>
      <c r="U258" s="553"/>
    </row>
    <row r="259" spans="1:21" ht="15.75">
      <c r="A259" s="553"/>
      <c r="B259" s="553"/>
      <c r="C259" s="553"/>
      <c r="D259" s="553"/>
      <c r="E259" s="553"/>
      <c r="F259" s="553"/>
      <c r="G259" s="553"/>
      <c r="H259" s="553"/>
      <c r="I259" s="553"/>
      <c r="J259" s="553"/>
      <c r="K259" s="553"/>
      <c r="L259" s="553"/>
      <c r="M259" s="553"/>
      <c r="N259" s="553"/>
      <c r="O259" s="553"/>
      <c r="P259" s="553"/>
      <c r="Q259" s="553"/>
      <c r="R259" s="553"/>
      <c r="S259" s="553"/>
      <c r="T259" s="553"/>
      <c r="U259" s="553"/>
    </row>
    <row r="260" spans="1:21" ht="15.75">
      <c r="A260" s="553"/>
      <c r="B260" s="553"/>
      <c r="C260" s="553"/>
      <c r="D260" s="553"/>
      <c r="E260" s="553"/>
      <c r="F260" s="553"/>
      <c r="G260" s="553"/>
      <c r="H260" s="553"/>
      <c r="I260" s="553"/>
      <c r="J260" s="553"/>
      <c r="K260" s="553"/>
      <c r="L260" s="553"/>
      <c r="M260" s="553"/>
      <c r="N260" s="553"/>
      <c r="O260" s="553"/>
      <c r="P260" s="553"/>
      <c r="Q260" s="553"/>
      <c r="R260" s="553"/>
      <c r="S260" s="553"/>
      <c r="T260" s="553"/>
      <c r="U260" s="553"/>
    </row>
    <row r="261" spans="1:21" ht="15.75">
      <c r="A261" s="553"/>
      <c r="B261" s="553"/>
      <c r="C261" s="553"/>
      <c r="D261" s="553"/>
      <c r="E261" s="553"/>
      <c r="F261" s="553"/>
      <c r="G261" s="553"/>
      <c r="H261" s="553"/>
      <c r="I261" s="553"/>
      <c r="J261" s="553"/>
      <c r="K261" s="553"/>
      <c r="L261" s="553"/>
      <c r="M261" s="553"/>
      <c r="N261" s="553"/>
      <c r="O261" s="553"/>
      <c r="P261" s="553"/>
      <c r="Q261" s="553"/>
      <c r="R261" s="553"/>
      <c r="S261" s="553"/>
      <c r="T261" s="553"/>
      <c r="U261" s="553"/>
    </row>
    <row r="262" spans="1:21" ht="15.75">
      <c r="A262" s="553"/>
      <c r="B262" s="553"/>
      <c r="C262" s="553"/>
      <c r="D262" s="553"/>
      <c r="E262" s="553"/>
      <c r="F262" s="553"/>
      <c r="G262" s="553"/>
      <c r="H262" s="553"/>
      <c r="I262" s="553"/>
      <c r="J262" s="553"/>
      <c r="K262" s="553"/>
      <c r="L262" s="553"/>
      <c r="M262" s="553"/>
      <c r="N262" s="553"/>
      <c r="O262" s="553"/>
      <c r="P262" s="553"/>
      <c r="Q262" s="553"/>
      <c r="R262" s="553"/>
      <c r="S262" s="553"/>
      <c r="T262" s="553"/>
      <c r="U262" s="553"/>
    </row>
    <row r="263" spans="1:21" ht="15.75">
      <c r="A263" s="553"/>
      <c r="B263" s="553"/>
      <c r="C263" s="553"/>
      <c r="D263" s="553"/>
      <c r="E263" s="553"/>
      <c r="F263" s="553"/>
      <c r="G263" s="553"/>
      <c r="H263" s="553"/>
      <c r="I263" s="553"/>
      <c r="J263" s="553"/>
      <c r="K263" s="553"/>
      <c r="L263" s="553"/>
      <c r="M263" s="553"/>
      <c r="N263" s="553"/>
      <c r="O263" s="553"/>
      <c r="P263" s="553"/>
      <c r="Q263" s="553"/>
      <c r="R263" s="553"/>
      <c r="S263" s="553"/>
      <c r="T263" s="553"/>
      <c r="U263" s="553"/>
    </row>
    <row r="264" spans="1:21" ht="15.75">
      <c r="A264" s="553"/>
      <c r="B264" s="553"/>
      <c r="C264" s="553"/>
      <c r="D264" s="553"/>
      <c r="E264" s="553"/>
      <c r="F264" s="553"/>
      <c r="G264" s="553"/>
      <c r="H264" s="553"/>
      <c r="I264" s="553"/>
      <c r="J264" s="553"/>
      <c r="K264" s="553"/>
      <c r="L264" s="553"/>
      <c r="M264" s="553"/>
      <c r="N264" s="553"/>
      <c r="O264" s="553"/>
      <c r="P264" s="553"/>
      <c r="Q264" s="553"/>
      <c r="R264" s="553"/>
      <c r="S264" s="553"/>
      <c r="T264" s="553"/>
      <c r="U264" s="553"/>
    </row>
    <row r="265" spans="1:21" ht="15.75">
      <c r="A265" s="553"/>
      <c r="B265" s="553"/>
      <c r="C265" s="553"/>
      <c r="D265" s="553"/>
      <c r="E265" s="553"/>
      <c r="F265" s="553"/>
      <c r="G265" s="553"/>
      <c r="H265" s="553"/>
      <c r="I265" s="553"/>
      <c r="J265" s="553"/>
      <c r="K265" s="553"/>
      <c r="L265" s="553"/>
      <c r="M265" s="553"/>
      <c r="N265" s="553"/>
      <c r="O265" s="553"/>
      <c r="P265" s="553"/>
      <c r="Q265" s="553"/>
      <c r="R265" s="553"/>
      <c r="S265" s="553"/>
      <c r="T265" s="553"/>
      <c r="U265" s="553"/>
    </row>
    <row r="266" spans="1:21" ht="15.75">
      <c r="A266" s="553"/>
      <c r="B266" s="553"/>
      <c r="C266" s="553"/>
      <c r="D266" s="553"/>
      <c r="E266" s="553"/>
      <c r="F266" s="553"/>
      <c r="G266" s="553"/>
      <c r="H266" s="553"/>
      <c r="I266" s="553"/>
      <c r="J266" s="553"/>
      <c r="K266" s="553"/>
      <c r="L266" s="553"/>
      <c r="M266" s="553"/>
      <c r="N266" s="553"/>
      <c r="O266" s="553"/>
      <c r="P266" s="553"/>
      <c r="Q266" s="553"/>
      <c r="R266" s="553"/>
      <c r="S266" s="553"/>
      <c r="T266" s="553"/>
      <c r="U266" s="553"/>
    </row>
    <row r="267" spans="1:21" ht="15.75">
      <c r="A267" s="553"/>
      <c r="B267" s="553"/>
      <c r="C267" s="553"/>
      <c r="D267" s="553"/>
      <c r="E267" s="553"/>
      <c r="F267" s="553"/>
      <c r="G267" s="553"/>
      <c r="H267" s="553"/>
      <c r="I267" s="553"/>
      <c r="J267" s="553"/>
      <c r="K267" s="553"/>
      <c r="L267" s="553"/>
      <c r="M267" s="553"/>
      <c r="N267" s="553"/>
      <c r="O267" s="553"/>
      <c r="P267" s="553"/>
      <c r="Q267" s="553"/>
      <c r="R267" s="553"/>
      <c r="S267" s="553"/>
      <c r="T267" s="553"/>
      <c r="U267" s="553"/>
    </row>
    <row r="268" spans="1:21" ht="15.75">
      <c r="A268" s="553"/>
      <c r="B268" s="553"/>
      <c r="C268" s="553"/>
      <c r="D268" s="553"/>
      <c r="E268" s="553"/>
      <c r="F268" s="553"/>
      <c r="G268" s="553"/>
      <c r="H268" s="553"/>
      <c r="I268" s="553"/>
      <c r="J268" s="553"/>
      <c r="K268" s="553"/>
      <c r="L268" s="553"/>
      <c r="M268" s="553"/>
      <c r="N268" s="553"/>
      <c r="O268" s="553"/>
      <c r="P268" s="553"/>
      <c r="Q268" s="553"/>
      <c r="R268" s="553"/>
      <c r="S268" s="553"/>
      <c r="T268" s="553"/>
      <c r="U268" s="553"/>
    </row>
    <row r="269" spans="1:21" ht="15.75">
      <c r="A269" s="553"/>
      <c r="B269" s="553"/>
      <c r="C269" s="553"/>
      <c r="D269" s="553"/>
      <c r="E269" s="553"/>
      <c r="F269" s="553"/>
      <c r="G269" s="553"/>
      <c r="H269" s="553"/>
      <c r="I269" s="553"/>
      <c r="J269" s="553"/>
      <c r="K269" s="553"/>
      <c r="L269" s="553"/>
      <c r="M269" s="553"/>
      <c r="N269" s="553"/>
      <c r="O269" s="553"/>
      <c r="P269" s="553"/>
      <c r="Q269" s="553"/>
      <c r="R269" s="553"/>
      <c r="S269" s="553"/>
      <c r="T269" s="553"/>
      <c r="U269" s="553"/>
    </row>
    <row r="270" spans="1:21" ht="15.75">
      <c r="A270" s="553"/>
      <c r="B270" s="553"/>
      <c r="C270" s="553"/>
      <c r="D270" s="553"/>
      <c r="E270" s="553"/>
      <c r="F270" s="553"/>
      <c r="G270" s="553"/>
      <c r="H270" s="553"/>
      <c r="I270" s="553"/>
      <c r="J270" s="553"/>
      <c r="K270" s="553"/>
      <c r="L270" s="553"/>
      <c r="M270" s="553"/>
      <c r="N270" s="553"/>
      <c r="O270" s="553"/>
      <c r="P270" s="553"/>
      <c r="Q270" s="553"/>
      <c r="R270" s="553"/>
      <c r="S270" s="553"/>
      <c r="T270" s="553"/>
      <c r="U270" s="553"/>
    </row>
    <row r="271" spans="1:21" ht="15.75">
      <c r="A271" s="553"/>
      <c r="B271" s="553"/>
      <c r="C271" s="553"/>
      <c r="D271" s="553"/>
      <c r="E271" s="553"/>
      <c r="F271" s="553"/>
      <c r="G271" s="553"/>
      <c r="H271" s="553"/>
      <c r="I271" s="553"/>
      <c r="J271" s="553"/>
      <c r="K271" s="553"/>
      <c r="L271" s="553"/>
      <c r="M271" s="553"/>
      <c r="N271" s="553"/>
      <c r="O271" s="553"/>
      <c r="P271" s="553"/>
      <c r="Q271" s="553"/>
      <c r="R271" s="553"/>
      <c r="S271" s="553"/>
      <c r="T271" s="553"/>
      <c r="U271" s="553"/>
    </row>
    <row r="272" spans="1:21" ht="15.75">
      <c r="A272" s="553"/>
      <c r="B272" s="553"/>
      <c r="C272" s="553"/>
      <c r="D272" s="553"/>
      <c r="E272" s="553"/>
      <c r="F272" s="553"/>
      <c r="G272" s="553"/>
      <c r="H272" s="553"/>
      <c r="I272" s="553"/>
      <c r="J272" s="553"/>
      <c r="K272" s="553"/>
      <c r="L272" s="553"/>
      <c r="M272" s="553"/>
      <c r="N272" s="553"/>
      <c r="O272" s="553"/>
      <c r="P272" s="553"/>
      <c r="Q272" s="553"/>
      <c r="R272" s="553"/>
      <c r="S272" s="553"/>
      <c r="T272" s="553"/>
      <c r="U272" s="553"/>
    </row>
    <row r="273" spans="1:21" ht="15.75">
      <c r="A273" s="553"/>
      <c r="B273" s="553"/>
      <c r="C273" s="553"/>
      <c r="D273" s="553"/>
      <c r="E273" s="553"/>
      <c r="F273" s="553"/>
      <c r="G273" s="553"/>
      <c r="H273" s="553"/>
      <c r="I273" s="553"/>
      <c r="J273" s="553"/>
      <c r="K273" s="553"/>
      <c r="L273" s="553"/>
      <c r="M273" s="553"/>
      <c r="N273" s="553"/>
      <c r="O273" s="553"/>
      <c r="P273" s="553"/>
      <c r="Q273" s="553"/>
      <c r="R273" s="553"/>
      <c r="S273" s="553"/>
      <c r="T273" s="553"/>
      <c r="U273" s="553"/>
    </row>
    <row r="274" spans="1:21" ht="15.75">
      <c r="A274" s="553"/>
      <c r="B274" s="553"/>
      <c r="C274" s="553"/>
      <c r="D274" s="553"/>
      <c r="E274" s="553"/>
      <c r="F274" s="553"/>
      <c r="G274" s="553"/>
      <c r="H274" s="553"/>
      <c r="I274" s="553"/>
      <c r="J274" s="553"/>
      <c r="K274" s="553"/>
      <c r="L274" s="553"/>
      <c r="M274" s="553"/>
      <c r="N274" s="553"/>
      <c r="O274" s="553"/>
      <c r="P274" s="553"/>
      <c r="Q274" s="553"/>
      <c r="R274" s="553"/>
      <c r="S274" s="553"/>
      <c r="T274" s="553"/>
      <c r="U274" s="553"/>
    </row>
    <row r="275" spans="1:21" ht="15.75">
      <c r="A275" s="553"/>
      <c r="B275" s="553"/>
      <c r="C275" s="553"/>
      <c r="D275" s="553"/>
      <c r="E275" s="553"/>
      <c r="F275" s="553"/>
      <c r="G275" s="553"/>
      <c r="H275" s="553"/>
      <c r="I275" s="553"/>
      <c r="J275" s="553"/>
      <c r="K275" s="553"/>
      <c r="L275" s="553"/>
      <c r="M275" s="553"/>
      <c r="N275" s="553"/>
      <c r="O275" s="553"/>
      <c r="P275" s="553"/>
      <c r="Q275" s="553"/>
      <c r="R275" s="553"/>
      <c r="S275" s="553"/>
      <c r="T275" s="553"/>
      <c r="U275" s="553"/>
    </row>
    <row r="276" spans="1:21" ht="15.75">
      <c r="A276" s="553"/>
      <c r="B276" s="553"/>
      <c r="C276" s="553"/>
      <c r="D276" s="553"/>
      <c r="E276" s="553"/>
      <c r="F276" s="553"/>
      <c r="G276" s="553"/>
      <c r="H276" s="553"/>
      <c r="I276" s="553"/>
      <c r="J276" s="553"/>
      <c r="K276" s="553"/>
      <c r="L276" s="553"/>
      <c r="M276" s="553"/>
      <c r="N276" s="553"/>
      <c r="O276" s="553"/>
      <c r="P276" s="553"/>
      <c r="Q276" s="553"/>
      <c r="R276" s="553"/>
      <c r="S276" s="553"/>
      <c r="T276" s="553"/>
      <c r="U276" s="553"/>
    </row>
    <row r="277" spans="1:21" ht="15.75">
      <c r="A277" s="553"/>
      <c r="B277" s="553"/>
      <c r="C277" s="553"/>
      <c r="D277" s="553"/>
      <c r="E277" s="553"/>
      <c r="F277" s="553"/>
      <c r="G277" s="553"/>
      <c r="H277" s="553"/>
      <c r="I277" s="553"/>
      <c r="J277" s="553"/>
      <c r="K277" s="553"/>
      <c r="L277" s="553"/>
      <c r="M277" s="553"/>
      <c r="N277" s="553"/>
      <c r="O277" s="553"/>
      <c r="P277" s="553"/>
      <c r="Q277" s="553"/>
      <c r="R277" s="553"/>
      <c r="S277" s="553"/>
      <c r="T277" s="553"/>
      <c r="U277" s="553"/>
    </row>
    <row r="278" spans="1:21" ht="15.75">
      <c r="A278" s="553"/>
      <c r="B278" s="553"/>
      <c r="C278" s="553"/>
      <c r="D278" s="553"/>
      <c r="E278" s="553"/>
      <c r="F278" s="553"/>
      <c r="G278" s="553"/>
      <c r="H278" s="553"/>
      <c r="I278" s="553"/>
      <c r="J278" s="553"/>
      <c r="K278" s="553"/>
      <c r="L278" s="553"/>
      <c r="M278" s="553"/>
      <c r="N278" s="553"/>
      <c r="O278" s="553"/>
      <c r="P278" s="553"/>
      <c r="Q278" s="553"/>
      <c r="R278" s="553"/>
      <c r="S278" s="553"/>
      <c r="T278" s="553"/>
      <c r="U278" s="553"/>
    </row>
    <row r="279" spans="1:21" ht="15.75">
      <c r="A279" s="553"/>
      <c r="B279" s="553"/>
      <c r="C279" s="553"/>
      <c r="D279" s="553"/>
      <c r="E279" s="553"/>
      <c r="F279" s="553"/>
      <c r="G279" s="553"/>
      <c r="H279" s="553"/>
      <c r="I279" s="553"/>
      <c r="J279" s="553"/>
      <c r="K279" s="553"/>
      <c r="L279" s="553"/>
      <c r="M279" s="553"/>
      <c r="N279" s="553"/>
      <c r="O279" s="553"/>
      <c r="P279" s="553"/>
      <c r="Q279" s="553"/>
      <c r="R279" s="553"/>
      <c r="S279" s="553"/>
      <c r="T279" s="553"/>
      <c r="U279" s="553"/>
    </row>
    <row r="280" spans="1:21" ht="15.75">
      <c r="A280" s="553"/>
      <c r="B280" s="553"/>
      <c r="C280" s="553"/>
      <c r="D280" s="553"/>
      <c r="E280" s="553"/>
      <c r="F280" s="553"/>
      <c r="G280" s="553"/>
      <c r="H280" s="553"/>
      <c r="I280" s="553"/>
      <c r="J280" s="553"/>
      <c r="K280" s="553"/>
      <c r="L280" s="553"/>
      <c r="M280" s="553"/>
      <c r="N280" s="553"/>
      <c r="O280" s="553"/>
      <c r="P280" s="553"/>
      <c r="Q280" s="553"/>
      <c r="R280" s="553"/>
      <c r="S280" s="553"/>
      <c r="T280" s="553"/>
      <c r="U280" s="553"/>
    </row>
    <row r="281" spans="1:21" ht="15.75">
      <c r="A281" s="553"/>
      <c r="B281" s="553"/>
      <c r="C281" s="553"/>
      <c r="D281" s="553"/>
      <c r="E281" s="553"/>
      <c r="F281" s="553"/>
      <c r="G281" s="553"/>
      <c r="H281" s="553"/>
      <c r="I281" s="553"/>
      <c r="J281" s="553"/>
      <c r="K281" s="553"/>
      <c r="L281" s="553"/>
      <c r="M281" s="553"/>
      <c r="N281" s="553"/>
      <c r="O281" s="553"/>
      <c r="P281" s="553"/>
      <c r="Q281" s="553"/>
      <c r="R281" s="553"/>
      <c r="S281" s="553"/>
      <c r="T281" s="553"/>
      <c r="U281" s="553"/>
    </row>
    <row r="282" spans="1:21" ht="15.75">
      <c r="A282" s="553"/>
      <c r="B282" s="553"/>
      <c r="C282" s="553"/>
      <c r="D282" s="553"/>
      <c r="E282" s="553"/>
      <c r="F282" s="553"/>
      <c r="G282" s="553"/>
      <c r="H282" s="553"/>
      <c r="I282" s="553"/>
      <c r="J282" s="553"/>
      <c r="K282" s="553"/>
      <c r="L282" s="553"/>
      <c r="M282" s="553"/>
      <c r="N282" s="553"/>
      <c r="O282" s="553"/>
      <c r="P282" s="553"/>
      <c r="Q282" s="553"/>
      <c r="R282" s="553"/>
      <c r="S282" s="553"/>
      <c r="T282" s="553"/>
      <c r="U282" s="553"/>
    </row>
    <row r="283" spans="1:21" ht="15.75">
      <c r="A283" s="553"/>
      <c r="B283" s="553"/>
      <c r="C283" s="553"/>
      <c r="D283" s="553"/>
      <c r="E283" s="553"/>
      <c r="F283" s="553"/>
      <c r="G283" s="553"/>
      <c r="H283" s="553"/>
      <c r="I283" s="553"/>
      <c r="J283" s="553"/>
      <c r="K283" s="553"/>
      <c r="L283" s="553"/>
      <c r="M283" s="553"/>
      <c r="N283" s="553"/>
      <c r="O283" s="553"/>
      <c r="P283" s="553"/>
      <c r="Q283" s="553"/>
      <c r="R283" s="553"/>
      <c r="S283" s="553"/>
      <c r="T283" s="553"/>
      <c r="U283" s="553"/>
    </row>
    <row r="284" spans="1:21" ht="15.75">
      <c r="A284" s="553"/>
      <c r="B284" s="553"/>
      <c r="C284" s="553"/>
      <c r="D284" s="553"/>
      <c r="E284" s="553"/>
      <c r="F284" s="553"/>
      <c r="G284" s="553"/>
      <c r="H284" s="553"/>
      <c r="I284" s="553"/>
      <c r="J284" s="553"/>
      <c r="K284" s="553"/>
      <c r="L284" s="553"/>
      <c r="M284" s="553"/>
      <c r="N284" s="553"/>
      <c r="O284" s="553"/>
      <c r="P284" s="553"/>
      <c r="Q284" s="553"/>
      <c r="R284" s="553"/>
      <c r="S284" s="553"/>
      <c r="T284" s="553"/>
      <c r="U284" s="553"/>
    </row>
    <row r="285" spans="1:21" ht="15.75">
      <c r="A285" s="553"/>
      <c r="B285" s="553"/>
      <c r="C285" s="553"/>
      <c r="D285" s="553"/>
      <c r="E285" s="553"/>
      <c r="F285" s="553"/>
      <c r="G285" s="553"/>
      <c r="H285" s="553"/>
      <c r="I285" s="553"/>
      <c r="J285" s="553"/>
      <c r="K285" s="553"/>
      <c r="L285" s="553"/>
      <c r="M285" s="553"/>
      <c r="N285" s="553"/>
      <c r="O285" s="553"/>
      <c r="P285" s="553"/>
      <c r="Q285" s="553"/>
      <c r="R285" s="553"/>
      <c r="S285" s="553"/>
      <c r="T285" s="553"/>
      <c r="U285" s="553"/>
    </row>
    <row r="286" spans="1:21" ht="15.75">
      <c r="A286" s="553"/>
      <c r="B286" s="553"/>
      <c r="C286" s="553"/>
      <c r="D286" s="553"/>
      <c r="E286" s="553"/>
      <c r="F286" s="553"/>
      <c r="G286" s="553"/>
      <c r="H286" s="553"/>
      <c r="I286" s="553"/>
      <c r="J286" s="553"/>
      <c r="K286" s="553"/>
      <c r="L286" s="553"/>
      <c r="M286" s="553"/>
      <c r="N286" s="553"/>
      <c r="O286" s="553"/>
      <c r="P286" s="553"/>
      <c r="Q286" s="553"/>
      <c r="R286" s="553"/>
      <c r="S286" s="553"/>
      <c r="T286" s="553"/>
      <c r="U286" s="553"/>
    </row>
    <row r="287" spans="1:21" ht="15.75">
      <c r="A287" s="553"/>
      <c r="B287" s="553"/>
      <c r="C287" s="553"/>
      <c r="D287" s="553"/>
      <c r="E287" s="553"/>
      <c r="F287" s="553"/>
      <c r="G287" s="553"/>
      <c r="H287" s="553"/>
      <c r="I287" s="553"/>
      <c r="J287" s="553"/>
      <c r="K287" s="553"/>
      <c r="L287" s="553"/>
      <c r="M287" s="553"/>
      <c r="N287" s="553"/>
      <c r="O287" s="553"/>
      <c r="P287" s="553"/>
      <c r="Q287" s="553"/>
      <c r="R287" s="553"/>
      <c r="S287" s="553"/>
      <c r="T287" s="553"/>
      <c r="U287" s="553"/>
    </row>
    <row r="288" spans="1:21" ht="15.75">
      <c r="A288" s="553"/>
      <c r="B288" s="553"/>
      <c r="C288" s="553"/>
      <c r="D288" s="553"/>
      <c r="E288" s="553"/>
      <c r="F288" s="553"/>
      <c r="G288" s="553"/>
      <c r="H288" s="553"/>
      <c r="I288" s="553"/>
      <c r="J288" s="553"/>
      <c r="K288" s="553"/>
      <c r="L288" s="553"/>
      <c r="M288" s="553"/>
      <c r="N288" s="553"/>
      <c r="O288" s="553"/>
      <c r="P288" s="553"/>
      <c r="Q288" s="553"/>
      <c r="R288" s="553"/>
      <c r="S288" s="553"/>
      <c r="T288" s="553"/>
      <c r="U288" s="553"/>
    </row>
    <row r="289" spans="1:21" ht="15.75">
      <c r="A289" s="553"/>
      <c r="B289" s="553"/>
      <c r="C289" s="553"/>
      <c r="D289" s="553"/>
      <c r="E289" s="553"/>
      <c r="F289" s="553"/>
      <c r="G289" s="553"/>
      <c r="H289" s="553"/>
      <c r="I289" s="553"/>
      <c r="J289" s="553"/>
      <c r="K289" s="553"/>
      <c r="L289" s="553"/>
      <c r="M289" s="553"/>
      <c r="N289" s="553"/>
      <c r="O289" s="553"/>
      <c r="P289" s="553"/>
      <c r="Q289" s="553"/>
      <c r="R289" s="553"/>
      <c r="S289" s="553"/>
      <c r="T289" s="553"/>
      <c r="U289" s="553"/>
    </row>
    <row r="290" spans="1:21" ht="15.75">
      <c r="A290" s="553"/>
      <c r="B290" s="553"/>
      <c r="C290" s="553"/>
      <c r="D290" s="553"/>
      <c r="E290" s="553"/>
      <c r="F290" s="553"/>
      <c r="G290" s="553"/>
      <c r="H290" s="553"/>
      <c r="I290" s="553"/>
      <c r="J290" s="553"/>
      <c r="K290" s="553"/>
      <c r="L290" s="553"/>
      <c r="M290" s="553"/>
      <c r="N290" s="553"/>
      <c r="O290" s="553"/>
      <c r="P290" s="553"/>
      <c r="Q290" s="553"/>
      <c r="R290" s="553"/>
      <c r="S290" s="553"/>
      <c r="T290" s="553"/>
      <c r="U290" s="553"/>
    </row>
    <row r="291" spans="1:21" ht="15.75">
      <c r="A291" s="553"/>
      <c r="B291" s="553"/>
      <c r="C291" s="553"/>
      <c r="D291" s="553"/>
      <c r="E291" s="553"/>
      <c r="F291" s="553"/>
      <c r="G291" s="553"/>
      <c r="H291" s="553"/>
      <c r="I291" s="553"/>
      <c r="J291" s="553"/>
      <c r="K291" s="553"/>
      <c r="L291" s="553"/>
      <c r="M291" s="553"/>
      <c r="N291" s="553"/>
      <c r="O291" s="553"/>
      <c r="P291" s="553"/>
      <c r="Q291" s="553"/>
      <c r="R291" s="553"/>
      <c r="S291" s="553"/>
      <c r="T291" s="553"/>
      <c r="U291" s="553"/>
    </row>
    <row r="292" spans="1:21" ht="15.75">
      <c r="A292" s="553"/>
      <c r="B292" s="553"/>
      <c r="C292" s="553"/>
      <c r="D292" s="553"/>
      <c r="E292" s="553"/>
      <c r="F292" s="553"/>
      <c r="G292" s="553"/>
      <c r="H292" s="553"/>
      <c r="I292" s="553"/>
      <c r="J292" s="553"/>
      <c r="K292" s="553"/>
      <c r="L292" s="553"/>
      <c r="M292" s="553"/>
      <c r="N292" s="553"/>
      <c r="O292" s="553"/>
      <c r="P292" s="553"/>
      <c r="Q292" s="553"/>
      <c r="R292" s="553"/>
      <c r="S292" s="553"/>
      <c r="T292" s="553"/>
      <c r="U292" s="553"/>
    </row>
    <row r="293" spans="1:21" ht="15.75">
      <c r="A293" s="553"/>
      <c r="B293" s="553"/>
      <c r="C293" s="553"/>
      <c r="D293" s="553"/>
      <c r="E293" s="553"/>
      <c r="F293" s="553"/>
      <c r="G293" s="553"/>
      <c r="H293" s="553"/>
      <c r="I293" s="553"/>
      <c r="J293" s="553"/>
      <c r="K293" s="553"/>
      <c r="L293" s="553"/>
      <c r="M293" s="553"/>
      <c r="N293" s="553"/>
      <c r="O293" s="553"/>
      <c r="P293" s="553"/>
      <c r="Q293" s="553"/>
      <c r="R293" s="553"/>
      <c r="S293" s="553"/>
      <c r="T293" s="553"/>
      <c r="U293" s="553"/>
    </row>
    <row r="294" spans="1:21" ht="15.75">
      <c r="A294" s="553"/>
      <c r="B294" s="553"/>
      <c r="C294" s="553"/>
      <c r="D294" s="553"/>
      <c r="E294" s="553"/>
      <c r="F294" s="553"/>
      <c r="G294" s="553"/>
      <c r="H294" s="553"/>
      <c r="I294" s="553"/>
      <c r="J294" s="553"/>
      <c r="K294" s="553"/>
      <c r="L294" s="553"/>
      <c r="M294" s="553"/>
      <c r="N294" s="553"/>
      <c r="O294" s="553"/>
      <c r="P294" s="553"/>
      <c r="Q294" s="553"/>
      <c r="R294" s="553"/>
      <c r="S294" s="553"/>
      <c r="T294" s="553"/>
      <c r="U294" s="553"/>
    </row>
    <row r="295" spans="1:21" ht="15.75">
      <c r="A295" s="553"/>
      <c r="B295" s="553"/>
      <c r="C295" s="553"/>
      <c r="D295" s="553"/>
      <c r="E295" s="553"/>
      <c r="F295" s="553"/>
      <c r="G295" s="553"/>
      <c r="H295" s="553"/>
      <c r="I295" s="553"/>
      <c r="J295" s="553"/>
      <c r="K295" s="553"/>
      <c r="L295" s="553"/>
      <c r="M295" s="553"/>
      <c r="N295" s="553"/>
      <c r="O295" s="553"/>
      <c r="P295" s="553"/>
      <c r="Q295" s="553"/>
      <c r="R295" s="553"/>
      <c r="S295" s="553"/>
      <c r="T295" s="553"/>
      <c r="U295" s="553"/>
    </row>
    <row r="296" spans="1:21" ht="15.75">
      <c r="A296" s="553"/>
      <c r="B296" s="553"/>
      <c r="C296" s="553"/>
      <c r="D296" s="553"/>
      <c r="E296" s="553"/>
      <c r="F296" s="553"/>
      <c r="G296" s="553"/>
      <c r="H296" s="553"/>
      <c r="I296" s="553"/>
      <c r="J296" s="553"/>
      <c r="K296" s="553"/>
      <c r="L296" s="553"/>
      <c r="M296" s="553"/>
      <c r="N296" s="553"/>
      <c r="O296" s="553"/>
      <c r="P296" s="553"/>
      <c r="Q296" s="553"/>
      <c r="R296" s="553"/>
      <c r="S296" s="553"/>
      <c r="T296" s="553"/>
      <c r="U296" s="553"/>
    </row>
    <row r="297" spans="1:21" ht="15.75">
      <c r="A297" s="553"/>
      <c r="B297" s="553"/>
      <c r="C297" s="553"/>
      <c r="D297" s="553"/>
      <c r="E297" s="553"/>
      <c r="F297" s="553"/>
      <c r="G297" s="553"/>
      <c r="H297" s="553"/>
      <c r="I297" s="553"/>
      <c r="J297" s="553"/>
      <c r="K297" s="553"/>
      <c r="L297" s="553"/>
      <c r="M297" s="553"/>
      <c r="N297" s="553"/>
      <c r="O297" s="553"/>
      <c r="P297" s="553"/>
      <c r="Q297" s="553"/>
      <c r="R297" s="553"/>
      <c r="S297" s="553"/>
      <c r="T297" s="553"/>
      <c r="U297" s="553"/>
    </row>
    <row r="298" spans="1:21" ht="15.75">
      <c r="A298" s="553"/>
      <c r="B298" s="553"/>
      <c r="C298" s="553"/>
      <c r="D298" s="553"/>
      <c r="E298" s="553"/>
      <c r="F298" s="553"/>
      <c r="G298" s="553"/>
      <c r="H298" s="553"/>
      <c r="I298" s="553"/>
      <c r="J298" s="553"/>
      <c r="K298" s="553"/>
      <c r="L298" s="553"/>
      <c r="M298" s="553"/>
      <c r="N298" s="553"/>
      <c r="O298" s="553"/>
      <c r="P298" s="553"/>
      <c r="Q298" s="553"/>
      <c r="R298" s="553"/>
      <c r="S298" s="553"/>
      <c r="T298" s="553"/>
      <c r="U298" s="553"/>
    </row>
    <row r="299" spans="1:21" ht="15.75">
      <c r="A299" s="553"/>
      <c r="B299" s="553"/>
      <c r="C299" s="553"/>
      <c r="D299" s="553"/>
      <c r="E299" s="553"/>
      <c r="F299" s="553"/>
      <c r="G299" s="553"/>
      <c r="H299" s="553"/>
      <c r="I299" s="553"/>
      <c r="J299" s="553"/>
      <c r="K299" s="553"/>
      <c r="L299" s="553"/>
      <c r="M299" s="553"/>
      <c r="N299" s="553"/>
      <c r="O299" s="553"/>
      <c r="P299" s="553"/>
      <c r="Q299" s="553"/>
      <c r="R299" s="553"/>
      <c r="S299" s="553"/>
      <c r="T299" s="553"/>
      <c r="U299" s="553"/>
    </row>
    <row r="300" spans="1:21" ht="15.75">
      <c r="A300" s="553"/>
      <c r="B300" s="553"/>
      <c r="C300" s="553"/>
      <c r="D300" s="553"/>
      <c r="E300" s="553"/>
      <c r="F300" s="553"/>
      <c r="G300" s="553"/>
      <c r="H300" s="553"/>
      <c r="I300" s="553"/>
      <c r="J300" s="553"/>
      <c r="K300" s="553"/>
      <c r="L300" s="553"/>
      <c r="M300" s="553"/>
      <c r="N300" s="553"/>
      <c r="O300" s="553"/>
      <c r="P300" s="553"/>
      <c r="Q300" s="553"/>
      <c r="R300" s="553"/>
      <c r="S300" s="553"/>
      <c r="T300" s="553"/>
      <c r="U300" s="553"/>
    </row>
    <row r="301" spans="1:21" ht="15.75">
      <c r="A301" s="553"/>
      <c r="B301" s="553"/>
      <c r="C301" s="553"/>
      <c r="D301" s="553"/>
      <c r="E301" s="553"/>
      <c r="F301" s="553"/>
      <c r="G301" s="553"/>
      <c r="H301" s="553"/>
      <c r="I301" s="553"/>
      <c r="J301" s="553"/>
      <c r="K301" s="553"/>
      <c r="L301" s="553"/>
      <c r="M301" s="553"/>
      <c r="N301" s="553"/>
      <c r="O301" s="553"/>
      <c r="P301" s="553"/>
      <c r="Q301" s="553"/>
      <c r="R301" s="553"/>
      <c r="S301" s="553"/>
      <c r="T301" s="553"/>
      <c r="U301" s="553"/>
    </row>
    <row r="302" spans="1:21" ht="15.75">
      <c r="A302" s="553"/>
      <c r="B302" s="553"/>
      <c r="C302" s="553"/>
      <c r="D302" s="553"/>
      <c r="E302" s="553"/>
      <c r="F302" s="553"/>
      <c r="G302" s="553"/>
      <c r="H302" s="553"/>
      <c r="I302" s="553"/>
      <c r="J302" s="553"/>
      <c r="K302" s="553"/>
      <c r="L302" s="553"/>
      <c r="M302" s="553"/>
      <c r="N302" s="553"/>
      <c r="O302" s="553"/>
      <c r="P302" s="553"/>
      <c r="Q302" s="553"/>
      <c r="R302" s="553"/>
      <c r="S302" s="553"/>
      <c r="T302" s="553"/>
      <c r="U302" s="553"/>
    </row>
    <row r="303" spans="1:21" ht="15.75">
      <c r="A303" s="553"/>
      <c r="B303" s="553"/>
      <c r="C303" s="553"/>
      <c r="D303" s="553"/>
      <c r="E303" s="553"/>
      <c r="F303" s="553"/>
      <c r="G303" s="553"/>
      <c r="H303" s="553"/>
      <c r="I303" s="553"/>
      <c r="J303" s="553"/>
      <c r="K303" s="553"/>
      <c r="L303" s="553"/>
      <c r="M303" s="553"/>
      <c r="N303" s="553"/>
      <c r="O303" s="553"/>
      <c r="P303" s="553"/>
      <c r="Q303" s="553"/>
      <c r="R303" s="553"/>
      <c r="S303" s="553"/>
      <c r="T303" s="553"/>
      <c r="U303" s="553"/>
    </row>
    <row r="304" spans="1:21" ht="15.75">
      <c r="A304" s="553"/>
      <c r="B304" s="553"/>
      <c r="C304" s="553"/>
      <c r="D304" s="553"/>
      <c r="E304" s="553"/>
      <c r="F304" s="553"/>
      <c r="G304" s="553"/>
      <c r="H304" s="553"/>
      <c r="I304" s="553"/>
      <c r="J304" s="553"/>
      <c r="K304" s="553"/>
      <c r="L304" s="553"/>
      <c r="M304" s="553"/>
      <c r="N304" s="553"/>
      <c r="O304" s="553"/>
      <c r="P304" s="553"/>
      <c r="Q304" s="553"/>
      <c r="R304" s="553"/>
      <c r="S304" s="553"/>
      <c r="T304" s="553"/>
      <c r="U304" s="553"/>
    </row>
    <row r="305" spans="1:21" ht="15.75">
      <c r="A305" s="553"/>
      <c r="B305" s="553"/>
      <c r="C305" s="553"/>
      <c r="D305" s="553"/>
      <c r="E305" s="553"/>
      <c r="F305" s="553"/>
      <c r="G305" s="553"/>
      <c r="H305" s="553"/>
      <c r="I305" s="553"/>
      <c r="J305" s="553"/>
      <c r="K305" s="553"/>
      <c r="L305" s="553"/>
      <c r="M305" s="553"/>
      <c r="N305" s="553"/>
      <c r="O305" s="553"/>
      <c r="P305" s="553"/>
      <c r="Q305" s="553"/>
      <c r="R305" s="553"/>
      <c r="S305" s="553"/>
      <c r="T305" s="553"/>
      <c r="U305" s="553"/>
    </row>
    <row r="306" spans="1:21" ht="15.75">
      <c r="A306" s="553"/>
      <c r="B306" s="553"/>
      <c r="C306" s="553"/>
      <c r="D306" s="553"/>
      <c r="E306" s="553"/>
      <c r="F306" s="553"/>
      <c r="G306" s="553"/>
      <c r="H306" s="553"/>
      <c r="I306" s="553"/>
      <c r="J306" s="553"/>
      <c r="K306" s="553"/>
      <c r="L306" s="553"/>
      <c r="M306" s="553"/>
      <c r="N306" s="553"/>
      <c r="O306" s="553"/>
      <c r="P306" s="553"/>
      <c r="Q306" s="553"/>
      <c r="R306" s="553"/>
      <c r="S306" s="553"/>
      <c r="T306" s="553"/>
      <c r="U306" s="553"/>
    </row>
    <row r="307" spans="1:21" ht="15.75">
      <c r="A307" s="553"/>
      <c r="B307" s="553"/>
      <c r="C307" s="553"/>
      <c r="D307" s="553"/>
      <c r="E307" s="553"/>
      <c r="F307" s="553"/>
      <c r="G307" s="553"/>
      <c r="H307" s="553"/>
      <c r="I307" s="553"/>
      <c r="J307" s="553"/>
      <c r="K307" s="553"/>
      <c r="L307" s="553"/>
      <c r="M307" s="553"/>
      <c r="N307" s="553"/>
      <c r="O307" s="553"/>
      <c r="P307" s="553"/>
      <c r="Q307" s="553"/>
      <c r="R307" s="553"/>
      <c r="S307" s="553"/>
      <c r="T307" s="553"/>
      <c r="U307" s="553"/>
    </row>
    <row r="308" spans="1:21" ht="15.75">
      <c r="A308" s="553"/>
      <c r="B308" s="553"/>
      <c r="C308" s="553"/>
      <c r="D308" s="553"/>
      <c r="E308" s="553"/>
      <c r="F308" s="553"/>
      <c r="G308" s="553"/>
      <c r="H308" s="553"/>
      <c r="I308" s="553"/>
      <c r="J308" s="553"/>
      <c r="K308" s="553"/>
      <c r="L308" s="553"/>
      <c r="M308" s="553"/>
      <c r="N308" s="553"/>
      <c r="O308" s="553"/>
      <c r="P308" s="553"/>
      <c r="Q308" s="553"/>
      <c r="R308" s="553"/>
      <c r="S308" s="553"/>
      <c r="T308" s="553"/>
      <c r="U308" s="553"/>
    </row>
    <row r="309" spans="1:21" ht="15.75">
      <c r="A309" s="553"/>
      <c r="B309" s="553"/>
      <c r="C309" s="553"/>
      <c r="D309" s="553"/>
      <c r="E309" s="553"/>
      <c r="F309" s="553"/>
      <c r="G309" s="553"/>
      <c r="H309" s="553"/>
      <c r="I309" s="553"/>
      <c r="J309" s="553"/>
      <c r="K309" s="553"/>
      <c r="L309" s="553"/>
      <c r="M309" s="553"/>
      <c r="N309" s="553"/>
      <c r="O309" s="553"/>
      <c r="P309" s="553"/>
      <c r="Q309" s="553"/>
      <c r="R309" s="553"/>
      <c r="S309" s="553"/>
      <c r="T309" s="553"/>
      <c r="U309" s="553"/>
    </row>
    <row r="310" spans="1:21" ht="15.75">
      <c r="A310" s="553"/>
      <c r="B310" s="553"/>
      <c r="C310" s="553"/>
      <c r="D310" s="553"/>
      <c r="E310" s="553"/>
      <c r="F310" s="553"/>
      <c r="G310" s="553"/>
      <c r="H310" s="553"/>
      <c r="I310" s="553"/>
      <c r="J310" s="553"/>
      <c r="K310" s="553"/>
      <c r="L310" s="553"/>
      <c r="M310" s="553"/>
      <c r="N310" s="553"/>
      <c r="O310" s="553"/>
      <c r="P310" s="553"/>
      <c r="Q310" s="553"/>
      <c r="R310" s="553"/>
      <c r="S310" s="553"/>
      <c r="T310" s="553"/>
      <c r="U310" s="553"/>
    </row>
    <row r="311" spans="1:21" ht="15.75">
      <c r="A311" s="553"/>
      <c r="B311" s="553"/>
      <c r="C311" s="553"/>
      <c r="D311" s="553"/>
      <c r="E311" s="553"/>
      <c r="F311" s="553"/>
      <c r="G311" s="553"/>
      <c r="H311" s="553"/>
      <c r="I311" s="553"/>
      <c r="J311" s="553"/>
      <c r="K311" s="553"/>
      <c r="L311" s="553"/>
      <c r="M311" s="553"/>
      <c r="N311" s="553"/>
      <c r="O311" s="553"/>
      <c r="P311" s="553"/>
      <c r="Q311" s="553"/>
      <c r="R311" s="553"/>
      <c r="S311" s="553"/>
      <c r="T311" s="553"/>
      <c r="U311" s="553"/>
    </row>
    <row r="312" spans="1:21" ht="15.75">
      <c r="A312" s="553"/>
      <c r="B312" s="553"/>
      <c r="C312" s="553"/>
      <c r="D312" s="553"/>
      <c r="E312" s="553"/>
      <c r="F312" s="553"/>
      <c r="G312" s="553"/>
      <c r="H312" s="553"/>
      <c r="I312" s="553"/>
      <c r="J312" s="553"/>
      <c r="K312" s="553"/>
      <c r="L312" s="553"/>
      <c r="M312" s="553"/>
      <c r="N312" s="553"/>
      <c r="O312" s="553"/>
      <c r="P312" s="553"/>
      <c r="Q312" s="553"/>
      <c r="R312" s="553"/>
      <c r="S312" s="553"/>
      <c r="T312" s="553"/>
      <c r="U312" s="553"/>
    </row>
    <row r="313" spans="1:21" ht="15.75">
      <c r="A313" s="553"/>
      <c r="B313" s="553"/>
      <c r="C313" s="553"/>
      <c r="D313" s="553"/>
      <c r="E313" s="553"/>
      <c r="F313" s="553"/>
      <c r="G313" s="553"/>
      <c r="H313" s="553"/>
      <c r="I313" s="553"/>
      <c r="J313" s="553"/>
      <c r="K313" s="553"/>
      <c r="L313" s="553"/>
      <c r="M313" s="553"/>
      <c r="N313" s="553"/>
      <c r="O313" s="553"/>
      <c r="P313" s="553"/>
      <c r="Q313" s="553"/>
      <c r="R313" s="553"/>
      <c r="S313" s="553"/>
      <c r="T313" s="553"/>
      <c r="U313" s="553"/>
    </row>
    <row r="314" spans="1:21" ht="15.75">
      <c r="A314" s="553"/>
      <c r="B314" s="553"/>
      <c r="C314" s="553"/>
      <c r="D314" s="553"/>
      <c r="E314" s="553"/>
      <c r="F314" s="553"/>
      <c r="G314" s="553"/>
      <c r="H314" s="553"/>
      <c r="I314" s="553"/>
      <c r="J314" s="553"/>
      <c r="K314" s="553"/>
      <c r="L314" s="553"/>
      <c r="M314" s="553"/>
      <c r="N314" s="553"/>
      <c r="O314" s="553"/>
      <c r="P314" s="553"/>
      <c r="Q314" s="553"/>
      <c r="R314" s="553"/>
      <c r="S314" s="553"/>
      <c r="T314" s="553"/>
      <c r="U314" s="553"/>
    </row>
    <row r="315" spans="1:21" ht="15.75">
      <c r="A315" s="553"/>
      <c r="B315" s="553"/>
      <c r="C315" s="553"/>
      <c r="D315" s="553"/>
      <c r="E315" s="553"/>
      <c r="F315" s="553"/>
      <c r="G315" s="553"/>
      <c r="H315" s="553"/>
      <c r="I315" s="553"/>
      <c r="J315" s="553"/>
      <c r="K315" s="553"/>
      <c r="L315" s="553"/>
      <c r="M315" s="553"/>
      <c r="N315" s="553"/>
      <c r="O315" s="553"/>
      <c r="P315" s="553"/>
      <c r="Q315" s="553"/>
      <c r="R315" s="553"/>
      <c r="S315" s="553"/>
      <c r="T315" s="553"/>
      <c r="U315" s="553"/>
    </row>
    <row r="316" spans="1:21" ht="15.75">
      <c r="A316" s="553"/>
      <c r="B316" s="553"/>
      <c r="C316" s="553"/>
      <c r="D316" s="553"/>
      <c r="E316" s="553"/>
      <c r="F316" s="553"/>
      <c r="G316" s="553"/>
      <c r="H316" s="553"/>
      <c r="I316" s="553"/>
      <c r="J316" s="553"/>
      <c r="K316" s="553"/>
      <c r="L316" s="553"/>
      <c r="M316" s="553"/>
      <c r="N316" s="553"/>
      <c r="O316" s="553"/>
      <c r="P316" s="553"/>
      <c r="Q316" s="553"/>
      <c r="R316" s="553"/>
      <c r="S316" s="553"/>
      <c r="T316" s="553"/>
      <c r="U316" s="553"/>
    </row>
    <row r="317" spans="1:21" ht="15.75">
      <c r="A317" s="553"/>
      <c r="B317" s="553"/>
      <c r="C317" s="553"/>
      <c r="D317" s="553"/>
      <c r="E317" s="553"/>
      <c r="F317" s="553"/>
      <c r="G317" s="553"/>
      <c r="H317" s="553"/>
      <c r="I317" s="553"/>
      <c r="J317" s="553"/>
      <c r="K317" s="553"/>
      <c r="L317" s="553"/>
      <c r="M317" s="553"/>
      <c r="N317" s="553"/>
      <c r="O317" s="553"/>
      <c r="P317" s="553"/>
      <c r="Q317" s="553"/>
      <c r="R317" s="553"/>
      <c r="S317" s="553"/>
      <c r="T317" s="553"/>
      <c r="U317" s="553"/>
    </row>
    <row r="318" spans="1:21" ht="15.75">
      <c r="A318" s="553"/>
      <c r="B318" s="553"/>
      <c r="C318" s="553"/>
      <c r="D318" s="553"/>
      <c r="E318" s="553"/>
      <c r="F318" s="553"/>
      <c r="G318" s="553"/>
      <c r="H318" s="553"/>
      <c r="I318" s="553"/>
      <c r="J318" s="553"/>
      <c r="K318" s="553"/>
      <c r="L318" s="553"/>
      <c r="M318" s="553"/>
      <c r="N318" s="553"/>
      <c r="O318" s="553"/>
      <c r="P318" s="553"/>
      <c r="Q318" s="553"/>
      <c r="R318" s="553"/>
      <c r="S318" s="553"/>
      <c r="T318" s="553"/>
      <c r="U318" s="553"/>
    </row>
    <row r="319" spans="1:21" ht="15.75">
      <c r="A319" s="553"/>
      <c r="B319" s="553"/>
      <c r="C319" s="553"/>
      <c r="D319" s="553"/>
      <c r="E319" s="553"/>
      <c r="F319" s="553"/>
      <c r="G319" s="553"/>
      <c r="H319" s="553"/>
      <c r="I319" s="553"/>
      <c r="J319" s="553"/>
      <c r="K319" s="553"/>
      <c r="L319" s="553"/>
      <c r="M319" s="553"/>
      <c r="N319" s="553"/>
      <c r="O319" s="553"/>
      <c r="P319" s="553"/>
      <c r="Q319" s="553"/>
      <c r="R319" s="553"/>
      <c r="S319" s="553"/>
      <c r="T319" s="553"/>
      <c r="U319" s="553"/>
    </row>
    <row r="320" spans="1:21" ht="15.75">
      <c r="A320" s="553"/>
      <c r="B320" s="553"/>
      <c r="C320" s="553"/>
      <c r="D320" s="553"/>
      <c r="E320" s="553"/>
      <c r="F320" s="553"/>
      <c r="G320" s="553"/>
      <c r="H320" s="553"/>
      <c r="I320" s="553"/>
      <c r="J320" s="553"/>
      <c r="K320" s="553"/>
      <c r="L320" s="553"/>
      <c r="M320" s="553"/>
      <c r="N320" s="553"/>
      <c r="O320" s="553"/>
      <c r="P320" s="553"/>
      <c r="Q320" s="553"/>
      <c r="R320" s="553"/>
      <c r="S320" s="553"/>
      <c r="T320" s="553"/>
      <c r="U320" s="553"/>
    </row>
    <row r="321" spans="1:21" ht="15.75">
      <c r="A321" s="553"/>
      <c r="B321" s="553"/>
      <c r="C321" s="553"/>
      <c r="D321" s="553"/>
      <c r="E321" s="553"/>
      <c r="F321" s="553"/>
      <c r="G321" s="553"/>
      <c r="H321" s="553"/>
      <c r="I321" s="553"/>
      <c r="J321" s="553"/>
      <c r="K321" s="553"/>
      <c r="L321" s="553"/>
      <c r="M321" s="553"/>
      <c r="N321" s="553"/>
      <c r="O321" s="553"/>
      <c r="P321" s="553"/>
      <c r="Q321" s="553"/>
      <c r="R321" s="553"/>
      <c r="S321" s="553"/>
      <c r="T321" s="553"/>
      <c r="U321" s="553"/>
    </row>
    <row r="322" spans="1:21" ht="15.75">
      <c r="A322" s="553"/>
      <c r="B322" s="553"/>
      <c r="C322" s="553"/>
      <c r="D322" s="553"/>
      <c r="E322" s="553"/>
      <c r="F322" s="553"/>
      <c r="G322" s="553"/>
      <c r="H322" s="553"/>
      <c r="I322" s="553"/>
      <c r="J322" s="553"/>
      <c r="K322" s="553"/>
      <c r="L322" s="553"/>
      <c r="M322" s="553"/>
      <c r="N322" s="553"/>
      <c r="O322" s="553"/>
      <c r="P322" s="553"/>
      <c r="Q322" s="553"/>
      <c r="R322" s="553"/>
      <c r="S322" s="553"/>
      <c r="T322" s="553"/>
      <c r="U322" s="553"/>
    </row>
    <row r="323" spans="1:21" ht="15.75">
      <c r="A323" s="553"/>
      <c r="B323" s="553"/>
      <c r="C323" s="553"/>
      <c r="D323" s="553"/>
      <c r="E323" s="553"/>
      <c r="F323" s="553"/>
      <c r="G323" s="553"/>
      <c r="H323" s="553"/>
      <c r="I323" s="553"/>
      <c r="J323" s="553"/>
      <c r="K323" s="553"/>
      <c r="L323" s="553"/>
      <c r="M323" s="553"/>
      <c r="N323" s="553"/>
      <c r="O323" s="553"/>
      <c r="P323" s="553"/>
      <c r="Q323" s="553"/>
      <c r="R323" s="553"/>
      <c r="S323" s="553"/>
      <c r="T323" s="553"/>
      <c r="U323" s="553"/>
    </row>
    <row r="324" spans="1:21" ht="15.75">
      <c r="A324" s="553"/>
      <c r="B324" s="553"/>
      <c r="C324" s="553"/>
      <c r="D324" s="553"/>
      <c r="E324" s="553"/>
      <c r="F324" s="553"/>
      <c r="G324" s="553"/>
      <c r="H324" s="553"/>
      <c r="I324" s="553"/>
      <c r="J324" s="553"/>
      <c r="K324" s="553"/>
      <c r="L324" s="553"/>
      <c r="M324" s="553"/>
      <c r="N324" s="553"/>
      <c r="O324" s="553"/>
      <c r="P324" s="553"/>
      <c r="Q324" s="553"/>
      <c r="R324" s="553"/>
      <c r="S324" s="553"/>
      <c r="T324" s="553"/>
      <c r="U324" s="553"/>
    </row>
    <row r="325" spans="1:21" ht="15.75">
      <c r="A325" s="553"/>
      <c r="B325" s="553"/>
      <c r="C325" s="553"/>
      <c r="D325" s="553"/>
      <c r="E325" s="553"/>
      <c r="F325" s="553"/>
      <c r="G325" s="553"/>
      <c r="H325" s="553"/>
      <c r="I325" s="553"/>
      <c r="J325" s="553"/>
      <c r="K325" s="553"/>
      <c r="L325" s="553"/>
      <c r="M325" s="553"/>
      <c r="N325" s="553"/>
      <c r="O325" s="553"/>
      <c r="P325" s="553"/>
      <c r="Q325" s="553"/>
      <c r="R325" s="553"/>
      <c r="S325" s="553"/>
      <c r="T325" s="553"/>
      <c r="U325" s="553"/>
    </row>
    <row r="326" spans="1:21" ht="15.75">
      <c r="A326" s="553"/>
      <c r="B326" s="553"/>
      <c r="C326" s="553"/>
      <c r="D326" s="553"/>
      <c r="E326" s="553"/>
      <c r="F326" s="553"/>
      <c r="G326" s="553"/>
      <c r="H326" s="553"/>
      <c r="I326" s="553"/>
      <c r="J326" s="553"/>
      <c r="K326" s="553"/>
      <c r="L326" s="553"/>
      <c r="M326" s="553"/>
      <c r="N326" s="553"/>
      <c r="O326" s="553"/>
      <c r="P326" s="553"/>
      <c r="Q326" s="553"/>
      <c r="R326" s="553"/>
      <c r="S326" s="553"/>
      <c r="T326" s="553"/>
      <c r="U326" s="553"/>
    </row>
    <row r="327" spans="1:21" ht="15.75">
      <c r="A327" s="553"/>
      <c r="B327" s="553"/>
      <c r="C327" s="553"/>
      <c r="D327" s="553"/>
      <c r="E327" s="553"/>
      <c r="F327" s="553"/>
      <c r="G327" s="553"/>
      <c r="H327" s="553"/>
      <c r="I327" s="553"/>
      <c r="J327" s="553"/>
      <c r="K327" s="553"/>
      <c r="L327" s="553"/>
      <c r="M327" s="553"/>
      <c r="N327" s="553"/>
      <c r="O327" s="553"/>
      <c r="P327" s="553"/>
      <c r="Q327" s="553"/>
      <c r="R327" s="553"/>
      <c r="S327" s="553"/>
      <c r="T327" s="553"/>
      <c r="U327" s="553"/>
    </row>
    <row r="328" spans="1:21" ht="15.75">
      <c r="A328" s="553"/>
      <c r="B328" s="553"/>
      <c r="C328" s="553"/>
      <c r="D328" s="553"/>
      <c r="E328" s="553"/>
      <c r="F328" s="553"/>
      <c r="G328" s="553"/>
      <c r="H328" s="553"/>
      <c r="I328" s="553"/>
      <c r="J328" s="553"/>
      <c r="K328" s="553"/>
      <c r="L328" s="553"/>
      <c r="M328" s="553"/>
      <c r="N328" s="553"/>
      <c r="O328" s="553"/>
      <c r="P328" s="553"/>
      <c r="Q328" s="553"/>
      <c r="R328" s="553"/>
      <c r="S328" s="553"/>
      <c r="T328" s="553"/>
      <c r="U328" s="553"/>
    </row>
    <row r="329" spans="1:21" ht="15.75">
      <c r="A329" s="553"/>
      <c r="B329" s="553"/>
      <c r="C329" s="553"/>
      <c r="D329" s="553"/>
      <c r="E329" s="553"/>
      <c r="F329" s="553"/>
      <c r="G329" s="553"/>
      <c r="H329" s="553"/>
      <c r="I329" s="553"/>
      <c r="J329" s="553"/>
      <c r="K329" s="553"/>
      <c r="L329" s="553"/>
      <c r="M329" s="553"/>
      <c r="N329" s="553"/>
      <c r="O329" s="553"/>
      <c r="P329" s="553"/>
      <c r="Q329" s="553"/>
      <c r="R329" s="553"/>
      <c r="S329" s="553"/>
      <c r="T329" s="553"/>
      <c r="U329" s="553"/>
    </row>
    <row r="330" spans="1:21" ht="15.75">
      <c r="A330" s="553"/>
      <c r="B330" s="553"/>
      <c r="C330" s="553"/>
      <c r="D330" s="553"/>
      <c r="E330" s="553"/>
      <c r="F330" s="553"/>
      <c r="G330" s="553"/>
      <c r="H330" s="553"/>
      <c r="I330" s="553"/>
      <c r="J330" s="553"/>
      <c r="K330" s="553"/>
      <c r="L330" s="553"/>
      <c r="M330" s="553"/>
      <c r="N330" s="553"/>
      <c r="O330" s="553"/>
      <c r="P330" s="553"/>
      <c r="Q330" s="553"/>
      <c r="R330" s="553"/>
      <c r="S330" s="553"/>
      <c r="T330" s="553"/>
      <c r="U330" s="553"/>
    </row>
    <row r="331" spans="1:21" ht="15.75">
      <c r="A331" s="553"/>
      <c r="B331" s="553"/>
      <c r="C331" s="553"/>
      <c r="D331" s="553"/>
      <c r="E331" s="553"/>
      <c r="F331" s="553"/>
      <c r="G331" s="553"/>
      <c r="H331" s="553"/>
      <c r="I331" s="553"/>
      <c r="J331" s="553"/>
      <c r="K331" s="553"/>
      <c r="L331" s="553"/>
      <c r="M331" s="553"/>
      <c r="N331" s="553"/>
      <c r="O331" s="553"/>
      <c r="P331" s="553"/>
      <c r="Q331" s="553"/>
      <c r="R331" s="553"/>
      <c r="S331" s="553"/>
      <c r="T331" s="553"/>
      <c r="U331" s="553"/>
    </row>
    <row r="332" spans="1:21" ht="15.75">
      <c r="A332" s="553"/>
      <c r="B332" s="553"/>
      <c r="C332" s="553"/>
      <c r="D332" s="553"/>
      <c r="E332" s="553"/>
      <c r="F332" s="553"/>
      <c r="G332" s="553"/>
      <c r="H332" s="553"/>
      <c r="I332" s="553"/>
      <c r="J332" s="553"/>
      <c r="K332" s="553"/>
      <c r="L332" s="553"/>
      <c r="M332" s="553"/>
      <c r="N332" s="553"/>
      <c r="O332" s="553"/>
      <c r="P332" s="553"/>
      <c r="Q332" s="553"/>
      <c r="R332" s="553"/>
      <c r="S332" s="553"/>
      <c r="T332" s="553"/>
      <c r="U332" s="553"/>
    </row>
    <row r="333" spans="1:21" ht="15.75">
      <c r="A333" s="553"/>
      <c r="B333" s="553"/>
      <c r="C333" s="553"/>
      <c r="D333" s="553"/>
      <c r="E333" s="553"/>
      <c r="F333" s="553"/>
      <c r="G333" s="553"/>
      <c r="H333" s="553"/>
      <c r="I333" s="553"/>
      <c r="J333" s="553"/>
      <c r="K333" s="553"/>
      <c r="L333" s="553"/>
      <c r="M333" s="553"/>
      <c r="N333" s="553"/>
      <c r="O333" s="553"/>
      <c r="P333" s="553"/>
      <c r="Q333" s="553"/>
      <c r="R333" s="553"/>
      <c r="S333" s="553"/>
      <c r="T333" s="553"/>
      <c r="U333" s="553"/>
    </row>
    <row r="334" spans="1:21" ht="15.75">
      <c r="A334" s="553"/>
      <c r="B334" s="553"/>
      <c r="C334" s="553"/>
      <c r="D334" s="553"/>
      <c r="E334" s="553"/>
      <c r="F334" s="553"/>
      <c r="G334" s="553"/>
      <c r="H334" s="553"/>
      <c r="I334" s="553"/>
      <c r="J334" s="553"/>
      <c r="K334" s="553"/>
      <c r="L334" s="553"/>
      <c r="M334" s="553"/>
      <c r="N334" s="553"/>
      <c r="O334" s="553"/>
      <c r="P334" s="553"/>
      <c r="Q334" s="553"/>
      <c r="R334" s="553"/>
      <c r="S334" s="553"/>
      <c r="T334" s="553"/>
      <c r="U334" s="553"/>
    </row>
    <row r="335" spans="1:21" ht="15.75">
      <c r="A335" s="553"/>
      <c r="B335" s="553"/>
      <c r="C335" s="553"/>
      <c r="D335" s="553"/>
      <c r="E335" s="553"/>
      <c r="F335" s="553"/>
      <c r="G335" s="553"/>
      <c r="H335" s="553"/>
      <c r="I335" s="553"/>
      <c r="J335" s="553"/>
      <c r="K335" s="553"/>
      <c r="L335" s="553"/>
      <c r="M335" s="553"/>
      <c r="N335" s="553"/>
      <c r="O335" s="553"/>
      <c r="P335" s="553"/>
      <c r="Q335" s="553"/>
      <c r="R335" s="553"/>
      <c r="S335" s="553"/>
      <c r="T335" s="553"/>
      <c r="U335" s="553"/>
    </row>
    <row r="336" spans="1:21" ht="15.75">
      <c r="A336" s="553"/>
      <c r="B336" s="553"/>
      <c r="C336" s="553"/>
      <c r="D336" s="553"/>
      <c r="E336" s="553"/>
      <c r="F336" s="553"/>
      <c r="G336" s="553"/>
      <c r="H336" s="553"/>
      <c r="I336" s="553"/>
      <c r="J336" s="553"/>
      <c r="K336" s="553"/>
      <c r="L336" s="553"/>
      <c r="M336" s="553"/>
      <c r="N336" s="553"/>
      <c r="O336" s="553"/>
      <c r="P336" s="553"/>
      <c r="Q336" s="553"/>
      <c r="R336" s="553"/>
      <c r="S336" s="553"/>
      <c r="T336" s="553"/>
      <c r="U336" s="553"/>
    </row>
    <row r="337" spans="1:21" ht="15.75">
      <c r="A337" s="553"/>
      <c r="B337" s="553"/>
      <c r="C337" s="553"/>
      <c r="D337" s="553"/>
      <c r="E337" s="553"/>
      <c r="F337" s="553"/>
      <c r="G337" s="553"/>
      <c r="H337" s="553"/>
      <c r="I337" s="553"/>
      <c r="J337" s="553"/>
      <c r="K337" s="553"/>
      <c r="L337" s="553"/>
      <c r="M337" s="553"/>
      <c r="N337" s="553"/>
      <c r="O337" s="553"/>
      <c r="P337" s="553"/>
      <c r="Q337" s="553"/>
      <c r="R337" s="553"/>
      <c r="S337" s="553"/>
      <c r="T337" s="553"/>
      <c r="U337" s="553"/>
    </row>
    <row r="338" spans="1:21" ht="15.75">
      <c r="A338" s="553"/>
      <c r="B338" s="553"/>
      <c r="C338" s="553"/>
      <c r="D338" s="553"/>
      <c r="E338" s="553"/>
      <c r="F338" s="553"/>
      <c r="G338" s="553"/>
      <c r="H338" s="553"/>
      <c r="I338" s="553"/>
      <c r="J338" s="553"/>
      <c r="K338" s="553"/>
      <c r="L338" s="553"/>
      <c r="M338" s="553"/>
      <c r="N338" s="553"/>
      <c r="O338" s="553"/>
      <c r="P338" s="553"/>
      <c r="Q338" s="553"/>
      <c r="R338" s="553"/>
      <c r="S338" s="553"/>
      <c r="T338" s="553"/>
      <c r="U338" s="553"/>
    </row>
    <row r="339" spans="1:21" ht="15.75">
      <c r="A339" s="553"/>
      <c r="B339" s="553"/>
      <c r="C339" s="553"/>
      <c r="D339" s="553"/>
      <c r="E339" s="553"/>
      <c r="F339" s="553"/>
      <c r="G339" s="553"/>
      <c r="H339" s="553"/>
      <c r="I339" s="553"/>
      <c r="J339" s="553"/>
      <c r="K339" s="553"/>
      <c r="L339" s="553"/>
      <c r="M339" s="553"/>
      <c r="N339" s="553"/>
      <c r="O339" s="553"/>
      <c r="P339" s="553"/>
      <c r="Q339" s="553"/>
      <c r="R339" s="553"/>
      <c r="S339" s="553"/>
      <c r="T339" s="553"/>
      <c r="U339" s="553"/>
    </row>
    <row r="340" spans="1:21" ht="15.75">
      <c r="A340" s="553"/>
      <c r="B340" s="553"/>
      <c r="C340" s="553"/>
      <c r="D340" s="553"/>
      <c r="E340" s="553"/>
      <c r="F340" s="553"/>
      <c r="G340" s="553"/>
      <c r="H340" s="553"/>
      <c r="I340" s="553"/>
      <c r="J340" s="553"/>
      <c r="K340" s="553"/>
      <c r="L340" s="553"/>
      <c r="M340" s="553"/>
      <c r="N340" s="553"/>
      <c r="O340" s="553"/>
      <c r="P340" s="553"/>
      <c r="Q340" s="553"/>
      <c r="R340" s="553"/>
      <c r="S340" s="553"/>
      <c r="T340" s="553"/>
      <c r="U340" s="553"/>
    </row>
    <row r="341" spans="1:21" ht="15.75">
      <c r="A341" s="553"/>
      <c r="B341" s="553"/>
      <c r="C341" s="553"/>
      <c r="D341" s="553"/>
      <c r="E341" s="553"/>
      <c r="F341" s="553"/>
      <c r="G341" s="553"/>
      <c r="H341" s="553"/>
      <c r="I341" s="553"/>
      <c r="J341" s="553"/>
      <c r="K341" s="553"/>
      <c r="L341" s="553"/>
      <c r="M341" s="553"/>
      <c r="N341" s="553"/>
      <c r="O341" s="553"/>
      <c r="P341" s="553"/>
      <c r="Q341" s="553"/>
      <c r="R341" s="553"/>
      <c r="S341" s="553"/>
      <c r="T341" s="553"/>
      <c r="U341" s="553"/>
    </row>
    <row r="342" spans="1:21" ht="15.75">
      <c r="A342" s="553"/>
      <c r="B342" s="553"/>
      <c r="C342" s="553"/>
      <c r="D342" s="553"/>
      <c r="E342" s="553"/>
      <c r="F342" s="553"/>
      <c r="G342" s="553"/>
      <c r="H342" s="553"/>
      <c r="I342" s="553"/>
      <c r="J342" s="553"/>
      <c r="K342" s="553"/>
      <c r="L342" s="553"/>
      <c r="M342" s="553"/>
      <c r="N342" s="553"/>
      <c r="O342" s="553"/>
      <c r="P342" s="553"/>
      <c r="Q342" s="553"/>
      <c r="R342" s="553"/>
      <c r="S342" s="553"/>
      <c r="T342" s="553"/>
      <c r="U342" s="553"/>
    </row>
    <row r="343" spans="1:21" ht="15.75">
      <c r="A343" s="553"/>
      <c r="B343" s="553"/>
      <c r="C343" s="553"/>
      <c r="D343" s="553"/>
      <c r="E343" s="553"/>
      <c r="F343" s="553"/>
      <c r="G343" s="553"/>
      <c r="H343" s="553"/>
      <c r="I343" s="553"/>
      <c r="J343" s="553"/>
      <c r="K343" s="553"/>
      <c r="L343" s="553"/>
      <c r="M343" s="553"/>
      <c r="N343" s="553"/>
      <c r="O343" s="553"/>
      <c r="P343" s="553"/>
      <c r="Q343" s="553"/>
      <c r="R343" s="553"/>
      <c r="S343" s="553"/>
      <c r="T343" s="553"/>
      <c r="U343" s="553"/>
    </row>
  </sheetData>
  <mergeCells count="9">
    <mergeCell ref="AH9:AI9"/>
    <mergeCell ref="C5:D5"/>
    <mergeCell ref="E5:F5"/>
    <mergeCell ref="T8:Y8"/>
    <mergeCell ref="AA8:AF8"/>
    <mergeCell ref="B9:C9"/>
    <mergeCell ref="H9:J9"/>
    <mergeCell ref="L9:M9"/>
    <mergeCell ref="N9:O9"/>
  </mergeCells>
  <printOptions headings="1" gridLines="1"/>
  <pageMargins left="0.2" right="0.2" top="0.75" bottom="0.75" header="0.3" footer="0.3"/>
  <pageSetup scale="84" fitToHeight="0" orientation="landscape" r:id="rId1"/>
  <headerFooter>
    <oddFooter>&amp;L&amp;D&amp;C&amp;A&amp;RPage &amp;P of &amp;N</oddFooter>
  </headerFooter>
  <rowBreaks count="3" manualBreakCount="3">
    <brk id="34" max="15" man="1"/>
    <brk id="58" max="15" man="1"/>
    <brk id="155" max="15"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F355-13A9-4E66-90AC-F9F76766FA35}">
  <dimension ref="A1:P231"/>
  <sheetViews>
    <sheetView workbookViewId="0">
      <pane ySplit="4" topLeftCell="A200" activePane="bottomLeft" state="frozen"/>
      <selection pane="bottomLeft" activeCell="K209" sqref="K209"/>
    </sheetView>
  </sheetViews>
  <sheetFormatPr defaultRowHeight="15"/>
  <cols>
    <col min="1" max="1" width="16.44140625" customWidth="1"/>
    <col min="2" max="2" width="11.109375" customWidth="1"/>
    <col min="3" max="3" width="13.33203125" customWidth="1"/>
    <col min="4" max="4" width="11.109375" customWidth="1"/>
    <col min="5" max="5" width="13.44140625" customWidth="1"/>
    <col min="6" max="6" width="11.109375" customWidth="1"/>
    <col min="7" max="7" width="13.21875" customWidth="1"/>
    <col min="8" max="10" width="11.109375" customWidth="1"/>
    <col min="11" max="11" width="10" customWidth="1"/>
    <col min="12" max="12" width="9.88671875" bestFit="1" customWidth="1"/>
    <col min="13" max="13" width="10.21875" customWidth="1"/>
    <col min="14" max="14" width="9.6640625" customWidth="1"/>
    <col min="15" max="15" width="8.77734375" customWidth="1"/>
  </cols>
  <sheetData>
    <row r="1" spans="1:16" ht="15.75">
      <c r="A1" s="28" t="s">
        <v>16</v>
      </c>
      <c r="B1" s="29"/>
      <c r="C1" s="29"/>
      <c r="D1" s="29"/>
      <c r="E1" s="29"/>
      <c r="F1" s="29"/>
      <c r="G1" s="29"/>
      <c r="H1" s="29"/>
      <c r="I1" s="29"/>
      <c r="J1" s="29"/>
      <c r="K1" s="29"/>
    </row>
    <row r="2" spans="1:16" ht="15.75">
      <c r="A2" s="28" t="s">
        <v>646</v>
      </c>
      <c r="B2" s="29"/>
      <c r="C2" s="29"/>
      <c r="D2" s="29"/>
      <c r="E2" s="29"/>
      <c r="F2" s="29"/>
      <c r="G2" s="29"/>
      <c r="H2" s="29"/>
      <c r="I2" s="29"/>
      <c r="J2" s="29"/>
      <c r="K2" s="29"/>
      <c r="L2" s="816" t="s">
        <v>1526</v>
      </c>
      <c r="M2" s="817"/>
    </row>
    <row r="3" spans="1:16" ht="15.75">
      <c r="A3" s="28" t="s">
        <v>680</v>
      </c>
      <c r="B3" s="29"/>
      <c r="C3" s="29"/>
      <c r="D3" s="29"/>
      <c r="E3" s="29"/>
      <c r="F3" s="29"/>
      <c r="G3" s="29"/>
      <c r="H3" s="29"/>
      <c r="I3" s="29"/>
      <c r="J3" s="29"/>
      <c r="K3" s="29"/>
    </row>
    <row r="4" spans="1:16" ht="15.75">
      <c r="A4" s="90" t="s">
        <v>647</v>
      </c>
      <c r="B4" s="91" t="s">
        <v>648</v>
      </c>
      <c r="C4" s="92" t="s">
        <v>649</v>
      </c>
      <c r="D4" s="92" t="s">
        <v>650</v>
      </c>
      <c r="E4" s="92" t="s">
        <v>651</v>
      </c>
      <c r="F4" s="93" t="s">
        <v>652</v>
      </c>
      <c r="G4" s="93" t="s">
        <v>653</v>
      </c>
      <c r="H4" s="92" t="s">
        <v>654</v>
      </c>
      <c r="I4" s="92" t="s">
        <v>655</v>
      </c>
      <c r="J4" s="93" t="s">
        <v>656</v>
      </c>
      <c r="K4" s="92" t="s">
        <v>648</v>
      </c>
      <c r="L4" s="110" t="s">
        <v>681</v>
      </c>
      <c r="M4" s="111" t="s">
        <v>682</v>
      </c>
      <c r="N4" s="672"/>
    </row>
    <row r="5" spans="1:16" ht="15.75">
      <c r="A5" s="95">
        <v>43260</v>
      </c>
      <c r="B5" s="96">
        <v>11464.63</v>
      </c>
      <c r="C5" s="96" t="s">
        <v>657</v>
      </c>
      <c r="D5" s="96">
        <v>3239.66</v>
      </c>
      <c r="E5" s="96">
        <v>2.6223000000000001</v>
      </c>
      <c r="F5" s="96">
        <v>8195.5</v>
      </c>
      <c r="G5" s="96">
        <v>787.25</v>
      </c>
      <c r="H5" s="96">
        <v>1600.38</v>
      </c>
      <c r="I5" s="96">
        <v>10.130000000000001</v>
      </c>
      <c r="J5" s="96">
        <v>0</v>
      </c>
      <c r="K5" s="96">
        <f t="shared" ref="K5:K68" si="0">SUM(F5:J5)</f>
        <v>10593.26</v>
      </c>
      <c r="L5" s="97">
        <f>SUM(K5:K7)</f>
        <v>11164.630000000001</v>
      </c>
      <c r="M5" s="94"/>
      <c r="N5" s="97"/>
      <c r="O5" s="97"/>
    </row>
    <row r="6" spans="1:16" ht="15.75">
      <c r="A6" s="95"/>
      <c r="B6" s="96"/>
      <c r="C6" s="96" t="s">
        <v>658</v>
      </c>
      <c r="D6" s="96">
        <v>170.655</v>
      </c>
      <c r="E6" s="96">
        <v>2.5203000000000002</v>
      </c>
      <c r="F6" s="96">
        <v>430.1</v>
      </c>
      <c r="G6" s="96">
        <v>31.22</v>
      </c>
      <c r="H6" s="96">
        <v>84.33</v>
      </c>
      <c r="I6" s="96">
        <v>0.54</v>
      </c>
      <c r="J6" s="96">
        <v>0</v>
      </c>
      <c r="K6" s="96">
        <f t="shared" si="0"/>
        <v>546.19000000000005</v>
      </c>
      <c r="L6" s="97"/>
      <c r="M6" s="94"/>
      <c r="N6" s="97"/>
      <c r="O6" s="97"/>
      <c r="P6" s="815"/>
    </row>
    <row r="7" spans="1:16" ht="15.75">
      <c r="A7" s="95"/>
      <c r="B7" s="96"/>
      <c r="C7" s="96" t="s">
        <v>659</v>
      </c>
      <c r="D7" s="96">
        <v>7.06</v>
      </c>
      <c r="E7" s="96">
        <v>3.2521</v>
      </c>
      <c r="F7" s="96">
        <v>22.96</v>
      </c>
      <c r="G7" s="96">
        <v>0</v>
      </c>
      <c r="H7" s="96">
        <v>0</v>
      </c>
      <c r="I7" s="96">
        <v>0</v>
      </c>
      <c r="J7" s="96">
        <v>2.2200000000000002</v>
      </c>
      <c r="K7" s="96">
        <f t="shared" si="0"/>
        <v>25.18</v>
      </c>
      <c r="L7" s="97"/>
      <c r="M7" s="94"/>
      <c r="N7" s="97"/>
      <c r="O7" s="97"/>
      <c r="P7" s="815"/>
    </row>
    <row r="8" spans="1:16" ht="15.75">
      <c r="A8" s="95">
        <v>43266</v>
      </c>
      <c r="B8" s="96">
        <v>3883.77</v>
      </c>
      <c r="C8" s="96" t="s">
        <v>657</v>
      </c>
      <c r="D8" s="96">
        <v>1135.3800000000001</v>
      </c>
      <c r="E8" s="96">
        <v>2.6804999999999999</v>
      </c>
      <c r="F8" s="96">
        <v>3043.41</v>
      </c>
      <c r="G8" s="96">
        <v>275.89999999999998</v>
      </c>
      <c r="H8" s="96">
        <v>560.89</v>
      </c>
      <c r="I8" s="96">
        <v>3.57</v>
      </c>
      <c r="J8" s="96">
        <v>0</v>
      </c>
      <c r="K8" s="96">
        <f t="shared" si="0"/>
        <v>3883.77</v>
      </c>
      <c r="L8" s="96"/>
      <c r="M8" s="97">
        <f>K8</f>
        <v>3883.77</v>
      </c>
      <c r="N8" s="97"/>
      <c r="O8" s="97"/>
      <c r="P8" s="815"/>
    </row>
    <row r="9" spans="1:16" ht="15.75">
      <c r="A9" s="95">
        <v>43267</v>
      </c>
      <c r="B9" s="96">
        <v>8759.73</v>
      </c>
      <c r="C9" s="96" t="s">
        <v>657</v>
      </c>
      <c r="D9" s="96">
        <v>2458.0700000000002</v>
      </c>
      <c r="E9" s="96">
        <v>2.6396000000000002</v>
      </c>
      <c r="F9" s="96">
        <v>6488.32</v>
      </c>
      <c r="G9" s="96">
        <v>597.29999999999995</v>
      </c>
      <c r="H9" s="96">
        <v>1214.26</v>
      </c>
      <c r="I9" s="96">
        <v>7.74</v>
      </c>
      <c r="J9" s="96">
        <v>0</v>
      </c>
      <c r="K9" s="96">
        <f t="shared" si="0"/>
        <v>8307.619999999999</v>
      </c>
      <c r="L9" s="97">
        <f>SUM(K9:K11)</f>
        <v>8759.68</v>
      </c>
      <c r="M9" s="94"/>
      <c r="N9" s="97"/>
      <c r="O9" s="97"/>
      <c r="P9" s="815"/>
    </row>
    <row r="10" spans="1:16" ht="15.75">
      <c r="A10" s="95"/>
      <c r="B10" s="96"/>
      <c r="C10" s="96" t="s">
        <v>658</v>
      </c>
      <c r="D10" s="96">
        <v>137.947</v>
      </c>
      <c r="E10" s="96">
        <v>2.4548000000000001</v>
      </c>
      <c r="F10" s="96">
        <v>338.63</v>
      </c>
      <c r="G10" s="96">
        <v>25.25</v>
      </c>
      <c r="H10" s="96">
        <v>68.150000000000006</v>
      </c>
      <c r="I10" s="96">
        <v>0.42</v>
      </c>
      <c r="J10" s="96">
        <v>0</v>
      </c>
      <c r="K10" s="96">
        <f t="shared" si="0"/>
        <v>432.45</v>
      </c>
      <c r="L10" s="97"/>
      <c r="M10" s="94"/>
      <c r="N10" s="97"/>
      <c r="O10" s="97"/>
      <c r="P10" s="815"/>
    </row>
    <row r="11" spans="1:16" ht="15.75">
      <c r="A11" s="95"/>
      <c r="B11" s="96"/>
      <c r="C11" s="96" t="s">
        <v>659</v>
      </c>
      <c r="D11" s="96">
        <v>5.5</v>
      </c>
      <c r="E11" s="96">
        <v>3.2509000000000001</v>
      </c>
      <c r="F11" s="96">
        <v>17.88</v>
      </c>
      <c r="G11" s="96">
        <v>0</v>
      </c>
      <c r="H11" s="96">
        <v>0</v>
      </c>
      <c r="I11" s="96">
        <v>0</v>
      </c>
      <c r="J11" s="96">
        <v>1.73</v>
      </c>
      <c r="K11" s="96">
        <f t="shared" si="0"/>
        <v>19.61</v>
      </c>
      <c r="L11" s="97"/>
      <c r="M11" s="94"/>
      <c r="N11" s="97"/>
      <c r="O11" s="97"/>
      <c r="P11" s="815"/>
    </row>
    <row r="12" spans="1:16" ht="15.75">
      <c r="A12" s="95">
        <v>43274</v>
      </c>
      <c r="B12" s="96">
        <v>9978.0499999999993</v>
      </c>
      <c r="C12" s="96" t="s">
        <v>657</v>
      </c>
      <c r="D12" s="96">
        <v>2859.62</v>
      </c>
      <c r="E12" s="96">
        <v>2.5924999999999998</v>
      </c>
      <c r="F12" s="96">
        <v>7413.64</v>
      </c>
      <c r="G12" s="96">
        <v>694.87</v>
      </c>
      <c r="H12" s="96">
        <v>1412.7</v>
      </c>
      <c r="I12" s="96">
        <v>8.9700000000000006</v>
      </c>
      <c r="J12" s="96">
        <v>0</v>
      </c>
      <c r="K12" s="96">
        <f t="shared" si="0"/>
        <v>9530.18</v>
      </c>
      <c r="L12" s="97">
        <v>9978.0499999999993</v>
      </c>
      <c r="M12" s="94"/>
      <c r="N12" s="97"/>
      <c r="O12" s="97"/>
      <c r="P12" s="815"/>
    </row>
    <row r="13" spans="1:16" ht="15.75">
      <c r="A13" s="95"/>
      <c r="B13" s="96"/>
      <c r="C13" s="96" t="s">
        <v>658</v>
      </c>
      <c r="D13" s="96">
        <v>138.60300000000001</v>
      </c>
      <c r="E13" s="96">
        <v>2.4159999999999999</v>
      </c>
      <c r="F13" s="96">
        <v>334.87</v>
      </c>
      <c r="G13" s="96">
        <v>25.38</v>
      </c>
      <c r="H13" s="96">
        <v>68.44</v>
      </c>
      <c r="I13" s="96">
        <v>0.42</v>
      </c>
      <c r="J13" s="96">
        <v>0</v>
      </c>
      <c r="K13" s="96">
        <f t="shared" si="0"/>
        <v>429.11</v>
      </c>
      <c r="L13" s="97"/>
      <c r="M13" s="94"/>
      <c r="N13" s="97"/>
      <c r="O13" s="97"/>
      <c r="P13" s="815"/>
    </row>
    <row r="14" spans="1:16" ht="15.75">
      <c r="A14" s="95"/>
      <c r="B14" s="96"/>
      <c r="C14" s="96" t="s">
        <v>659</v>
      </c>
      <c r="D14" s="96">
        <v>5.27</v>
      </c>
      <c r="E14" s="96">
        <v>3.2505000000000002</v>
      </c>
      <c r="F14" s="96">
        <v>17.13</v>
      </c>
      <c r="G14" s="96">
        <v>0</v>
      </c>
      <c r="H14" s="96">
        <v>0</v>
      </c>
      <c r="I14" s="96">
        <v>0</v>
      </c>
      <c r="J14" s="96">
        <v>1.66</v>
      </c>
      <c r="K14" s="96">
        <f t="shared" si="0"/>
        <v>18.79</v>
      </c>
      <c r="L14" s="97"/>
      <c r="M14" s="94"/>
      <c r="N14" s="97"/>
      <c r="O14" s="97"/>
      <c r="P14" s="815"/>
    </row>
    <row r="15" spans="1:16" ht="15.75">
      <c r="A15" s="95">
        <v>43281</v>
      </c>
      <c r="B15" s="96">
        <v>8801.6</v>
      </c>
      <c r="C15" s="96" t="s">
        <v>657</v>
      </c>
      <c r="D15" s="96">
        <v>2502.6799999999998</v>
      </c>
      <c r="E15" s="96">
        <v>2.58</v>
      </c>
      <c r="F15" s="96">
        <v>6456.91</v>
      </c>
      <c r="G15" s="96">
        <v>608.13</v>
      </c>
      <c r="H15" s="96">
        <v>1236.27</v>
      </c>
      <c r="I15" s="96">
        <v>7.8</v>
      </c>
      <c r="J15" s="96">
        <v>0</v>
      </c>
      <c r="K15" s="96">
        <f t="shared" si="0"/>
        <v>8309.1099999999988</v>
      </c>
      <c r="L15" s="97">
        <f>SUM(K15:K17)</f>
        <v>8801.6</v>
      </c>
      <c r="M15" s="94"/>
      <c r="N15" s="97"/>
      <c r="O15" s="97"/>
      <c r="P15" s="815"/>
    </row>
    <row r="16" spans="1:16" ht="15.75">
      <c r="A16" s="95"/>
      <c r="B16" s="96"/>
      <c r="C16" s="96" t="s">
        <v>658</v>
      </c>
      <c r="D16" s="96">
        <v>150.732</v>
      </c>
      <c r="E16" s="96">
        <v>2.4575999999999998</v>
      </c>
      <c r="F16" s="96">
        <v>370.44</v>
      </c>
      <c r="G16" s="96">
        <v>27.57</v>
      </c>
      <c r="H16" s="96">
        <v>74.47</v>
      </c>
      <c r="I16" s="96">
        <v>0.47</v>
      </c>
      <c r="J16" s="96">
        <v>0</v>
      </c>
      <c r="K16" s="96">
        <f t="shared" si="0"/>
        <v>472.95000000000005</v>
      </c>
      <c r="L16" s="97"/>
      <c r="M16" s="94"/>
      <c r="N16" s="97"/>
      <c r="O16" s="97"/>
      <c r="P16" s="815"/>
    </row>
    <row r="17" spans="1:16" ht="15.75">
      <c r="A17" s="95"/>
      <c r="B17" s="96"/>
      <c r="C17" s="96" t="s">
        <v>659</v>
      </c>
      <c r="D17" s="96">
        <v>5.48</v>
      </c>
      <c r="E17" s="96">
        <v>3.25</v>
      </c>
      <c r="F17" s="96">
        <v>17.809999999999999</v>
      </c>
      <c r="G17" s="96">
        <v>0</v>
      </c>
      <c r="H17" s="96">
        <v>0</v>
      </c>
      <c r="I17" s="96">
        <v>0</v>
      </c>
      <c r="J17" s="96">
        <v>1.73</v>
      </c>
      <c r="K17" s="96">
        <f t="shared" si="0"/>
        <v>19.54</v>
      </c>
      <c r="L17" s="97"/>
      <c r="M17" s="94"/>
      <c r="N17" s="97"/>
      <c r="O17" s="97"/>
      <c r="P17" s="815"/>
    </row>
    <row r="18" spans="1:16" ht="15.75">
      <c r="A18" s="95">
        <v>43281</v>
      </c>
      <c r="B18" s="96">
        <v>2916.62</v>
      </c>
      <c r="C18" s="96" t="s">
        <v>657</v>
      </c>
      <c r="D18" s="96">
        <v>863.82</v>
      </c>
      <c r="E18" s="96">
        <v>2.6362999999999999</v>
      </c>
      <c r="F18" s="96">
        <v>2277.2600000000002</v>
      </c>
      <c r="G18" s="96">
        <v>209.91</v>
      </c>
      <c r="H18" s="96">
        <v>426.72</v>
      </c>
      <c r="I18" s="96">
        <v>2.73</v>
      </c>
      <c r="J18" s="96">
        <v>0</v>
      </c>
      <c r="K18" s="96">
        <f t="shared" si="0"/>
        <v>2916.6200000000003</v>
      </c>
      <c r="L18" s="97"/>
      <c r="M18" s="97">
        <f>K18</f>
        <v>2916.6200000000003</v>
      </c>
      <c r="N18" s="97"/>
      <c r="O18" s="97"/>
      <c r="P18" s="815"/>
    </row>
    <row r="19" spans="1:16" ht="15.75">
      <c r="A19" s="95">
        <v>43288</v>
      </c>
      <c r="B19" s="96">
        <v>10178.950000000001</v>
      </c>
      <c r="C19" s="96" t="s">
        <v>657</v>
      </c>
      <c r="D19" s="96">
        <v>2964.94</v>
      </c>
      <c r="E19" s="96">
        <v>2.54</v>
      </c>
      <c r="F19" s="96">
        <v>7518.08</v>
      </c>
      <c r="G19" s="96">
        <v>720.54</v>
      </c>
      <c r="H19" s="96">
        <v>1464.73</v>
      </c>
      <c r="I19" s="96">
        <v>9.27</v>
      </c>
      <c r="J19" s="96">
        <v>0</v>
      </c>
      <c r="K19" s="96">
        <f t="shared" si="0"/>
        <v>9712.619999999999</v>
      </c>
      <c r="L19" s="97">
        <f>SUM(K19:K21)</f>
        <v>10178.949999999999</v>
      </c>
      <c r="M19" s="94"/>
      <c r="N19" s="97"/>
      <c r="O19" s="97"/>
      <c r="P19" s="815"/>
    </row>
    <row r="20" spans="1:16" ht="15.75">
      <c r="A20" s="95"/>
      <c r="B20" s="96"/>
      <c r="C20" s="96" t="s">
        <v>658</v>
      </c>
      <c r="D20" s="96">
        <v>136.35</v>
      </c>
      <c r="E20" s="96">
        <v>2.54</v>
      </c>
      <c r="F20" s="96">
        <v>345.79</v>
      </c>
      <c r="G20" s="96">
        <v>24.96</v>
      </c>
      <c r="H20" s="96">
        <v>67.36</v>
      </c>
      <c r="I20" s="96">
        <v>0.42</v>
      </c>
      <c r="J20" s="96">
        <v>0</v>
      </c>
      <c r="K20" s="96">
        <f t="shared" si="0"/>
        <v>438.53000000000003</v>
      </c>
      <c r="L20" s="97"/>
      <c r="M20" s="94"/>
      <c r="N20" s="97"/>
      <c r="O20" s="97"/>
      <c r="P20" s="815"/>
    </row>
    <row r="21" spans="1:16" ht="15.75">
      <c r="A21" s="95"/>
      <c r="B21" s="96"/>
      <c r="C21" s="96" t="s">
        <v>659</v>
      </c>
      <c r="D21" s="96">
        <v>7.8</v>
      </c>
      <c r="E21" s="96">
        <v>3.25</v>
      </c>
      <c r="F21" s="96">
        <v>25.34</v>
      </c>
      <c r="G21" s="96">
        <v>0</v>
      </c>
      <c r="H21" s="96">
        <v>0</v>
      </c>
      <c r="I21" s="96">
        <v>0</v>
      </c>
      <c r="J21" s="96">
        <v>2.46</v>
      </c>
      <c r="K21" s="96">
        <f t="shared" si="0"/>
        <v>27.8</v>
      </c>
      <c r="L21" s="97"/>
      <c r="M21" s="94"/>
      <c r="N21" s="97"/>
      <c r="O21" s="97"/>
      <c r="P21" s="815"/>
    </row>
    <row r="22" spans="1:16" ht="15.75">
      <c r="A22" s="95">
        <v>43295</v>
      </c>
      <c r="B22" s="96">
        <v>8195.83</v>
      </c>
      <c r="C22" s="96" t="s">
        <v>657</v>
      </c>
      <c r="D22" s="96">
        <v>2409.88</v>
      </c>
      <c r="E22" s="96">
        <v>2.44</v>
      </c>
      <c r="F22" s="96">
        <v>5869.39</v>
      </c>
      <c r="G22" s="96">
        <v>585.59</v>
      </c>
      <c r="H22" s="96">
        <v>1190.47</v>
      </c>
      <c r="I22" s="96">
        <v>7.6</v>
      </c>
      <c r="J22" s="96">
        <v>0</v>
      </c>
      <c r="K22" s="96">
        <f t="shared" si="0"/>
        <v>7653.0500000000011</v>
      </c>
      <c r="L22" s="97">
        <f>SUM(K22:K23)</f>
        <v>8195.8300000000017</v>
      </c>
      <c r="M22" s="94"/>
      <c r="N22" s="97"/>
      <c r="O22" s="97"/>
      <c r="P22" s="815"/>
    </row>
    <row r="23" spans="1:16" ht="15.75">
      <c r="A23" s="95"/>
      <c r="B23" s="96"/>
      <c r="C23" s="96" t="s">
        <v>658</v>
      </c>
      <c r="D23" s="96">
        <v>171.2</v>
      </c>
      <c r="E23" s="96">
        <v>2.4900000000000002</v>
      </c>
      <c r="F23" s="96">
        <v>426.31</v>
      </c>
      <c r="G23" s="96">
        <v>31.36</v>
      </c>
      <c r="H23" s="96">
        <v>84.57</v>
      </c>
      <c r="I23" s="96">
        <v>0.54</v>
      </c>
      <c r="J23" s="96">
        <v>0</v>
      </c>
      <c r="K23" s="96">
        <f t="shared" si="0"/>
        <v>542.78</v>
      </c>
      <c r="L23" s="97"/>
      <c r="M23" s="94"/>
      <c r="N23" s="97"/>
      <c r="O23" s="97"/>
      <c r="P23" s="815"/>
    </row>
    <row r="24" spans="1:16" ht="15.75">
      <c r="A24" s="95">
        <v>43296</v>
      </c>
      <c r="B24" s="96">
        <v>2986.12</v>
      </c>
      <c r="C24" s="96" t="s">
        <v>657</v>
      </c>
      <c r="D24" s="96">
        <v>910.37</v>
      </c>
      <c r="E24" s="96">
        <v>2.54</v>
      </c>
      <c r="F24" s="96">
        <v>2312.33</v>
      </c>
      <c r="G24" s="96">
        <v>221.22</v>
      </c>
      <c r="H24" s="96">
        <v>449.7</v>
      </c>
      <c r="I24" s="96">
        <v>2.87</v>
      </c>
      <c r="J24" s="96">
        <v>0</v>
      </c>
      <c r="K24" s="96">
        <f t="shared" si="0"/>
        <v>2986.1199999999994</v>
      </c>
      <c r="L24" s="97"/>
      <c r="M24" s="97">
        <f>K24</f>
        <v>2986.1199999999994</v>
      </c>
      <c r="N24" s="97"/>
      <c r="O24" s="97"/>
      <c r="P24" s="815"/>
    </row>
    <row r="25" spans="1:16" ht="15.75">
      <c r="A25" s="95">
        <v>43302</v>
      </c>
      <c r="B25" s="96">
        <v>8922.02</v>
      </c>
      <c r="C25" s="96" t="s">
        <v>657</v>
      </c>
      <c r="D25" s="96">
        <v>2737.36</v>
      </c>
      <c r="E25" s="96">
        <v>2.35</v>
      </c>
      <c r="F25" s="96">
        <v>6425.46</v>
      </c>
      <c r="G25" s="96">
        <v>665.17</v>
      </c>
      <c r="H25" s="96">
        <v>1352.27</v>
      </c>
      <c r="I25" s="96">
        <v>8.61</v>
      </c>
      <c r="J25" s="96">
        <v>0</v>
      </c>
      <c r="K25" s="96">
        <f t="shared" si="0"/>
        <v>8451.51</v>
      </c>
      <c r="L25" s="97">
        <f>SUM(K25:K26)</f>
        <v>8922.02</v>
      </c>
      <c r="M25" s="94"/>
      <c r="N25" s="97"/>
      <c r="O25" s="97"/>
      <c r="P25" s="815"/>
    </row>
    <row r="26" spans="1:16" ht="15.75">
      <c r="A26" s="95"/>
      <c r="B26" s="96"/>
      <c r="C26" s="96" t="s">
        <v>658</v>
      </c>
      <c r="D26" s="96">
        <v>151.59</v>
      </c>
      <c r="E26" s="96">
        <v>2.42</v>
      </c>
      <c r="F26" s="96">
        <v>367.42</v>
      </c>
      <c r="G26" s="96">
        <v>27.73</v>
      </c>
      <c r="H26" s="96">
        <v>74.89</v>
      </c>
      <c r="I26" s="96">
        <v>0.47</v>
      </c>
      <c r="J26" s="96">
        <v>0</v>
      </c>
      <c r="K26" s="96">
        <f t="shared" si="0"/>
        <v>470.51000000000005</v>
      </c>
      <c r="L26" s="97"/>
      <c r="M26" s="94"/>
      <c r="N26" s="97"/>
      <c r="O26" s="97"/>
      <c r="P26" s="815"/>
    </row>
    <row r="27" spans="1:16" ht="15.75">
      <c r="A27" s="95">
        <v>43312</v>
      </c>
      <c r="B27" s="96">
        <v>11531.99</v>
      </c>
      <c r="C27" s="96" t="s">
        <v>657</v>
      </c>
      <c r="D27" s="96">
        <v>3471.19</v>
      </c>
      <c r="E27" s="96">
        <v>2.39</v>
      </c>
      <c r="F27" s="96">
        <v>8295.0499999999993</v>
      </c>
      <c r="G27" s="96">
        <v>843.48</v>
      </c>
      <c r="H27" s="96">
        <v>1714.71</v>
      </c>
      <c r="I27" s="96">
        <v>10.87</v>
      </c>
      <c r="J27" s="96">
        <v>0</v>
      </c>
      <c r="K27" s="96">
        <f t="shared" si="0"/>
        <v>10864.109999999999</v>
      </c>
      <c r="L27" s="97">
        <f>SUM(K27:K28)</f>
        <v>11531.989999999998</v>
      </c>
      <c r="M27" s="94"/>
      <c r="N27" s="97"/>
      <c r="O27" s="97"/>
      <c r="P27" s="815"/>
    </row>
    <row r="28" spans="1:16" ht="15.75">
      <c r="A28" s="95"/>
      <c r="B28" s="96"/>
      <c r="C28" s="96" t="s">
        <v>658</v>
      </c>
      <c r="D28" s="96">
        <v>217.14</v>
      </c>
      <c r="E28" s="96">
        <v>2.4</v>
      </c>
      <c r="F28" s="96">
        <v>520.19000000000005</v>
      </c>
      <c r="G28" s="96">
        <v>39.74</v>
      </c>
      <c r="H28" s="96">
        <v>107.27</v>
      </c>
      <c r="I28" s="96">
        <v>0.68</v>
      </c>
      <c r="J28" s="96">
        <v>0</v>
      </c>
      <c r="K28" s="96">
        <f t="shared" si="0"/>
        <v>667.88</v>
      </c>
      <c r="L28" s="97"/>
      <c r="M28" s="94"/>
      <c r="N28" s="97"/>
      <c r="O28" s="97"/>
      <c r="P28" s="815"/>
    </row>
    <row r="29" spans="1:16" ht="15.75">
      <c r="A29" s="95">
        <v>43294</v>
      </c>
      <c r="B29" s="96">
        <v>3650.5</v>
      </c>
      <c r="C29" s="96" t="s">
        <v>657</v>
      </c>
      <c r="D29" s="96">
        <v>1162.54</v>
      </c>
      <c r="E29" s="96">
        <v>2.4</v>
      </c>
      <c r="F29" s="96">
        <v>2790.02</v>
      </c>
      <c r="G29" s="96">
        <v>282.52</v>
      </c>
      <c r="H29" s="96">
        <v>574.32000000000005</v>
      </c>
      <c r="I29" s="96">
        <v>3.64</v>
      </c>
      <c r="J29" s="96">
        <v>0</v>
      </c>
      <c r="K29" s="96">
        <f t="shared" si="0"/>
        <v>3650.5</v>
      </c>
      <c r="L29" s="97"/>
      <c r="M29" s="97">
        <f>K29</f>
        <v>3650.5</v>
      </c>
      <c r="N29" s="97"/>
      <c r="O29" s="97"/>
      <c r="P29" s="815"/>
    </row>
    <row r="30" spans="1:16" ht="15.75">
      <c r="A30" s="95">
        <v>43323</v>
      </c>
      <c r="B30" s="96">
        <v>13715.47</v>
      </c>
      <c r="C30" s="96" t="s">
        <v>657</v>
      </c>
      <c r="D30" s="96">
        <f>4137.11+24.09</f>
        <v>4161.2</v>
      </c>
      <c r="E30" s="96">
        <f>(2.37+2.52)/2</f>
        <v>2.4450000000000003</v>
      </c>
      <c r="F30" s="96">
        <f>9812.27+60.7</f>
        <v>9872.9700000000012</v>
      </c>
      <c r="G30" s="96">
        <f>1005.36+5.85</f>
        <v>1011.21</v>
      </c>
      <c r="H30" s="96">
        <f>2043.74+11.9</f>
        <v>2055.64</v>
      </c>
      <c r="I30" s="96">
        <f>13+0.08</f>
        <v>13.08</v>
      </c>
      <c r="J30" s="96">
        <v>0</v>
      </c>
      <c r="K30" s="96">
        <f t="shared" si="0"/>
        <v>12952.9</v>
      </c>
      <c r="L30" s="97">
        <f>SUM(K30:K32)</f>
        <v>13715.47</v>
      </c>
      <c r="M30" s="94"/>
      <c r="N30" s="97"/>
      <c r="O30" s="97"/>
      <c r="P30" s="815"/>
    </row>
    <row r="31" spans="1:16" ht="15.75">
      <c r="A31" s="95"/>
      <c r="B31" s="96"/>
      <c r="C31" s="96" t="s">
        <v>658</v>
      </c>
      <c r="D31" s="96">
        <v>248.38</v>
      </c>
      <c r="E31" s="96">
        <v>2.36</v>
      </c>
      <c r="F31" s="96">
        <v>587.27</v>
      </c>
      <c r="G31" s="96">
        <v>45.46</v>
      </c>
      <c r="H31" s="96">
        <v>122.69</v>
      </c>
      <c r="I31" s="96">
        <v>0.77</v>
      </c>
      <c r="J31" s="96">
        <v>0</v>
      </c>
      <c r="K31" s="96">
        <f t="shared" si="0"/>
        <v>756.19</v>
      </c>
      <c r="L31" s="97"/>
      <c r="M31" s="94"/>
      <c r="N31" s="97"/>
      <c r="O31" s="97"/>
      <c r="P31" s="815"/>
    </row>
    <row r="32" spans="1:16" ht="15.75">
      <c r="A32" s="95"/>
      <c r="B32" s="96"/>
      <c r="C32" s="96" t="s">
        <v>659</v>
      </c>
      <c r="D32" s="96">
        <v>1.79</v>
      </c>
      <c r="E32" s="96">
        <v>3.25</v>
      </c>
      <c r="F32" s="96">
        <v>5.82</v>
      </c>
      <c r="G32" s="96">
        <v>0</v>
      </c>
      <c r="H32" s="96">
        <v>0</v>
      </c>
      <c r="I32" s="96">
        <v>0</v>
      </c>
      <c r="J32" s="96">
        <v>0.56000000000000005</v>
      </c>
      <c r="K32" s="96">
        <f t="shared" si="0"/>
        <v>6.3800000000000008</v>
      </c>
      <c r="L32" s="97"/>
      <c r="M32" s="94"/>
      <c r="N32" s="97"/>
      <c r="O32" s="97"/>
      <c r="P32" s="815"/>
    </row>
    <row r="33" spans="1:16" ht="15.75">
      <c r="A33" s="95">
        <v>43327</v>
      </c>
      <c r="B33" s="96">
        <v>4084.94</v>
      </c>
      <c r="C33" s="96" t="s">
        <v>657</v>
      </c>
      <c r="D33" s="96">
        <v>1299.98</v>
      </c>
      <c r="E33" s="96">
        <v>2.4</v>
      </c>
      <c r="F33" s="96">
        <v>3122.76</v>
      </c>
      <c r="G33" s="96">
        <v>315.93</v>
      </c>
      <c r="H33" s="96">
        <v>642.17999999999995</v>
      </c>
      <c r="I33" s="96">
        <v>4.07</v>
      </c>
      <c r="J33" s="96">
        <v>0</v>
      </c>
      <c r="K33" s="96">
        <f t="shared" si="0"/>
        <v>4084.94</v>
      </c>
      <c r="L33" s="97"/>
      <c r="M33" s="97">
        <f>K33</f>
        <v>4084.94</v>
      </c>
      <c r="N33" s="97"/>
      <c r="O33" s="97"/>
      <c r="P33" s="815"/>
    </row>
    <row r="34" spans="1:16" ht="15.75">
      <c r="A34" s="95">
        <v>43330</v>
      </c>
      <c r="B34" s="96">
        <v>8383.2099999999991</v>
      </c>
      <c r="C34" s="96" t="s">
        <v>657</v>
      </c>
      <c r="D34" s="96">
        <v>2588.5100000000002</v>
      </c>
      <c r="E34" s="96">
        <v>2.3199999999999998</v>
      </c>
      <c r="F34" s="96">
        <v>6018.08</v>
      </c>
      <c r="G34" s="96">
        <v>629.02</v>
      </c>
      <c r="H34" s="96">
        <v>1278.71</v>
      </c>
      <c r="I34" s="96">
        <v>8.1300000000000008</v>
      </c>
      <c r="J34" s="96">
        <v>0</v>
      </c>
      <c r="K34" s="96">
        <f t="shared" si="0"/>
        <v>7933.9400000000005</v>
      </c>
      <c r="L34" s="97">
        <f>SUM(K34:K36)</f>
        <v>8383.2100000000009</v>
      </c>
      <c r="M34" s="94"/>
      <c r="N34" s="97"/>
      <c r="O34" s="97"/>
      <c r="P34" s="815"/>
    </row>
    <row r="35" spans="1:16" ht="15.75">
      <c r="A35" s="95"/>
      <c r="B35" s="96"/>
      <c r="C35" s="96" t="s">
        <v>658</v>
      </c>
      <c r="D35" s="96">
        <v>141.66</v>
      </c>
      <c r="E35" s="96">
        <v>2.37</v>
      </c>
      <c r="F35" s="96">
        <v>335.39</v>
      </c>
      <c r="G35" s="96">
        <v>25.95</v>
      </c>
      <c r="H35" s="96">
        <v>69.98</v>
      </c>
      <c r="I35" s="96">
        <v>0.45</v>
      </c>
      <c r="J35" s="96">
        <v>0</v>
      </c>
      <c r="K35" s="96">
        <f t="shared" si="0"/>
        <v>431.77</v>
      </c>
      <c r="L35" s="97"/>
      <c r="M35" s="94"/>
      <c r="N35" s="97"/>
      <c r="O35" s="97"/>
      <c r="P35" s="815"/>
    </row>
    <row r="36" spans="1:16" ht="15.75">
      <c r="A36" s="95"/>
      <c r="B36" s="96"/>
      <c r="C36" s="96" t="s">
        <v>659</v>
      </c>
      <c r="D36" s="96">
        <v>4.91</v>
      </c>
      <c r="E36" s="96">
        <v>3.25</v>
      </c>
      <c r="F36" s="96">
        <v>15.95</v>
      </c>
      <c r="G36" s="96">
        <v>0</v>
      </c>
      <c r="H36" s="96">
        <v>0</v>
      </c>
      <c r="I36" s="96">
        <v>0</v>
      </c>
      <c r="J36" s="96">
        <v>1.55</v>
      </c>
      <c r="K36" s="96">
        <f t="shared" si="0"/>
        <v>17.5</v>
      </c>
      <c r="L36" s="97"/>
      <c r="M36" s="94"/>
      <c r="N36" s="97"/>
      <c r="O36" s="97"/>
      <c r="P36" s="815"/>
    </row>
    <row r="37" spans="1:16" ht="15.75">
      <c r="A37" s="95">
        <v>43337</v>
      </c>
      <c r="B37" s="96">
        <v>8565.7199999999993</v>
      </c>
      <c r="C37" s="96" t="s">
        <v>657</v>
      </c>
      <c r="D37" s="96">
        <v>2623.53</v>
      </c>
      <c r="E37" s="96">
        <v>2.34</v>
      </c>
      <c r="F37" s="96">
        <v>6145.93</v>
      </c>
      <c r="G37" s="96">
        <v>637.51</v>
      </c>
      <c r="H37" s="96">
        <v>1296.01</v>
      </c>
      <c r="I37" s="96">
        <v>8.24</v>
      </c>
      <c r="J37" s="96">
        <v>0</v>
      </c>
      <c r="K37" s="96">
        <f t="shared" si="0"/>
        <v>8087.6900000000005</v>
      </c>
      <c r="L37" s="97">
        <f>SUM(K37:K39)</f>
        <v>8565.7200000000012</v>
      </c>
      <c r="M37" s="94"/>
      <c r="N37" s="97"/>
      <c r="O37" s="97"/>
      <c r="P37" s="815"/>
    </row>
    <row r="38" spans="1:16" ht="15.75">
      <c r="A38" s="95"/>
      <c r="B38" s="96"/>
      <c r="C38" s="96" t="s">
        <v>658</v>
      </c>
      <c r="D38" s="96">
        <v>148.44999999999999</v>
      </c>
      <c r="E38" s="96">
        <v>2.36</v>
      </c>
      <c r="F38" s="96">
        <v>350.21</v>
      </c>
      <c r="G38" s="96">
        <v>27.16</v>
      </c>
      <c r="H38" s="96">
        <v>73.34</v>
      </c>
      <c r="I38" s="96">
        <v>0.47</v>
      </c>
      <c r="J38" s="96">
        <v>0</v>
      </c>
      <c r="K38" s="96">
        <f t="shared" si="0"/>
        <v>451.18000000000006</v>
      </c>
      <c r="L38" s="97"/>
      <c r="M38" s="94"/>
      <c r="N38" s="97"/>
      <c r="O38" s="97"/>
      <c r="P38" s="815"/>
    </row>
    <row r="39" spans="1:16" ht="15.75">
      <c r="A39" s="95"/>
      <c r="B39" s="96"/>
      <c r="C39" s="96" t="s">
        <v>659</v>
      </c>
      <c r="D39" s="96">
        <v>7.53</v>
      </c>
      <c r="E39" s="96">
        <v>3.25</v>
      </c>
      <c r="F39" s="96">
        <v>24.47</v>
      </c>
      <c r="G39" s="96">
        <v>0</v>
      </c>
      <c r="H39" s="96">
        <v>0</v>
      </c>
      <c r="I39" s="96">
        <v>0</v>
      </c>
      <c r="J39" s="96">
        <v>2.38</v>
      </c>
      <c r="K39" s="96">
        <f t="shared" si="0"/>
        <v>26.849999999999998</v>
      </c>
      <c r="L39" s="97"/>
      <c r="M39" s="94"/>
      <c r="N39" s="97"/>
      <c r="O39" s="97"/>
      <c r="P39" s="815"/>
    </row>
    <row r="40" spans="1:16" ht="15.75">
      <c r="A40" s="95">
        <v>43340</v>
      </c>
      <c r="B40" s="127">
        <v>-4152.21</v>
      </c>
      <c r="C40" s="96" t="s">
        <v>683</v>
      </c>
      <c r="D40" s="96"/>
      <c r="E40" s="96"/>
      <c r="F40" s="96"/>
      <c r="G40" s="96"/>
      <c r="H40" s="96"/>
      <c r="I40" s="96"/>
      <c r="J40" s="96"/>
      <c r="K40" s="96">
        <f t="shared" si="0"/>
        <v>0</v>
      </c>
      <c r="L40" s="97"/>
      <c r="M40" s="94"/>
      <c r="N40" s="97"/>
      <c r="O40" s="97"/>
      <c r="P40" s="815"/>
    </row>
    <row r="41" spans="1:16" ht="15.75">
      <c r="A41" s="95">
        <v>43343</v>
      </c>
      <c r="B41" s="96">
        <v>3238.49</v>
      </c>
      <c r="C41" s="96" t="s">
        <v>657</v>
      </c>
      <c r="D41" s="96">
        <v>1034.19</v>
      </c>
      <c r="E41" s="96">
        <v>2.39</v>
      </c>
      <c r="F41" s="96">
        <v>2473.0500000000002</v>
      </c>
      <c r="G41" s="96">
        <v>251.32</v>
      </c>
      <c r="H41" s="96">
        <v>510.88</v>
      </c>
      <c r="I41" s="96">
        <v>3.24</v>
      </c>
      <c r="J41" s="96">
        <v>0</v>
      </c>
      <c r="K41" s="96">
        <f t="shared" si="0"/>
        <v>3238.4900000000002</v>
      </c>
      <c r="L41" s="97"/>
      <c r="M41" s="97">
        <f>K41</f>
        <v>3238.4900000000002</v>
      </c>
      <c r="N41" s="97"/>
      <c r="O41" s="97"/>
      <c r="P41" s="815"/>
    </row>
    <row r="42" spans="1:16" ht="15.75">
      <c r="A42" s="95">
        <v>43343</v>
      </c>
      <c r="B42" s="96">
        <v>8819.84</v>
      </c>
      <c r="C42" s="96" t="s">
        <v>657</v>
      </c>
      <c r="D42" s="96">
        <v>2617.59</v>
      </c>
      <c r="E42" s="96">
        <v>2.4300000000000002</v>
      </c>
      <c r="F42" s="96">
        <v>6361.13</v>
      </c>
      <c r="G42" s="96">
        <v>636.08000000000004</v>
      </c>
      <c r="H42" s="96">
        <v>1293.06</v>
      </c>
      <c r="I42" s="96">
        <v>8.18</v>
      </c>
      <c r="J42" s="96">
        <v>0</v>
      </c>
      <c r="K42" s="96">
        <f t="shared" si="0"/>
        <v>8298.4500000000007</v>
      </c>
      <c r="L42" s="97">
        <f>SUM(K42:K44)</f>
        <v>8819.840000000002</v>
      </c>
      <c r="M42" s="94"/>
      <c r="N42" s="97"/>
      <c r="O42" s="97"/>
      <c r="P42" s="815"/>
    </row>
    <row r="43" spans="1:16" ht="15.75">
      <c r="A43" s="95"/>
      <c r="B43" s="96"/>
      <c r="C43" s="96" t="s">
        <v>658</v>
      </c>
      <c r="D43" s="96">
        <v>160.54</v>
      </c>
      <c r="E43" s="96">
        <v>2.44</v>
      </c>
      <c r="F43" s="96">
        <v>392.19</v>
      </c>
      <c r="G43" s="96">
        <v>29.38</v>
      </c>
      <c r="H43" s="96">
        <v>79.28</v>
      </c>
      <c r="I43" s="96">
        <v>0.5</v>
      </c>
      <c r="J43" s="96">
        <v>0</v>
      </c>
      <c r="K43" s="96">
        <f t="shared" si="0"/>
        <v>501.35</v>
      </c>
      <c r="L43" s="97"/>
      <c r="M43" s="94"/>
      <c r="N43" s="97"/>
      <c r="O43" s="97"/>
      <c r="P43" s="815"/>
    </row>
    <row r="44" spans="1:16" ht="15.75">
      <c r="A44" s="95"/>
      <c r="B44" s="96"/>
      <c r="C44" s="96" t="s">
        <v>659</v>
      </c>
      <c r="D44" s="96">
        <v>5.62</v>
      </c>
      <c r="E44" s="96">
        <v>3.25</v>
      </c>
      <c r="F44" s="96">
        <v>18.260000000000002</v>
      </c>
      <c r="G44" s="96">
        <v>0</v>
      </c>
      <c r="H44" s="96">
        <v>0</v>
      </c>
      <c r="I44" s="96">
        <v>0</v>
      </c>
      <c r="J44" s="96">
        <v>1.78</v>
      </c>
      <c r="K44" s="96">
        <f t="shared" si="0"/>
        <v>20.040000000000003</v>
      </c>
      <c r="L44" s="97"/>
      <c r="M44" s="94"/>
      <c r="N44" s="97"/>
      <c r="O44" s="97"/>
      <c r="P44" s="815"/>
    </row>
    <row r="45" spans="1:16" ht="15.75">
      <c r="A45" s="95">
        <v>43351</v>
      </c>
      <c r="B45" s="96">
        <v>8291.73</v>
      </c>
      <c r="C45" s="96" t="s">
        <v>657</v>
      </c>
      <c r="D45" s="96">
        <v>2431.3200000000002</v>
      </c>
      <c r="E45" s="96">
        <v>2.4500000000000002</v>
      </c>
      <c r="F45" s="96">
        <v>5953.33</v>
      </c>
      <c r="G45" s="96">
        <v>590.77</v>
      </c>
      <c r="H45" s="96">
        <v>1201.04</v>
      </c>
      <c r="I45" s="96">
        <v>7.6</v>
      </c>
      <c r="J45" s="96">
        <v>0</v>
      </c>
      <c r="K45" s="96">
        <f t="shared" si="0"/>
        <v>7752.7400000000007</v>
      </c>
      <c r="L45" s="97">
        <f>SUM(K45:K47)</f>
        <v>8291.7300000000014</v>
      </c>
      <c r="M45" s="94"/>
      <c r="N45" s="97"/>
      <c r="O45" s="97"/>
      <c r="P45" s="815"/>
    </row>
    <row r="46" spans="1:16" ht="15.75">
      <c r="A46" s="95"/>
      <c r="B46" s="96"/>
      <c r="C46" s="96" t="s">
        <v>658</v>
      </c>
      <c r="D46" s="96">
        <v>152.51</v>
      </c>
      <c r="E46" s="96">
        <v>2.48</v>
      </c>
      <c r="F46" s="96">
        <v>377.91</v>
      </c>
      <c r="G46" s="96">
        <v>27.92</v>
      </c>
      <c r="H46" s="96">
        <v>75.33</v>
      </c>
      <c r="I46" s="96">
        <v>0.47</v>
      </c>
      <c r="J46" s="96">
        <v>0</v>
      </c>
      <c r="K46" s="96">
        <f t="shared" si="0"/>
        <v>481.63000000000005</v>
      </c>
      <c r="L46" s="97"/>
      <c r="M46" s="94"/>
      <c r="N46" s="97"/>
      <c r="O46" s="97"/>
      <c r="P46" s="815"/>
    </row>
    <row r="47" spans="1:16" ht="15.75">
      <c r="A47" s="95"/>
      <c r="B47" s="96"/>
      <c r="C47" s="96" t="s">
        <v>659</v>
      </c>
      <c r="D47" s="96">
        <v>16.09</v>
      </c>
      <c r="E47" s="96">
        <v>3.25</v>
      </c>
      <c r="F47" s="96">
        <v>52.29</v>
      </c>
      <c r="G47" s="96">
        <v>0</v>
      </c>
      <c r="H47" s="96">
        <v>0</v>
      </c>
      <c r="I47" s="96">
        <v>0</v>
      </c>
      <c r="J47" s="96">
        <v>5.07</v>
      </c>
      <c r="K47" s="96">
        <f t="shared" si="0"/>
        <v>57.36</v>
      </c>
      <c r="L47" s="97"/>
      <c r="M47" s="94"/>
      <c r="N47" s="97"/>
      <c r="O47" s="97"/>
      <c r="P47" s="815"/>
    </row>
    <row r="48" spans="1:16" ht="15.75">
      <c r="A48" s="95">
        <v>43358</v>
      </c>
      <c r="B48" s="96">
        <v>1988.34</v>
      </c>
      <c r="C48" s="96" t="s">
        <v>657</v>
      </c>
      <c r="D48" s="96">
        <v>615.37</v>
      </c>
      <c r="E48" s="96">
        <v>2.4900000000000002</v>
      </c>
      <c r="F48" s="96">
        <v>1532.88</v>
      </c>
      <c r="G48" s="96">
        <v>149.53</v>
      </c>
      <c r="H48" s="96">
        <v>303.99</v>
      </c>
      <c r="I48" s="96">
        <v>1.94</v>
      </c>
      <c r="J48" s="96">
        <v>0</v>
      </c>
      <c r="K48" s="96">
        <f t="shared" si="0"/>
        <v>1988.3400000000001</v>
      </c>
      <c r="L48" s="96"/>
      <c r="M48" s="97">
        <f>K48</f>
        <v>1988.3400000000001</v>
      </c>
      <c r="N48" s="97"/>
      <c r="O48" s="97"/>
      <c r="P48" s="815"/>
    </row>
    <row r="49" spans="1:16" ht="15.75">
      <c r="A49" s="95">
        <v>43358</v>
      </c>
      <c r="B49" s="96">
        <v>8996.3700000000008</v>
      </c>
      <c r="C49" s="96" t="s">
        <v>657</v>
      </c>
      <c r="D49" s="96">
        <v>2709.06</v>
      </c>
      <c r="E49" s="96">
        <v>2.4300000000000002</v>
      </c>
      <c r="F49" s="96">
        <v>6590.62</v>
      </c>
      <c r="G49" s="96">
        <v>658.3</v>
      </c>
      <c r="H49" s="96">
        <v>1338.28</v>
      </c>
      <c r="I49" s="96">
        <v>8.5</v>
      </c>
      <c r="J49" s="96">
        <v>0</v>
      </c>
      <c r="K49" s="96">
        <f t="shared" si="0"/>
        <v>8595.7000000000007</v>
      </c>
      <c r="L49" s="97">
        <f>SUM(K49:K51)</f>
        <v>8996.3700000000008</v>
      </c>
      <c r="M49" s="94"/>
      <c r="N49" s="97"/>
      <c r="O49" s="97"/>
      <c r="P49" s="815"/>
    </row>
    <row r="50" spans="1:16" ht="15.75">
      <c r="A50" s="95"/>
      <c r="B50" s="96"/>
      <c r="C50" s="96" t="s">
        <v>658</v>
      </c>
      <c r="D50" s="96">
        <v>118.56</v>
      </c>
      <c r="E50" s="96">
        <v>2.44</v>
      </c>
      <c r="F50" s="96">
        <v>289.39</v>
      </c>
      <c r="G50" s="96">
        <v>21.69</v>
      </c>
      <c r="H50" s="96">
        <v>58.56</v>
      </c>
      <c r="I50" s="96">
        <v>0.37</v>
      </c>
      <c r="J50" s="96">
        <v>0</v>
      </c>
      <c r="K50" s="96">
        <f t="shared" si="0"/>
        <v>370.01</v>
      </c>
      <c r="L50" s="97"/>
      <c r="M50" s="94"/>
      <c r="N50" s="97"/>
      <c r="O50" s="97"/>
      <c r="P50" s="815"/>
    </row>
    <row r="51" spans="1:16" ht="15.75">
      <c r="A51" s="95"/>
      <c r="B51" s="96"/>
      <c r="C51" s="96" t="s">
        <v>659</v>
      </c>
      <c r="D51" s="96">
        <v>8.6</v>
      </c>
      <c r="E51" s="96">
        <v>3.25</v>
      </c>
      <c r="F51" s="96">
        <v>27.95</v>
      </c>
      <c r="G51" s="96">
        <v>0</v>
      </c>
      <c r="H51" s="96">
        <v>0</v>
      </c>
      <c r="I51" s="96">
        <v>0</v>
      </c>
      <c r="J51" s="96">
        <v>2.71</v>
      </c>
      <c r="K51" s="96">
        <f t="shared" si="0"/>
        <v>30.66</v>
      </c>
      <c r="L51" s="97"/>
      <c r="M51" s="94"/>
      <c r="N51" s="97"/>
      <c r="O51" s="97"/>
      <c r="P51" s="815"/>
    </row>
    <row r="52" spans="1:16" ht="15.75">
      <c r="A52" s="95">
        <v>43365</v>
      </c>
      <c r="B52" s="96">
        <v>8194.0400000000009</v>
      </c>
      <c r="C52" s="96" t="s">
        <v>657</v>
      </c>
      <c r="D52" s="96">
        <v>2426.04</v>
      </c>
      <c r="E52" s="96">
        <v>2.41</v>
      </c>
      <c r="F52" s="96">
        <v>5840.9</v>
      </c>
      <c r="G52" s="96">
        <v>589.51</v>
      </c>
      <c r="H52" s="96">
        <v>1198.47</v>
      </c>
      <c r="I52" s="96">
        <v>7.61</v>
      </c>
      <c r="J52" s="96">
        <v>0</v>
      </c>
      <c r="K52" s="96">
        <f t="shared" si="0"/>
        <v>7636.49</v>
      </c>
      <c r="L52" s="97">
        <f>SUM(K52:K54)</f>
        <v>8194.0399999999991</v>
      </c>
      <c r="M52" s="94"/>
      <c r="N52" s="97"/>
      <c r="O52" s="97"/>
      <c r="P52" s="815"/>
    </row>
    <row r="53" spans="1:16" ht="15.75">
      <c r="A53" s="95"/>
      <c r="B53" s="96"/>
      <c r="C53" s="96" t="s">
        <v>658</v>
      </c>
      <c r="D53" s="96">
        <v>169.36</v>
      </c>
      <c r="E53" s="96">
        <v>2.4300000000000002</v>
      </c>
      <c r="F53" s="96">
        <v>411.63</v>
      </c>
      <c r="G53" s="96">
        <v>31</v>
      </c>
      <c r="H53" s="96">
        <v>83.65</v>
      </c>
      <c r="I53" s="96">
        <v>0.53</v>
      </c>
      <c r="J53" s="96">
        <v>0</v>
      </c>
      <c r="K53" s="96">
        <f t="shared" si="0"/>
        <v>526.80999999999995</v>
      </c>
      <c r="L53" s="97"/>
      <c r="M53" s="94"/>
      <c r="N53" s="97"/>
      <c r="O53" s="97"/>
      <c r="P53" s="815"/>
    </row>
    <row r="54" spans="1:16" ht="15.75">
      <c r="A54" s="95"/>
      <c r="B54" s="96"/>
      <c r="C54" s="96" t="s">
        <v>659</v>
      </c>
      <c r="D54" s="96">
        <v>8.6199999999999992</v>
      </c>
      <c r="E54" s="96">
        <v>3.25</v>
      </c>
      <c r="F54" s="96">
        <v>28.03</v>
      </c>
      <c r="G54" s="96">
        <v>0</v>
      </c>
      <c r="H54" s="96">
        <v>0</v>
      </c>
      <c r="I54" s="96">
        <v>0</v>
      </c>
      <c r="J54" s="96">
        <v>2.71</v>
      </c>
      <c r="K54" s="96">
        <f t="shared" si="0"/>
        <v>30.740000000000002</v>
      </c>
      <c r="L54" s="97"/>
      <c r="M54" s="94"/>
      <c r="N54" s="97"/>
      <c r="O54" s="97"/>
      <c r="P54" s="815"/>
    </row>
    <row r="55" spans="1:16" ht="15.75">
      <c r="A55" s="95">
        <v>43373</v>
      </c>
      <c r="B55" s="96">
        <v>2945.03</v>
      </c>
      <c r="C55" s="96" t="s">
        <v>657</v>
      </c>
      <c r="D55" s="96">
        <v>919.21</v>
      </c>
      <c r="E55" s="96">
        <v>2.46</v>
      </c>
      <c r="F55" s="96">
        <v>2264.6999999999998</v>
      </c>
      <c r="G55" s="96">
        <v>223.36</v>
      </c>
      <c r="H55" s="96">
        <v>454.08</v>
      </c>
      <c r="I55" s="96">
        <v>2.89</v>
      </c>
      <c r="J55" s="96">
        <v>0</v>
      </c>
      <c r="K55" s="96">
        <f t="shared" si="0"/>
        <v>2945.0299999999997</v>
      </c>
      <c r="L55" s="96"/>
      <c r="M55" s="97">
        <f>K55</f>
        <v>2945.0299999999997</v>
      </c>
      <c r="N55" s="97"/>
      <c r="O55" s="97"/>
      <c r="P55" s="815"/>
    </row>
    <row r="56" spans="1:16" ht="15.75">
      <c r="A56" s="95">
        <v>43373</v>
      </c>
      <c r="B56" s="96">
        <v>10030.23</v>
      </c>
      <c r="C56" s="96" t="s">
        <v>657</v>
      </c>
      <c r="D56" s="96">
        <v>2936.57</v>
      </c>
      <c r="E56" s="96">
        <v>2.4900000000000002</v>
      </c>
      <c r="F56" s="96">
        <v>7299.85</v>
      </c>
      <c r="G56" s="96">
        <v>713.54</v>
      </c>
      <c r="H56" s="96">
        <v>1450.7</v>
      </c>
      <c r="I56" s="96">
        <v>9.19</v>
      </c>
      <c r="J56" s="96">
        <v>0</v>
      </c>
      <c r="K56" s="96">
        <f t="shared" si="0"/>
        <v>9473.2800000000007</v>
      </c>
      <c r="L56" s="97">
        <f>SUM(K56:K58)</f>
        <v>10030.23</v>
      </c>
      <c r="M56" s="94"/>
      <c r="N56" s="97"/>
      <c r="O56" s="97"/>
      <c r="P56" s="815"/>
    </row>
    <row r="57" spans="1:16" ht="15.75">
      <c r="A57" s="95"/>
      <c r="B57" s="96"/>
      <c r="C57" s="96" t="s">
        <v>658</v>
      </c>
      <c r="D57" s="96">
        <v>168.19</v>
      </c>
      <c r="E57" s="96">
        <v>2.48</v>
      </c>
      <c r="F57" s="96">
        <v>416.48</v>
      </c>
      <c r="G57" s="96">
        <v>30.8</v>
      </c>
      <c r="H57" s="96">
        <v>83.09</v>
      </c>
      <c r="I57" s="96">
        <v>0.52</v>
      </c>
      <c r="J57" s="96">
        <v>0</v>
      </c>
      <c r="K57" s="96">
        <f t="shared" si="0"/>
        <v>530.89</v>
      </c>
      <c r="L57" s="97"/>
      <c r="M57" s="94"/>
      <c r="N57" s="97"/>
      <c r="O57" s="97"/>
      <c r="P57" s="815"/>
    </row>
    <row r="58" spans="1:16" ht="15.75">
      <c r="A58" s="95"/>
      <c r="B58" s="96"/>
      <c r="C58" s="96" t="s">
        <v>659</v>
      </c>
      <c r="D58" s="96">
        <v>7.31</v>
      </c>
      <c r="E58" s="96">
        <v>3.25</v>
      </c>
      <c r="F58" s="96">
        <v>23.76</v>
      </c>
      <c r="G58" s="96">
        <v>0</v>
      </c>
      <c r="H58" s="96">
        <v>0</v>
      </c>
      <c r="I58" s="96">
        <v>0</v>
      </c>
      <c r="J58" s="96">
        <v>2.2999999999999998</v>
      </c>
      <c r="K58" s="96">
        <f t="shared" si="0"/>
        <v>26.060000000000002</v>
      </c>
      <c r="L58" s="97"/>
      <c r="M58" s="94"/>
      <c r="N58" s="97"/>
      <c r="O58" s="97"/>
      <c r="P58" s="815"/>
    </row>
    <row r="59" spans="1:16" ht="15.75">
      <c r="A59" s="95">
        <v>43379</v>
      </c>
      <c r="B59" s="96">
        <v>7869.72</v>
      </c>
      <c r="C59" s="96" t="s">
        <v>657</v>
      </c>
      <c r="D59" s="96">
        <v>2246.4</v>
      </c>
      <c r="E59" s="96">
        <v>2.6</v>
      </c>
      <c r="F59" s="96">
        <v>5840.04</v>
      </c>
      <c r="G59" s="96">
        <v>545.85</v>
      </c>
      <c r="H59" s="96">
        <v>1109.7</v>
      </c>
      <c r="I59" s="96">
        <v>7.02</v>
      </c>
      <c r="J59" s="96">
        <v>0</v>
      </c>
      <c r="K59" s="96">
        <f t="shared" si="0"/>
        <v>7502.6100000000006</v>
      </c>
      <c r="L59" s="97">
        <f>SUM(K59:K61)</f>
        <v>7869.7200000000012</v>
      </c>
      <c r="M59" s="94"/>
      <c r="N59" s="97"/>
      <c r="O59" s="97"/>
      <c r="P59" s="815"/>
    </row>
    <row r="60" spans="1:16" ht="15.75">
      <c r="A60" s="95"/>
      <c r="B60" s="96"/>
      <c r="C60" s="96" t="s">
        <v>658</v>
      </c>
      <c r="D60" s="96">
        <v>107.25</v>
      </c>
      <c r="E60" s="96">
        <v>2.56</v>
      </c>
      <c r="F60" s="96">
        <v>274.7</v>
      </c>
      <c r="G60" s="96">
        <v>19.62</v>
      </c>
      <c r="H60" s="96">
        <v>52.98</v>
      </c>
      <c r="I60" s="96">
        <v>0.34</v>
      </c>
      <c r="J60" s="96">
        <v>0</v>
      </c>
      <c r="K60" s="96">
        <f t="shared" si="0"/>
        <v>347.64</v>
      </c>
      <c r="L60" s="97"/>
      <c r="M60" s="94"/>
      <c r="N60" s="97"/>
      <c r="O60" s="97"/>
      <c r="P60" s="815"/>
    </row>
    <row r="61" spans="1:16" ht="15.75">
      <c r="A61" s="95"/>
      <c r="B61" s="96"/>
      <c r="C61" s="96" t="s">
        <v>659</v>
      </c>
      <c r="D61" s="96">
        <v>5.46</v>
      </c>
      <c r="E61" s="96">
        <v>3.25</v>
      </c>
      <c r="F61" s="96">
        <v>17.75</v>
      </c>
      <c r="G61" s="96">
        <v>0</v>
      </c>
      <c r="H61" s="96">
        <v>0</v>
      </c>
      <c r="I61" s="96">
        <v>0</v>
      </c>
      <c r="J61" s="96">
        <v>1.72</v>
      </c>
      <c r="K61" s="96">
        <f t="shared" si="0"/>
        <v>19.47</v>
      </c>
      <c r="L61" s="97"/>
      <c r="M61" s="94"/>
      <c r="N61" s="97"/>
      <c r="O61" s="97"/>
      <c r="P61" s="815"/>
    </row>
    <row r="62" spans="1:16" ht="15.75">
      <c r="A62" s="95">
        <v>43386</v>
      </c>
      <c r="B62" s="96">
        <v>7154.98</v>
      </c>
      <c r="C62" s="96" t="s">
        <v>657</v>
      </c>
      <c r="D62" s="96">
        <v>1942.77</v>
      </c>
      <c r="E62" s="96">
        <v>2.62</v>
      </c>
      <c r="F62" s="96">
        <v>5093.66</v>
      </c>
      <c r="G62" s="96">
        <v>472.09</v>
      </c>
      <c r="H62" s="96">
        <v>959.77</v>
      </c>
      <c r="I62" s="96">
        <v>6.1</v>
      </c>
      <c r="J62" s="96">
        <v>0</v>
      </c>
      <c r="K62" s="96">
        <f t="shared" si="0"/>
        <v>6531.6200000000008</v>
      </c>
      <c r="L62" s="97">
        <f>SUM(K62:K64)</f>
        <v>7154.9800000000014</v>
      </c>
      <c r="M62" s="94"/>
      <c r="N62" s="97"/>
      <c r="O62" s="97"/>
      <c r="P62" s="815"/>
    </row>
    <row r="63" spans="1:16" ht="15.75">
      <c r="A63" s="95"/>
      <c r="B63" s="96"/>
      <c r="C63" s="96" t="s">
        <v>658</v>
      </c>
      <c r="D63" s="96">
        <v>176.47</v>
      </c>
      <c r="E63" s="96">
        <v>2.62</v>
      </c>
      <c r="F63" s="96">
        <v>462.12</v>
      </c>
      <c r="G63" s="96">
        <v>32.32</v>
      </c>
      <c r="H63" s="96">
        <v>87.21</v>
      </c>
      <c r="I63" s="96">
        <v>0.56999999999999995</v>
      </c>
      <c r="J63" s="96">
        <v>0</v>
      </c>
      <c r="K63" s="96">
        <f t="shared" si="0"/>
        <v>582.22</v>
      </c>
      <c r="L63" s="97"/>
      <c r="M63" s="94"/>
      <c r="N63" s="97"/>
      <c r="O63" s="97"/>
      <c r="P63" s="815"/>
    </row>
    <row r="64" spans="1:16" ht="15.75">
      <c r="A64" s="95"/>
      <c r="B64" s="96"/>
      <c r="C64" s="96" t="s">
        <v>659</v>
      </c>
      <c r="D64" s="96">
        <v>11.54</v>
      </c>
      <c r="E64" s="96">
        <v>3.25</v>
      </c>
      <c r="F64" s="96">
        <v>37.5</v>
      </c>
      <c r="G64" s="96">
        <v>0</v>
      </c>
      <c r="H64" s="96">
        <v>0</v>
      </c>
      <c r="I64" s="96">
        <v>0</v>
      </c>
      <c r="J64" s="96">
        <v>3.64</v>
      </c>
      <c r="K64" s="96">
        <f t="shared" si="0"/>
        <v>41.14</v>
      </c>
      <c r="L64" s="97"/>
      <c r="M64" s="94"/>
      <c r="N64" s="97"/>
      <c r="O64" s="97"/>
      <c r="P64" s="815"/>
    </row>
    <row r="65" spans="1:16" ht="15.75">
      <c r="A65" s="95">
        <v>43388</v>
      </c>
      <c r="B65" s="96">
        <v>3449.22</v>
      </c>
      <c r="C65" s="96" t="s">
        <v>657</v>
      </c>
      <c r="D65" s="96">
        <v>1018.4</v>
      </c>
      <c r="E65" s="96">
        <v>2.65</v>
      </c>
      <c r="F65" s="96">
        <v>2695.44</v>
      </c>
      <c r="G65" s="96">
        <v>247.49</v>
      </c>
      <c r="H65" s="96">
        <v>503.09</v>
      </c>
      <c r="I65" s="96">
        <v>3.2</v>
      </c>
      <c r="J65" s="96">
        <v>0</v>
      </c>
      <c r="K65" s="96">
        <f t="shared" si="0"/>
        <v>3449.2200000000003</v>
      </c>
      <c r="L65" s="96"/>
      <c r="M65" s="97">
        <f>K65</f>
        <v>3449.2200000000003</v>
      </c>
      <c r="N65" s="97"/>
      <c r="O65" s="97"/>
      <c r="P65" s="815"/>
    </row>
    <row r="66" spans="1:16" ht="15.75">
      <c r="A66" s="95">
        <v>43393</v>
      </c>
      <c r="B66" s="96">
        <v>12171.57</v>
      </c>
      <c r="C66" s="96" t="s">
        <v>657</v>
      </c>
      <c r="D66" s="96">
        <v>3440.25</v>
      </c>
      <c r="E66" s="96">
        <v>2.63</v>
      </c>
      <c r="F66" s="96">
        <v>9046.76</v>
      </c>
      <c r="G66" s="96">
        <v>835.95</v>
      </c>
      <c r="H66" s="96">
        <v>1699.5</v>
      </c>
      <c r="I66" s="96">
        <v>10.81</v>
      </c>
      <c r="J66" s="96">
        <v>0</v>
      </c>
      <c r="K66" s="96">
        <f t="shared" si="0"/>
        <v>11593.02</v>
      </c>
      <c r="L66" s="97">
        <f>SUM(K66:K67)</f>
        <v>12171.57</v>
      </c>
      <c r="M66" s="94"/>
      <c r="N66" s="97"/>
      <c r="O66" s="97"/>
      <c r="P66" s="815"/>
    </row>
    <row r="67" spans="1:16" ht="15.75">
      <c r="A67" s="95"/>
      <c r="B67" s="96"/>
      <c r="C67" s="96" t="s">
        <v>658</v>
      </c>
      <c r="D67" s="96">
        <v>173.72</v>
      </c>
      <c r="E67" s="96">
        <v>2.65</v>
      </c>
      <c r="F67" s="96">
        <v>460.4</v>
      </c>
      <c r="G67" s="96">
        <v>31.8</v>
      </c>
      <c r="H67" s="96">
        <v>85.8</v>
      </c>
      <c r="I67" s="96">
        <v>0.55000000000000004</v>
      </c>
      <c r="J67" s="96">
        <v>0</v>
      </c>
      <c r="K67" s="96">
        <f t="shared" si="0"/>
        <v>578.54999999999995</v>
      </c>
      <c r="L67" s="97"/>
      <c r="M67" s="94"/>
      <c r="N67" s="97"/>
      <c r="O67" s="97"/>
      <c r="P67" s="815"/>
    </row>
    <row r="68" spans="1:16" ht="15.75">
      <c r="A68" s="95">
        <v>43404</v>
      </c>
      <c r="B68" s="96">
        <v>640.5</v>
      </c>
      <c r="C68" s="96" t="s">
        <v>657</v>
      </c>
      <c r="D68" s="96">
        <v>188.1</v>
      </c>
      <c r="E68" s="96">
        <v>2.67</v>
      </c>
      <c r="F68" s="96">
        <v>501.28</v>
      </c>
      <c r="G68" s="96">
        <v>45.71</v>
      </c>
      <c r="H68" s="96">
        <v>92.92</v>
      </c>
      <c r="I68" s="96">
        <v>0.59</v>
      </c>
      <c r="J68" s="96"/>
      <c r="K68" s="96">
        <f t="shared" si="0"/>
        <v>640.5</v>
      </c>
      <c r="L68" s="96"/>
      <c r="M68" s="97">
        <f>K68</f>
        <v>640.5</v>
      </c>
      <c r="N68" s="97"/>
      <c r="O68" s="97"/>
      <c r="P68" s="815"/>
    </row>
    <row r="69" spans="1:16" ht="15.75">
      <c r="A69" s="95">
        <v>43404</v>
      </c>
      <c r="B69" s="96">
        <v>15384.95</v>
      </c>
      <c r="C69" s="96" t="s">
        <v>657</v>
      </c>
      <c r="D69" s="96">
        <v>4340.43</v>
      </c>
      <c r="E69" s="96">
        <v>2.59</v>
      </c>
      <c r="F69" s="96">
        <v>11253.12</v>
      </c>
      <c r="G69" s="96">
        <v>1054.73</v>
      </c>
      <c r="H69" s="96">
        <v>2144.17</v>
      </c>
      <c r="I69" s="96">
        <v>13.69</v>
      </c>
      <c r="J69" s="96">
        <v>0</v>
      </c>
      <c r="K69" s="96">
        <f t="shared" ref="K69:K97" si="1">SUM(F69:J69)</f>
        <v>14465.710000000001</v>
      </c>
      <c r="L69" s="97">
        <f>SUM(K69:K71)</f>
        <v>15384.95</v>
      </c>
      <c r="M69" s="94"/>
      <c r="N69" s="97"/>
      <c r="O69" s="97"/>
      <c r="P69" s="815"/>
    </row>
    <row r="70" spans="1:16" ht="15.75">
      <c r="A70" s="95"/>
      <c r="B70" s="96"/>
      <c r="C70" s="96" t="s">
        <v>658</v>
      </c>
      <c r="D70" s="96">
        <v>273.14999999999998</v>
      </c>
      <c r="E70" s="96">
        <v>2.56</v>
      </c>
      <c r="F70" s="96">
        <v>699.13</v>
      </c>
      <c r="G70" s="96">
        <v>49.96</v>
      </c>
      <c r="H70" s="96">
        <v>134.94</v>
      </c>
      <c r="I70" s="96">
        <v>0.88</v>
      </c>
      <c r="J70" s="96">
        <v>0</v>
      </c>
      <c r="K70" s="96">
        <f t="shared" si="1"/>
        <v>884.91</v>
      </c>
      <c r="L70" s="97"/>
      <c r="M70" s="94"/>
      <c r="N70" s="97"/>
      <c r="O70" s="97"/>
      <c r="P70" s="815"/>
    </row>
    <row r="71" spans="1:16" ht="15.75">
      <c r="A71" s="95"/>
      <c r="B71" s="96"/>
      <c r="C71" s="96" t="s">
        <v>659</v>
      </c>
      <c r="D71" s="96">
        <v>9.6300000000000008</v>
      </c>
      <c r="E71" s="96">
        <v>3.25</v>
      </c>
      <c r="F71" s="96">
        <v>31.3</v>
      </c>
      <c r="G71" s="96">
        <v>0</v>
      </c>
      <c r="H71" s="96">
        <v>0</v>
      </c>
      <c r="I71" s="96">
        <v>0</v>
      </c>
      <c r="J71" s="96">
        <v>3.03</v>
      </c>
      <c r="K71" s="96">
        <f t="shared" si="1"/>
        <v>34.33</v>
      </c>
      <c r="L71" s="97"/>
      <c r="M71" s="94"/>
      <c r="N71" s="97"/>
      <c r="O71" s="97"/>
      <c r="P71" s="815"/>
    </row>
    <row r="72" spans="1:16" ht="15.75">
      <c r="A72" s="95">
        <v>43414</v>
      </c>
      <c r="B72" s="96">
        <v>14177.75</v>
      </c>
      <c r="C72" s="96" t="s">
        <v>657</v>
      </c>
      <c r="D72" s="96">
        <v>4199.28</v>
      </c>
      <c r="E72" s="96">
        <v>2.48</v>
      </c>
      <c r="F72" s="96">
        <v>10404.34</v>
      </c>
      <c r="G72" s="96">
        <v>1020.4</v>
      </c>
      <c r="H72" s="96">
        <v>2074.36</v>
      </c>
      <c r="I72" s="96">
        <v>13.21</v>
      </c>
      <c r="J72" s="96">
        <v>0</v>
      </c>
      <c r="K72" s="96">
        <f t="shared" si="1"/>
        <v>13512.31</v>
      </c>
      <c r="L72" s="97">
        <f>SUM(K72:K74)</f>
        <v>14177.75</v>
      </c>
      <c r="M72" s="94"/>
      <c r="N72" s="97"/>
      <c r="O72" s="97"/>
      <c r="P72" s="815"/>
    </row>
    <row r="73" spans="1:16" ht="15.75">
      <c r="A73" s="95"/>
      <c r="B73" s="96"/>
      <c r="C73" s="96" t="s">
        <v>658</v>
      </c>
      <c r="D73" s="96">
        <v>209.74</v>
      </c>
      <c r="E73" s="96">
        <v>2.37</v>
      </c>
      <c r="F73" s="96">
        <v>497.88</v>
      </c>
      <c r="G73" s="96">
        <v>38.380000000000003</v>
      </c>
      <c r="H73" s="96">
        <v>103.61</v>
      </c>
      <c r="I73" s="96">
        <v>0.65</v>
      </c>
      <c r="J73" s="96">
        <v>0</v>
      </c>
      <c r="K73" s="96">
        <f t="shared" si="1"/>
        <v>640.52</v>
      </c>
      <c r="L73" s="97"/>
      <c r="M73" s="94"/>
      <c r="N73" s="97"/>
      <c r="O73" s="97"/>
      <c r="P73" s="815"/>
    </row>
    <row r="74" spans="1:16" ht="15.75">
      <c r="A74" s="95"/>
      <c r="B74" s="96"/>
      <c r="C74" s="96" t="s">
        <v>659</v>
      </c>
      <c r="D74" s="96">
        <v>7.51</v>
      </c>
      <c r="E74" s="96">
        <v>3.11</v>
      </c>
      <c r="F74" s="96">
        <v>23.37</v>
      </c>
      <c r="G74" s="96">
        <v>0</v>
      </c>
      <c r="H74" s="96">
        <v>0</v>
      </c>
      <c r="I74" s="96">
        <v>0</v>
      </c>
      <c r="J74" s="96">
        <v>1.55</v>
      </c>
      <c r="K74" s="96">
        <f t="shared" si="1"/>
        <v>24.92</v>
      </c>
      <c r="L74" s="97"/>
      <c r="M74" s="94"/>
      <c r="N74" s="97"/>
      <c r="O74" s="97"/>
      <c r="P74" s="815"/>
    </row>
    <row r="75" spans="1:16" ht="15.75">
      <c r="A75" s="95">
        <v>43419</v>
      </c>
      <c r="B75" s="96">
        <v>546.91999999999996</v>
      </c>
      <c r="C75" s="96" t="s">
        <v>657</v>
      </c>
      <c r="D75" s="96">
        <v>168.79</v>
      </c>
      <c r="E75" s="96">
        <v>2.5</v>
      </c>
      <c r="F75" s="96">
        <v>422</v>
      </c>
      <c r="G75" s="96">
        <v>41.01</v>
      </c>
      <c r="H75" s="96">
        <v>83.38</v>
      </c>
      <c r="I75" s="96">
        <v>0.53</v>
      </c>
      <c r="J75" s="96"/>
      <c r="K75" s="96">
        <f t="shared" si="1"/>
        <v>546.91999999999996</v>
      </c>
      <c r="L75" s="96"/>
      <c r="M75" s="97">
        <f>K75</f>
        <v>546.91999999999996</v>
      </c>
      <c r="N75" s="97"/>
      <c r="O75" s="97"/>
      <c r="P75" s="815"/>
    </row>
    <row r="76" spans="1:16" ht="15.75">
      <c r="A76" s="95">
        <v>43421</v>
      </c>
      <c r="B76" s="96">
        <v>9259.5</v>
      </c>
      <c r="C76" s="96" t="s">
        <v>657</v>
      </c>
      <c r="D76" s="96">
        <v>2838.28</v>
      </c>
      <c r="E76" s="96">
        <v>2.33</v>
      </c>
      <c r="F76" s="96">
        <v>6599.37</v>
      </c>
      <c r="G76" s="96">
        <v>689.69</v>
      </c>
      <c r="H76" s="96">
        <v>1402.1</v>
      </c>
      <c r="I76" s="96">
        <v>8.9600000000000009</v>
      </c>
      <c r="J76" s="96">
        <v>0</v>
      </c>
      <c r="K76" s="96">
        <f t="shared" si="1"/>
        <v>8700.119999999999</v>
      </c>
      <c r="L76" s="97">
        <f>SUM(K76:K78)</f>
        <v>9259.4999999999982</v>
      </c>
      <c r="M76" s="94"/>
      <c r="N76" s="97"/>
      <c r="O76" s="97"/>
      <c r="P76" s="815"/>
    </row>
    <row r="77" spans="1:16" ht="15.75">
      <c r="A77" s="95"/>
      <c r="B77" s="96"/>
      <c r="C77" s="96" t="s">
        <v>658</v>
      </c>
      <c r="D77" s="96">
        <v>185.74</v>
      </c>
      <c r="E77" s="96">
        <v>2.19</v>
      </c>
      <c r="F77" s="96">
        <v>406.1</v>
      </c>
      <c r="G77" s="96">
        <v>33.979999999999997</v>
      </c>
      <c r="H77" s="96">
        <v>91.76</v>
      </c>
      <c r="I77" s="96">
        <v>0.57999999999999996</v>
      </c>
      <c r="J77" s="96">
        <v>0</v>
      </c>
      <c r="K77" s="96">
        <f t="shared" si="1"/>
        <v>532.42000000000007</v>
      </c>
      <c r="L77" s="97"/>
      <c r="M77" s="94"/>
      <c r="N77" s="97"/>
      <c r="O77" s="97"/>
      <c r="P77" s="815"/>
    </row>
    <row r="78" spans="1:16" ht="15.75">
      <c r="A78" s="95"/>
      <c r="B78" s="96"/>
      <c r="C78" s="96" t="s">
        <v>659</v>
      </c>
      <c r="D78" s="96">
        <v>7.56</v>
      </c>
      <c r="E78" s="96">
        <v>3.25</v>
      </c>
      <c r="F78" s="96">
        <v>24.58</v>
      </c>
      <c r="G78" s="96">
        <v>0</v>
      </c>
      <c r="H78" s="96">
        <v>0</v>
      </c>
      <c r="I78" s="96">
        <v>0</v>
      </c>
      <c r="J78" s="96">
        <v>2.38</v>
      </c>
      <c r="K78" s="96">
        <f t="shared" si="1"/>
        <v>26.959999999999997</v>
      </c>
      <c r="L78" s="97"/>
      <c r="M78" s="94"/>
      <c r="N78" s="97"/>
      <c r="O78" s="97"/>
      <c r="P78" s="815"/>
    </row>
    <row r="79" spans="1:16" ht="15.75">
      <c r="A79" s="95">
        <v>43428</v>
      </c>
      <c r="B79" s="96">
        <v>8597.43</v>
      </c>
      <c r="C79" s="96" t="s">
        <v>657</v>
      </c>
      <c r="D79" s="96">
        <v>2701.44</v>
      </c>
      <c r="E79" s="96">
        <v>2.2799999999999998</v>
      </c>
      <c r="F79" s="96">
        <v>6153.31</v>
      </c>
      <c r="G79" s="96">
        <v>656.4</v>
      </c>
      <c r="H79" s="96">
        <v>1334.52</v>
      </c>
      <c r="I79" s="96">
        <v>8.4499999999999993</v>
      </c>
      <c r="J79" s="96">
        <v>0</v>
      </c>
      <c r="K79" s="96">
        <f t="shared" si="1"/>
        <v>8152.6799999999994</v>
      </c>
      <c r="L79" s="97">
        <f>SUM(K79:K81)</f>
        <v>8597.43</v>
      </c>
      <c r="M79" s="94"/>
      <c r="N79" s="97"/>
      <c r="O79" s="97"/>
      <c r="P79" s="815"/>
    </row>
    <row r="80" spans="1:16" ht="15.75">
      <c r="A80" s="95"/>
      <c r="B80" s="96"/>
      <c r="C80" s="96" t="s">
        <v>658</v>
      </c>
      <c r="D80" s="96">
        <v>145.72999999999999</v>
      </c>
      <c r="E80" s="96">
        <v>2.12</v>
      </c>
      <c r="F80" s="96">
        <v>309.45999999999998</v>
      </c>
      <c r="G80" s="96">
        <v>26.71</v>
      </c>
      <c r="H80" s="96">
        <v>72</v>
      </c>
      <c r="I80" s="96">
        <v>0.46</v>
      </c>
      <c r="J80" s="96">
        <v>0</v>
      </c>
      <c r="K80" s="96">
        <f t="shared" si="1"/>
        <v>408.62999999999994</v>
      </c>
      <c r="L80" s="97"/>
      <c r="M80" s="94"/>
      <c r="N80" s="97"/>
      <c r="O80" s="97"/>
      <c r="P80" s="815"/>
    </row>
    <row r="81" spans="1:16" ht="15.75">
      <c r="A81" s="95"/>
      <c r="B81" s="96"/>
      <c r="C81" s="96" t="s">
        <v>659</v>
      </c>
      <c r="D81" s="96">
        <v>10.130000000000001</v>
      </c>
      <c r="E81" s="96">
        <v>3.25</v>
      </c>
      <c r="F81" s="96">
        <v>32.93</v>
      </c>
      <c r="G81" s="96">
        <v>0</v>
      </c>
      <c r="H81" s="96">
        <v>0</v>
      </c>
      <c r="I81" s="96">
        <v>0</v>
      </c>
      <c r="J81" s="96">
        <v>3.19</v>
      </c>
      <c r="K81" s="96">
        <f t="shared" si="1"/>
        <v>36.119999999999997</v>
      </c>
      <c r="L81" s="97"/>
      <c r="M81" s="94"/>
      <c r="N81" s="97"/>
      <c r="O81" s="97"/>
      <c r="P81" s="815"/>
    </row>
    <row r="82" spans="1:16" ht="15.75">
      <c r="A82" s="95">
        <v>43434</v>
      </c>
      <c r="B82" s="96">
        <v>326.36</v>
      </c>
      <c r="C82" s="96" t="s">
        <v>657</v>
      </c>
      <c r="D82" s="96">
        <v>109.32</v>
      </c>
      <c r="E82" s="96">
        <v>2.2400000000000002</v>
      </c>
      <c r="F82" s="96">
        <v>245.44</v>
      </c>
      <c r="G82" s="96">
        <v>26.57</v>
      </c>
      <c r="H82" s="96">
        <v>54.01</v>
      </c>
      <c r="I82" s="96">
        <v>0.34</v>
      </c>
      <c r="J82" s="96">
        <v>0</v>
      </c>
      <c r="K82" s="96">
        <f t="shared" si="1"/>
        <v>326.35999999999996</v>
      </c>
      <c r="L82" s="97"/>
      <c r="M82" s="97">
        <f>K82</f>
        <v>326.35999999999996</v>
      </c>
      <c r="N82" s="97"/>
      <c r="O82" s="97"/>
      <c r="P82" s="815"/>
    </row>
    <row r="83" spans="1:16" ht="15.75">
      <c r="A83" s="95">
        <v>43434</v>
      </c>
      <c r="B83" s="96">
        <v>7791.34</v>
      </c>
      <c r="C83" s="96" t="s">
        <v>657</v>
      </c>
      <c r="D83" s="96">
        <v>2507.33</v>
      </c>
      <c r="E83" s="96">
        <v>2.1800000000000002</v>
      </c>
      <c r="F83" s="96">
        <v>5469.33</v>
      </c>
      <c r="G83" s="96">
        <v>609.26</v>
      </c>
      <c r="H83" s="96">
        <v>1238.6199999999999</v>
      </c>
      <c r="I83" s="96">
        <v>7.87</v>
      </c>
      <c r="J83" s="96">
        <v>0</v>
      </c>
      <c r="K83" s="96">
        <f t="shared" si="1"/>
        <v>7325.08</v>
      </c>
      <c r="L83" s="97">
        <f>SUM(K83:K85)</f>
        <v>7791.34</v>
      </c>
      <c r="M83" s="94"/>
      <c r="N83" s="97"/>
      <c r="O83" s="97"/>
      <c r="P83" s="815"/>
    </row>
    <row r="84" spans="1:16" ht="15.75">
      <c r="A84" s="95"/>
      <c r="B84" s="96"/>
      <c r="C84" s="96" t="s">
        <v>658</v>
      </c>
      <c r="D84" s="96">
        <v>155.77000000000001</v>
      </c>
      <c r="E84" s="96">
        <v>2.0699999999999998</v>
      </c>
      <c r="F84" s="96">
        <v>322.44</v>
      </c>
      <c r="G84" s="96">
        <v>28.53</v>
      </c>
      <c r="H84" s="96">
        <v>76.94</v>
      </c>
      <c r="I84" s="96">
        <v>0.48</v>
      </c>
      <c r="J84" s="96">
        <v>0</v>
      </c>
      <c r="K84" s="96">
        <f t="shared" si="1"/>
        <v>428.39000000000004</v>
      </c>
      <c r="L84" s="97"/>
      <c r="M84" s="94"/>
      <c r="N84" s="97"/>
      <c r="O84" s="97"/>
      <c r="P84" s="815"/>
    </row>
    <row r="85" spans="1:16" ht="15.75">
      <c r="A85" s="95"/>
      <c r="B85" s="96"/>
      <c r="C85" s="96" t="s">
        <v>659</v>
      </c>
      <c r="D85" s="96">
        <v>10.62</v>
      </c>
      <c r="E85" s="96">
        <v>3.25</v>
      </c>
      <c r="F85" s="96">
        <v>34.520000000000003</v>
      </c>
      <c r="G85" s="96">
        <v>0</v>
      </c>
      <c r="H85" s="96">
        <v>0</v>
      </c>
      <c r="I85" s="96">
        <v>0</v>
      </c>
      <c r="J85" s="96">
        <v>3.35</v>
      </c>
      <c r="K85" s="96">
        <f t="shared" si="1"/>
        <v>37.870000000000005</v>
      </c>
      <c r="L85" s="97"/>
      <c r="M85" s="94"/>
      <c r="N85" s="97"/>
      <c r="O85" s="97"/>
      <c r="P85" s="815"/>
    </row>
    <row r="86" spans="1:16" ht="15.75">
      <c r="A86" s="95">
        <v>43442</v>
      </c>
      <c r="B86" s="96">
        <v>8100.6</v>
      </c>
      <c r="C86" s="96" t="s">
        <v>657</v>
      </c>
      <c r="D86" s="96">
        <v>2761.17</v>
      </c>
      <c r="E86" s="96">
        <v>2.04</v>
      </c>
      <c r="F86" s="96">
        <v>5643.37</v>
      </c>
      <c r="G86" s="96">
        <v>671.01</v>
      </c>
      <c r="H86" s="96">
        <v>1364</v>
      </c>
      <c r="I86" s="96">
        <v>8.69</v>
      </c>
      <c r="J86" s="96">
        <v>0</v>
      </c>
      <c r="K86" s="96">
        <f t="shared" si="1"/>
        <v>7687.07</v>
      </c>
      <c r="L86" s="97">
        <f>SUM(K86:K88)</f>
        <v>8100.6</v>
      </c>
      <c r="M86" s="94"/>
      <c r="N86" s="97"/>
      <c r="O86" s="97"/>
      <c r="P86" s="815"/>
    </row>
    <row r="87" spans="1:16" ht="15.75">
      <c r="A87" s="95"/>
      <c r="B87" s="96"/>
      <c r="C87" s="96" t="s">
        <v>658</v>
      </c>
      <c r="D87" s="96">
        <v>149.88</v>
      </c>
      <c r="E87" s="96">
        <v>2.0099999999999998</v>
      </c>
      <c r="F87" s="96">
        <v>301.48</v>
      </c>
      <c r="G87" s="96">
        <v>27.43</v>
      </c>
      <c r="H87" s="96">
        <v>74.05</v>
      </c>
      <c r="I87" s="96">
        <v>0.48</v>
      </c>
      <c r="J87" s="96">
        <v>0</v>
      </c>
      <c r="K87" s="96">
        <f t="shared" si="1"/>
        <v>403.44000000000005</v>
      </c>
      <c r="L87" s="97"/>
      <c r="M87" s="94"/>
      <c r="N87" s="97"/>
      <c r="O87" s="97"/>
      <c r="P87" s="815"/>
    </row>
    <row r="88" spans="1:16" ht="15.75">
      <c r="A88" s="95"/>
      <c r="B88" s="96"/>
      <c r="C88" s="96" t="s">
        <v>659</v>
      </c>
      <c r="D88" s="96">
        <v>2.83</v>
      </c>
      <c r="E88" s="96">
        <v>3.25</v>
      </c>
      <c r="F88" s="96">
        <v>9.1999999999999993</v>
      </c>
      <c r="G88" s="96">
        <v>0</v>
      </c>
      <c r="H88" s="96">
        <v>0</v>
      </c>
      <c r="I88" s="96">
        <v>0</v>
      </c>
      <c r="J88" s="96">
        <v>0.89</v>
      </c>
      <c r="K88" s="96">
        <f t="shared" si="1"/>
        <v>10.09</v>
      </c>
      <c r="L88" s="97"/>
      <c r="M88" s="94"/>
      <c r="N88" s="97"/>
      <c r="O88" s="97"/>
      <c r="P88" s="815"/>
    </row>
    <row r="89" spans="1:16" ht="15.75">
      <c r="A89" s="95">
        <v>43449</v>
      </c>
      <c r="B89" s="96">
        <v>236.59</v>
      </c>
      <c r="C89" s="96" t="s">
        <v>657</v>
      </c>
      <c r="D89" s="96">
        <v>83.99</v>
      </c>
      <c r="E89" s="96">
        <v>2.08</v>
      </c>
      <c r="F89" s="96">
        <v>174.43</v>
      </c>
      <c r="G89" s="96">
        <v>20.41</v>
      </c>
      <c r="H89" s="96">
        <v>41.49</v>
      </c>
      <c r="I89" s="96">
        <v>0.26</v>
      </c>
      <c r="J89" s="96">
        <v>0</v>
      </c>
      <c r="K89" s="96">
        <f t="shared" si="1"/>
        <v>236.59</v>
      </c>
      <c r="L89" s="97"/>
      <c r="M89" s="97">
        <f>K89</f>
        <v>236.59</v>
      </c>
      <c r="N89" s="97"/>
      <c r="O89" s="97"/>
      <c r="P89" s="815"/>
    </row>
    <row r="90" spans="1:16" ht="15.75">
      <c r="A90" s="95">
        <v>43449</v>
      </c>
      <c r="B90" s="96">
        <v>8797.6200000000008</v>
      </c>
      <c r="C90" s="96" t="s">
        <v>657</v>
      </c>
      <c r="D90" s="96">
        <v>3006.26</v>
      </c>
      <c r="E90" s="96">
        <v>2</v>
      </c>
      <c r="F90" s="96">
        <v>6026.75</v>
      </c>
      <c r="G90" s="96">
        <v>730.5</v>
      </c>
      <c r="H90" s="96">
        <v>1485.12</v>
      </c>
      <c r="I90" s="96">
        <v>9.44</v>
      </c>
      <c r="J90" s="96">
        <v>0</v>
      </c>
      <c r="K90" s="96">
        <f t="shared" si="1"/>
        <v>8251.81</v>
      </c>
      <c r="L90" s="97">
        <f>SUM(K90:K92)</f>
        <v>8797.6200000000008</v>
      </c>
      <c r="M90" s="94"/>
      <c r="N90" s="97"/>
      <c r="O90" s="97"/>
      <c r="P90" s="815"/>
    </row>
    <row r="91" spans="1:16" ht="15.75">
      <c r="A91" s="95"/>
      <c r="B91" s="96"/>
      <c r="C91" s="96" t="s">
        <v>658</v>
      </c>
      <c r="D91" s="96">
        <v>201.13</v>
      </c>
      <c r="E91" s="96">
        <v>1.92</v>
      </c>
      <c r="F91" s="96">
        <v>385.16</v>
      </c>
      <c r="G91" s="96">
        <v>36.799999999999997</v>
      </c>
      <c r="H91" s="96">
        <v>99.37</v>
      </c>
      <c r="I91" s="96">
        <v>0.63</v>
      </c>
      <c r="J91" s="96">
        <v>0</v>
      </c>
      <c r="K91" s="96">
        <f t="shared" si="1"/>
        <v>521.96</v>
      </c>
      <c r="L91" s="97"/>
      <c r="M91" s="94"/>
      <c r="N91" s="97"/>
      <c r="O91" s="97"/>
      <c r="P91" s="815"/>
    </row>
    <row r="92" spans="1:16" ht="15.75">
      <c r="A92" s="95"/>
      <c r="B92" s="96"/>
      <c r="C92" s="96" t="s">
        <v>659</v>
      </c>
      <c r="D92" s="96">
        <v>6.69</v>
      </c>
      <c r="E92" s="96">
        <v>3.25</v>
      </c>
      <c r="F92" s="96">
        <v>21.74</v>
      </c>
      <c r="G92" s="96">
        <v>0</v>
      </c>
      <c r="H92" s="96">
        <v>0</v>
      </c>
      <c r="I92" s="96">
        <v>0</v>
      </c>
      <c r="J92" s="96">
        <v>2.11</v>
      </c>
      <c r="K92" s="96">
        <f t="shared" si="1"/>
        <v>23.849999999999998</v>
      </c>
      <c r="L92" s="97"/>
      <c r="M92" s="94"/>
      <c r="N92" s="97"/>
      <c r="O92" s="97"/>
      <c r="P92" s="815"/>
    </row>
    <row r="93" spans="1:16" ht="15.75">
      <c r="A93" s="95">
        <v>43456</v>
      </c>
      <c r="B93" s="96">
        <v>7617.03</v>
      </c>
      <c r="C93" s="96" t="s">
        <v>657</v>
      </c>
      <c r="D93" s="96">
        <v>2689.67</v>
      </c>
      <c r="E93" s="96">
        <v>1.91</v>
      </c>
      <c r="F93" s="96">
        <v>5143.5200000000004</v>
      </c>
      <c r="G93" s="96">
        <v>653.55999999999995</v>
      </c>
      <c r="H93" s="96">
        <v>1328.71</v>
      </c>
      <c r="I93" s="96">
        <v>8.4700000000000006</v>
      </c>
      <c r="J93" s="96">
        <v>0</v>
      </c>
      <c r="K93" s="96">
        <f t="shared" si="1"/>
        <v>7134.26</v>
      </c>
      <c r="L93" s="97">
        <f>SUM(K93:K95)</f>
        <v>7617.0300000000007</v>
      </c>
      <c r="M93" s="94"/>
      <c r="N93" s="97"/>
      <c r="O93" s="97"/>
      <c r="P93" s="815"/>
    </row>
    <row r="94" spans="1:16" ht="15.75">
      <c r="A94" s="95"/>
      <c r="B94" s="96"/>
      <c r="C94" s="96" t="s">
        <v>658</v>
      </c>
      <c r="D94" s="96">
        <v>171.26</v>
      </c>
      <c r="E94" s="96">
        <v>1.98</v>
      </c>
      <c r="F94" s="96">
        <v>338.85</v>
      </c>
      <c r="G94" s="96">
        <v>31.37</v>
      </c>
      <c r="H94" s="96">
        <v>84.6</v>
      </c>
      <c r="I94" s="96">
        <v>0.53</v>
      </c>
      <c r="J94" s="96">
        <v>0</v>
      </c>
      <c r="K94" s="96">
        <f t="shared" si="1"/>
        <v>455.35</v>
      </c>
      <c r="L94" s="97"/>
      <c r="M94" s="94"/>
      <c r="N94" s="97"/>
      <c r="O94" s="97"/>
      <c r="P94" s="815"/>
    </row>
    <row r="95" spans="1:16" ht="15.75">
      <c r="A95" s="95"/>
      <c r="B95" s="96"/>
      <c r="C95" s="96" t="s">
        <v>659</v>
      </c>
      <c r="D95" s="96">
        <v>7.69</v>
      </c>
      <c r="E95" s="96">
        <v>3.25</v>
      </c>
      <c r="F95" s="96">
        <v>25</v>
      </c>
      <c r="G95" s="96">
        <v>0</v>
      </c>
      <c r="H95" s="96">
        <v>0</v>
      </c>
      <c r="I95" s="96">
        <v>0</v>
      </c>
      <c r="J95" s="96">
        <v>2.42</v>
      </c>
      <c r="K95" s="96">
        <f t="shared" si="1"/>
        <v>27.42</v>
      </c>
      <c r="L95" s="97"/>
      <c r="M95" s="94"/>
      <c r="N95" s="97"/>
      <c r="O95" s="97"/>
      <c r="P95" s="815"/>
    </row>
    <row r="96" spans="1:16" ht="15.75">
      <c r="A96" s="95">
        <v>43465</v>
      </c>
      <c r="B96" s="96">
        <v>86.59</v>
      </c>
      <c r="C96" s="96" t="s">
        <v>657</v>
      </c>
      <c r="D96" s="96">
        <v>32.200000000000003</v>
      </c>
      <c r="E96" s="96">
        <v>1.94</v>
      </c>
      <c r="F96" s="96">
        <v>62.76</v>
      </c>
      <c r="G96" s="96">
        <v>7.82</v>
      </c>
      <c r="H96" s="96">
        <v>15.91</v>
      </c>
      <c r="I96" s="96">
        <v>0.1</v>
      </c>
      <c r="J96" s="96">
        <v>0</v>
      </c>
      <c r="K96" s="96">
        <f t="shared" si="1"/>
        <v>86.589999999999989</v>
      </c>
      <c r="L96" s="97"/>
      <c r="M96" s="97">
        <f>K96</f>
        <v>86.589999999999989</v>
      </c>
      <c r="N96" s="97"/>
      <c r="O96" s="97"/>
      <c r="P96" s="815"/>
    </row>
    <row r="97" spans="1:16" ht="15.75">
      <c r="A97" s="95">
        <v>43465</v>
      </c>
      <c r="B97" s="96">
        <v>8467.52</v>
      </c>
      <c r="C97" s="96" t="s">
        <v>657</v>
      </c>
      <c r="D97" s="96">
        <v>3126.86</v>
      </c>
      <c r="E97" s="96">
        <v>1.79</v>
      </c>
      <c r="F97" s="96">
        <v>5604.76</v>
      </c>
      <c r="G97" s="96">
        <v>759.85</v>
      </c>
      <c r="H97" s="96">
        <v>1544.65</v>
      </c>
      <c r="I97" s="96">
        <v>9.82</v>
      </c>
      <c r="J97" s="96">
        <v>0</v>
      </c>
      <c r="K97" s="96">
        <f t="shared" si="1"/>
        <v>7919.08</v>
      </c>
      <c r="L97" s="97">
        <f>SUM(K97:K99)</f>
        <v>8467.52</v>
      </c>
      <c r="M97" s="94"/>
      <c r="N97" s="97"/>
      <c r="O97" s="97"/>
      <c r="P97" s="815"/>
    </row>
    <row r="98" spans="1:16" ht="15.75">
      <c r="A98" s="95"/>
      <c r="B98" s="96"/>
      <c r="C98" s="96" t="s">
        <v>658</v>
      </c>
      <c r="D98" s="96">
        <v>198.42</v>
      </c>
      <c r="E98" s="96">
        <v>1.89</v>
      </c>
      <c r="F98" s="96">
        <v>375.73</v>
      </c>
      <c r="G98" s="96">
        <v>36.33</v>
      </c>
      <c r="H98" s="96">
        <v>98.05</v>
      </c>
      <c r="I98" s="96">
        <v>0.6</v>
      </c>
      <c r="J98" s="96">
        <v>0</v>
      </c>
      <c r="K98" s="96">
        <f>SUM(F98:J98)</f>
        <v>510.71000000000004</v>
      </c>
      <c r="L98" s="97"/>
      <c r="M98" s="94"/>
      <c r="N98" s="97"/>
      <c r="O98" s="97"/>
      <c r="P98" s="815"/>
    </row>
    <row r="99" spans="1:16" ht="15.75">
      <c r="A99" s="95"/>
      <c r="B99" s="132"/>
      <c r="C99" s="96" t="s">
        <v>659</v>
      </c>
      <c r="D99" s="132">
        <v>10.58</v>
      </c>
      <c r="E99" s="96">
        <v>3.25</v>
      </c>
      <c r="F99" s="132">
        <v>34.39</v>
      </c>
      <c r="G99" s="132">
        <v>0</v>
      </c>
      <c r="H99" s="132">
        <v>0</v>
      </c>
      <c r="I99" s="132">
        <v>0</v>
      </c>
      <c r="J99" s="132">
        <v>3.34</v>
      </c>
      <c r="K99" s="132">
        <f>SUM(F99:J99)</f>
        <v>37.730000000000004</v>
      </c>
      <c r="L99" s="97"/>
      <c r="M99" s="94"/>
      <c r="N99" s="97"/>
      <c r="O99" s="97"/>
    </row>
    <row r="100" spans="1:16" ht="15.75">
      <c r="A100" s="95" t="s">
        <v>1529</v>
      </c>
      <c r="B100" s="96">
        <f>SUM(B5:B99)</f>
        <v>295047.20000000013</v>
      </c>
      <c r="C100" s="96"/>
      <c r="D100" s="96">
        <f>SUM(D5:D99)</f>
        <v>95390.967000000019</v>
      </c>
      <c r="E100" s="96"/>
      <c r="F100" s="96">
        <f t="shared" ref="F100:K100" si="2">SUM(F5:F99)</f>
        <v>228658.85000000003</v>
      </c>
      <c r="G100" s="96">
        <f t="shared" si="2"/>
        <v>22852.059999999998</v>
      </c>
      <c r="H100" s="96">
        <f t="shared" si="2"/>
        <v>47033.190000000024</v>
      </c>
      <c r="I100" s="96">
        <f t="shared" si="2"/>
        <v>298.81000000000006</v>
      </c>
      <c r="J100" s="96">
        <f t="shared" si="2"/>
        <v>56.480000000000004</v>
      </c>
      <c r="K100" s="96">
        <f t="shared" si="2"/>
        <v>298899.39000000007</v>
      </c>
      <c r="L100" s="97">
        <f>SUM(L5:L98)</f>
        <v>267919.37000000005</v>
      </c>
      <c r="M100" s="97">
        <f>SUM(M5:M98)</f>
        <v>30979.99</v>
      </c>
      <c r="N100" s="97"/>
      <c r="O100" s="94"/>
    </row>
    <row r="101" spans="1:16" ht="15.75">
      <c r="A101" s="95"/>
      <c r="B101" s="96"/>
      <c r="C101" s="96"/>
      <c r="D101" s="96"/>
      <c r="E101" s="96"/>
      <c r="F101" s="96"/>
      <c r="G101" s="96"/>
      <c r="H101" s="96"/>
      <c r="I101" s="96"/>
      <c r="J101" s="96"/>
      <c r="K101" s="96"/>
      <c r="L101" s="94"/>
      <c r="M101" s="94"/>
      <c r="N101" s="94"/>
      <c r="O101" s="94"/>
    </row>
    <row r="102" spans="1:16" ht="15.75">
      <c r="A102" s="95"/>
      <c r="B102" s="96"/>
      <c r="C102" s="96"/>
      <c r="D102" s="96"/>
      <c r="E102" s="96"/>
      <c r="F102" s="96"/>
      <c r="G102" s="96"/>
      <c r="H102" s="96"/>
      <c r="I102" s="96"/>
      <c r="J102" s="96"/>
      <c r="K102" s="96">
        <f>+B100-K100</f>
        <v>-3852.1899999999441</v>
      </c>
      <c r="L102" s="94"/>
      <c r="M102" s="94"/>
      <c r="N102" s="94"/>
      <c r="O102" s="94"/>
    </row>
    <row r="103" spans="1:16" ht="15.75">
      <c r="A103" s="94"/>
      <c r="B103" s="96"/>
      <c r="C103" s="96"/>
      <c r="D103" s="96"/>
      <c r="E103" s="96"/>
      <c r="F103" s="96"/>
      <c r="G103" s="96"/>
      <c r="H103" s="96"/>
      <c r="I103" s="96"/>
      <c r="J103" s="96"/>
      <c r="K103" s="96"/>
      <c r="L103" s="97">
        <f>SUM(K101:K102)</f>
        <v>-3852.1899999999441</v>
      </c>
      <c r="M103" s="94"/>
      <c r="N103" s="94"/>
      <c r="O103" s="94"/>
    </row>
    <row r="104" spans="1:16" ht="15.75">
      <c r="A104" s="94"/>
      <c r="B104" s="96" t="s">
        <v>660</v>
      </c>
      <c r="C104" s="96" t="s">
        <v>661</v>
      </c>
      <c r="D104" s="96" t="s">
        <v>662</v>
      </c>
      <c r="E104" s="96" t="s">
        <v>663</v>
      </c>
      <c r="F104" s="96" t="s">
        <v>664</v>
      </c>
      <c r="G104" s="98" t="s">
        <v>665</v>
      </c>
      <c r="H104" s="96" t="s">
        <v>664</v>
      </c>
      <c r="I104" s="98" t="s">
        <v>666</v>
      </c>
      <c r="J104" s="96"/>
      <c r="K104" s="96"/>
      <c r="L104" s="96"/>
      <c r="M104" s="97"/>
      <c r="N104" s="94"/>
      <c r="O104" s="94"/>
    </row>
    <row r="105" spans="1:16" ht="15.75">
      <c r="A105" s="94"/>
      <c r="B105" s="99" t="s">
        <v>667</v>
      </c>
      <c r="C105" s="99" t="s">
        <v>668</v>
      </c>
      <c r="D105" s="99" t="s">
        <v>669</v>
      </c>
      <c r="E105" s="99" t="s">
        <v>670</v>
      </c>
      <c r="F105" s="99" t="s">
        <v>671</v>
      </c>
      <c r="G105" s="116"/>
      <c r="H105" s="99" t="s">
        <v>672</v>
      </c>
      <c r="I105" s="99" t="s">
        <v>668</v>
      </c>
      <c r="J105" s="100" t="s">
        <v>673</v>
      </c>
      <c r="K105" s="101" t="s">
        <v>490</v>
      </c>
      <c r="L105" s="96" t="s">
        <v>648</v>
      </c>
      <c r="M105" s="96"/>
      <c r="N105" s="97"/>
      <c r="O105" s="94"/>
    </row>
    <row r="106" spans="1:16" ht="15.75">
      <c r="A106" s="102" t="s">
        <v>674</v>
      </c>
      <c r="B106" s="112">
        <v>47434</v>
      </c>
      <c r="C106" s="112">
        <v>27278</v>
      </c>
      <c r="D106" s="112">
        <v>26476.16</v>
      </c>
      <c r="E106" s="112">
        <v>94269.43</v>
      </c>
      <c r="F106" s="112">
        <v>48484</v>
      </c>
      <c r="G106" s="112">
        <v>151509.79999999999</v>
      </c>
      <c r="H106" s="112">
        <v>71476</v>
      </c>
      <c r="I106" s="113">
        <v>30313.87</v>
      </c>
      <c r="J106" s="103">
        <f>SUM(B106:I106)</f>
        <v>497241.26</v>
      </c>
      <c r="K106" s="103">
        <f>SUM(B106,C106,D106,E106,H106,G106)</f>
        <v>418443.38999999996</v>
      </c>
      <c r="L106" s="96"/>
      <c r="M106" s="97">
        <v>497241.74</v>
      </c>
      <c r="N106" s="94"/>
      <c r="O106" s="94"/>
    </row>
    <row r="107" spans="1:16" ht="15.75">
      <c r="A107" s="94"/>
      <c r="B107" s="96"/>
      <c r="C107" s="96"/>
      <c r="D107" s="96"/>
      <c r="E107" s="96"/>
      <c r="F107" s="96"/>
      <c r="G107" s="94"/>
      <c r="H107" s="114"/>
      <c r="I107" s="96"/>
      <c r="J107" s="96"/>
      <c r="K107" s="103"/>
      <c r="L107" s="96"/>
      <c r="M107" s="97"/>
      <c r="N107" s="94"/>
      <c r="O107" s="94"/>
    </row>
    <row r="108" spans="1:16" ht="15.75">
      <c r="A108" s="104" t="s">
        <v>675</v>
      </c>
      <c r="B108" s="104">
        <f>B106/K100</f>
        <v>0.15869553965968278</v>
      </c>
      <c r="C108" s="104">
        <f>C106/K100</f>
        <v>9.1261477649720174E-2</v>
      </c>
      <c r="D108" s="104">
        <f>SUM(D106/K100)</f>
        <v>8.8578835841719161E-2</v>
      </c>
      <c r="E108" s="104">
        <f>E106/K100</f>
        <v>0.31538849912005495</v>
      </c>
      <c r="F108" s="104">
        <f>F106/K100</f>
        <v>0.1622084273909023</v>
      </c>
      <c r="G108" s="104">
        <f>G106/K100</f>
        <v>0.50689230245668937</v>
      </c>
      <c r="H108" s="104">
        <f>H106/K100</f>
        <v>0.23913063188252068</v>
      </c>
      <c r="I108" s="104">
        <f>SUM(I106/K100)</f>
        <v>0.101418306675032</v>
      </c>
      <c r="J108" s="105"/>
      <c r="K108" s="106">
        <f>SUM(H108,E108)</f>
        <v>0.55451913100257566</v>
      </c>
      <c r="L108" s="104"/>
      <c r="M108" s="97"/>
      <c r="N108" s="94"/>
      <c r="O108" s="94"/>
    </row>
    <row r="109" spans="1:16" ht="15.75">
      <c r="A109" s="94"/>
      <c r="B109" s="96"/>
      <c r="C109" s="96"/>
      <c r="D109" s="96"/>
      <c r="E109" s="96"/>
      <c r="F109" s="96"/>
      <c r="G109" s="94"/>
      <c r="H109" s="96"/>
      <c r="I109" s="96"/>
      <c r="J109" s="96"/>
      <c r="K109" s="103"/>
      <c r="L109" s="96"/>
      <c r="M109" s="97"/>
      <c r="N109" s="94"/>
      <c r="O109" s="94"/>
    </row>
    <row r="110" spans="1:16" ht="15.75">
      <c r="L110" s="96"/>
      <c r="M110" s="97"/>
      <c r="N110" s="94"/>
      <c r="O110" s="94"/>
    </row>
    <row r="111" spans="1:16" ht="15.75">
      <c r="L111" s="96"/>
      <c r="M111" s="94"/>
      <c r="N111" s="94"/>
      <c r="O111" s="94"/>
    </row>
    <row r="112" spans="1:16" ht="15.75">
      <c r="A112" s="95"/>
      <c r="B112" s="96"/>
      <c r="C112" s="96"/>
      <c r="D112" s="96"/>
      <c r="E112" s="96"/>
      <c r="F112" s="96"/>
      <c r="G112" s="96"/>
      <c r="H112" s="96"/>
      <c r="I112" s="96"/>
      <c r="J112" s="96"/>
      <c r="K112" s="96"/>
      <c r="L112" s="96"/>
      <c r="M112" s="97">
        <f>SUM(L112:L112)</f>
        <v>0</v>
      </c>
      <c r="N112" s="94"/>
      <c r="O112" s="97"/>
    </row>
    <row r="113" spans="1:15" ht="15.75">
      <c r="A113" s="94"/>
      <c r="B113" s="94"/>
      <c r="C113" s="94"/>
      <c r="D113" s="94"/>
      <c r="E113" s="94"/>
      <c r="F113" s="94"/>
      <c r="G113" s="94"/>
      <c r="H113" s="94"/>
      <c r="I113" s="94"/>
      <c r="J113" s="94"/>
      <c r="K113" s="94"/>
      <c r="L113" s="94"/>
      <c r="M113" s="94"/>
      <c r="N113" s="94"/>
      <c r="O113" s="94"/>
    </row>
    <row r="114" spans="1:15" ht="15.75">
      <c r="A114" s="125" t="s">
        <v>16</v>
      </c>
      <c r="B114" s="126"/>
      <c r="C114" s="126"/>
      <c r="D114" s="126"/>
      <c r="E114" s="126"/>
      <c r="F114" s="126"/>
      <c r="G114" s="126"/>
      <c r="H114" s="126"/>
      <c r="I114" s="126"/>
      <c r="J114" s="126"/>
      <c r="K114" s="126"/>
      <c r="L114" s="89"/>
      <c r="M114" s="89"/>
      <c r="N114" s="89"/>
      <c r="O114" s="89"/>
    </row>
    <row r="115" spans="1:15" ht="15.75">
      <c r="A115" s="125" t="s">
        <v>646</v>
      </c>
      <c r="B115" s="126"/>
      <c r="C115" s="126"/>
      <c r="D115" s="126"/>
      <c r="E115" s="126"/>
      <c r="F115" s="126"/>
      <c r="G115" s="126"/>
      <c r="H115" s="126"/>
      <c r="I115" s="126"/>
      <c r="J115" s="126"/>
      <c r="K115" s="126"/>
      <c r="L115" s="89"/>
      <c r="M115" s="89"/>
      <c r="N115" s="89"/>
      <c r="O115" s="89"/>
    </row>
    <row r="116" spans="1:15" ht="15.75">
      <c r="A116" s="125" t="s">
        <v>686</v>
      </c>
      <c r="B116" s="126"/>
      <c r="C116" s="126"/>
      <c r="D116" s="126"/>
      <c r="E116" s="126"/>
      <c r="F116" s="126"/>
      <c r="G116" s="126"/>
      <c r="H116" s="126"/>
      <c r="I116" s="126"/>
      <c r="J116" s="126"/>
      <c r="K116" s="126"/>
      <c r="L116" s="89"/>
      <c r="M116" s="89"/>
      <c r="N116" s="89"/>
      <c r="O116" s="89"/>
    </row>
    <row r="117" spans="1:15" ht="15.75">
      <c r="A117" s="117" t="s">
        <v>647</v>
      </c>
      <c r="B117" s="118" t="s">
        <v>648</v>
      </c>
      <c r="C117" s="119" t="s">
        <v>649</v>
      </c>
      <c r="D117" s="119" t="s">
        <v>650</v>
      </c>
      <c r="E117" s="119" t="s">
        <v>651</v>
      </c>
      <c r="F117" s="120" t="s">
        <v>652</v>
      </c>
      <c r="G117" s="120" t="s">
        <v>653</v>
      </c>
      <c r="H117" s="119" t="s">
        <v>654</v>
      </c>
      <c r="I117" s="119" t="s">
        <v>655</v>
      </c>
      <c r="J117" s="120" t="s">
        <v>656</v>
      </c>
      <c r="K117" s="119" t="s">
        <v>648</v>
      </c>
      <c r="L117" s="121" t="s">
        <v>681</v>
      </c>
      <c r="M117" s="111" t="s">
        <v>682</v>
      </c>
      <c r="N117" s="89"/>
      <c r="O117" s="89"/>
    </row>
    <row r="118" spans="1:15" ht="15.75">
      <c r="A118" s="89"/>
      <c r="B118" s="89"/>
      <c r="C118" s="89"/>
      <c r="D118" s="89"/>
      <c r="E118" s="89"/>
      <c r="F118" s="89"/>
      <c r="G118" s="89"/>
      <c r="H118" s="89"/>
      <c r="I118" s="89"/>
      <c r="J118" s="89"/>
      <c r="K118" s="89"/>
      <c r="L118" s="89"/>
      <c r="M118" s="89"/>
      <c r="N118" s="89"/>
      <c r="O118" s="89"/>
    </row>
    <row r="119" spans="1:15" ht="15.75">
      <c r="A119" s="122">
        <v>43470</v>
      </c>
      <c r="B119" s="123">
        <v>5247.47</v>
      </c>
      <c r="C119" s="123" t="s">
        <v>657</v>
      </c>
      <c r="D119" s="123">
        <v>1938.26</v>
      </c>
      <c r="E119" s="123">
        <v>1.79</v>
      </c>
      <c r="F119" s="123">
        <v>3466.42</v>
      </c>
      <c r="G119" s="123">
        <v>471.03</v>
      </c>
      <c r="H119" s="123">
        <v>957.48</v>
      </c>
      <c r="I119" s="123">
        <v>4.25</v>
      </c>
      <c r="J119" s="123">
        <v>0</v>
      </c>
      <c r="K119" s="123">
        <f t="shared" ref="K119:K182" si="3">SUM(F119:J119)</f>
        <v>4899.18</v>
      </c>
      <c r="L119" s="124">
        <f>SUM(K119:K121)</f>
        <v>5247.47</v>
      </c>
      <c r="M119" s="89"/>
      <c r="N119" s="89"/>
      <c r="O119" s="89"/>
    </row>
    <row r="120" spans="1:15" ht="15.75">
      <c r="A120" s="122"/>
      <c r="B120" s="123"/>
      <c r="C120" s="123" t="s">
        <v>658</v>
      </c>
      <c r="D120" s="123">
        <v>133.65</v>
      </c>
      <c r="E120" s="123">
        <v>1.8</v>
      </c>
      <c r="F120" s="123">
        <v>241.22</v>
      </c>
      <c r="G120" s="123">
        <v>24.46</v>
      </c>
      <c r="H120" s="123">
        <v>66.010000000000005</v>
      </c>
      <c r="I120" s="123">
        <v>0.31</v>
      </c>
      <c r="J120" s="123">
        <v>0</v>
      </c>
      <c r="K120" s="123">
        <f t="shared" si="3"/>
        <v>332</v>
      </c>
      <c r="L120" s="124"/>
      <c r="M120" s="89"/>
      <c r="N120" s="89"/>
      <c r="O120" s="89"/>
    </row>
    <row r="121" spans="1:15" ht="15.75">
      <c r="A121" s="122"/>
      <c r="B121" s="123"/>
      <c r="C121" s="123" t="s">
        <v>659</v>
      </c>
      <c r="D121" s="123">
        <v>4.57</v>
      </c>
      <c r="E121" s="123">
        <v>3.25</v>
      </c>
      <c r="F121" s="123">
        <v>14.85</v>
      </c>
      <c r="G121" s="123">
        <v>0</v>
      </c>
      <c r="H121" s="123">
        <v>0</v>
      </c>
      <c r="I121" s="123">
        <v>0</v>
      </c>
      <c r="J121" s="123">
        <v>1.44</v>
      </c>
      <c r="K121" s="123">
        <f t="shared" si="3"/>
        <v>16.29</v>
      </c>
      <c r="L121" s="124"/>
      <c r="M121" s="89"/>
      <c r="N121" s="89"/>
      <c r="O121" s="89"/>
    </row>
    <row r="122" spans="1:15" ht="15.75">
      <c r="A122" s="122">
        <v>43477</v>
      </c>
      <c r="B122" s="123">
        <v>8232.61</v>
      </c>
      <c r="C122" s="123" t="s">
        <v>657</v>
      </c>
      <c r="D122" s="123">
        <v>2793.6</v>
      </c>
      <c r="E122" s="123">
        <v>1.88</v>
      </c>
      <c r="F122" s="123">
        <v>5602.64</v>
      </c>
      <c r="G122" s="123">
        <v>722.58</v>
      </c>
      <c r="H122" s="123">
        <v>1468.95</v>
      </c>
      <c r="I122" s="123">
        <v>6.55</v>
      </c>
      <c r="J122" s="123">
        <v>0</v>
      </c>
      <c r="K122" s="123">
        <f t="shared" si="3"/>
        <v>7800.72</v>
      </c>
      <c r="L122" s="124">
        <f>SUM(K122:K124)</f>
        <v>8232.61</v>
      </c>
      <c r="M122" s="89"/>
      <c r="N122" s="89"/>
      <c r="O122" s="89"/>
    </row>
    <row r="123" spans="1:15" ht="15.75">
      <c r="A123" s="122"/>
      <c r="B123" s="123"/>
      <c r="C123" s="123" t="s">
        <v>658</v>
      </c>
      <c r="D123" s="123">
        <v>163.62</v>
      </c>
      <c r="E123" s="123">
        <v>1.78</v>
      </c>
      <c r="F123" s="123">
        <v>291.22000000000003</v>
      </c>
      <c r="G123" s="123">
        <v>29.94</v>
      </c>
      <c r="H123" s="123">
        <v>80.81</v>
      </c>
      <c r="I123" s="123">
        <v>0.33</v>
      </c>
      <c r="J123" s="123">
        <v>0</v>
      </c>
      <c r="K123" s="123">
        <f t="shared" si="3"/>
        <v>402.3</v>
      </c>
      <c r="L123" s="124"/>
      <c r="M123" s="89"/>
      <c r="N123" s="89"/>
      <c r="O123" s="89"/>
    </row>
    <row r="124" spans="1:15" ht="15.75">
      <c r="A124" s="122"/>
      <c r="B124" s="123"/>
      <c r="C124" s="123" t="s">
        <v>659</v>
      </c>
      <c r="D124" s="123">
        <v>8.3000000000000007</v>
      </c>
      <c r="E124" s="123">
        <v>3.25</v>
      </c>
      <c r="F124" s="123">
        <v>26.97</v>
      </c>
      <c r="G124" s="123">
        <v>0</v>
      </c>
      <c r="H124" s="123">
        <v>0</v>
      </c>
      <c r="I124" s="123">
        <v>0</v>
      </c>
      <c r="J124" s="123">
        <v>2.62</v>
      </c>
      <c r="K124" s="123">
        <f t="shared" si="3"/>
        <v>29.59</v>
      </c>
      <c r="L124" s="124"/>
      <c r="M124" s="89"/>
      <c r="N124" s="89"/>
      <c r="O124" s="89"/>
    </row>
    <row r="125" spans="1:15" ht="15.75">
      <c r="A125" s="122">
        <v>43480</v>
      </c>
      <c r="B125" s="123">
        <v>150.26</v>
      </c>
      <c r="C125" s="123" t="s">
        <v>657</v>
      </c>
      <c r="D125" s="123">
        <v>56.4</v>
      </c>
      <c r="E125" s="123">
        <v>1.92</v>
      </c>
      <c r="F125" s="123">
        <v>108.48</v>
      </c>
      <c r="G125" s="123">
        <v>13.76</v>
      </c>
      <c r="H125" s="123">
        <v>27.96</v>
      </c>
      <c r="I125" s="123">
        <v>0.06</v>
      </c>
      <c r="J125" s="123">
        <v>0</v>
      </c>
      <c r="K125" s="123">
        <f t="shared" si="3"/>
        <v>150.26000000000002</v>
      </c>
      <c r="L125" s="124"/>
      <c r="M125" s="124">
        <f>K125</f>
        <v>150.26000000000002</v>
      </c>
      <c r="N125" s="89"/>
      <c r="O125" s="89"/>
    </row>
    <row r="126" spans="1:15" ht="15.75">
      <c r="A126" s="122">
        <v>43484</v>
      </c>
      <c r="B126" s="123">
        <v>7799.5</v>
      </c>
      <c r="C126" s="123" t="s">
        <v>657</v>
      </c>
      <c r="D126" s="123">
        <v>2716.58</v>
      </c>
      <c r="E126" s="123">
        <v>1.94</v>
      </c>
      <c r="F126" s="123">
        <v>5271.97</v>
      </c>
      <c r="G126" s="123">
        <v>660.14</v>
      </c>
      <c r="H126" s="123">
        <v>1341.97</v>
      </c>
      <c r="I126" s="123">
        <v>5.94</v>
      </c>
      <c r="J126" s="123">
        <v>0</v>
      </c>
      <c r="K126" s="123">
        <f t="shared" si="3"/>
        <v>7280.02</v>
      </c>
      <c r="L126" s="124">
        <f>SUM(K126:K128)</f>
        <v>7799.5</v>
      </c>
      <c r="M126" s="89"/>
      <c r="N126" s="89"/>
      <c r="O126" s="89"/>
    </row>
    <row r="127" spans="1:15" ht="15.75">
      <c r="A127" s="122"/>
      <c r="B127" s="123"/>
      <c r="C127" s="123" t="s">
        <v>658</v>
      </c>
      <c r="D127" s="123">
        <v>200.66</v>
      </c>
      <c r="E127" s="123">
        <v>1.75</v>
      </c>
      <c r="F127" s="123">
        <v>351.21</v>
      </c>
      <c r="G127" s="123">
        <v>36.75</v>
      </c>
      <c r="H127" s="123">
        <v>99.11</v>
      </c>
      <c r="I127" s="123">
        <v>0.46</v>
      </c>
      <c r="J127" s="123">
        <v>0</v>
      </c>
      <c r="K127" s="123">
        <f t="shared" si="3"/>
        <v>487.53</v>
      </c>
      <c r="L127" s="124"/>
      <c r="M127" s="89"/>
      <c r="N127" s="89"/>
      <c r="O127" s="89"/>
    </row>
    <row r="128" spans="1:15" ht="15.75">
      <c r="A128" s="122"/>
      <c r="B128" s="123"/>
      <c r="C128" s="123" t="s">
        <v>659</v>
      </c>
      <c r="D128" s="123">
        <v>8.9600000000000009</v>
      </c>
      <c r="E128" s="123">
        <v>3.25</v>
      </c>
      <c r="F128" s="123">
        <v>29.13</v>
      </c>
      <c r="G128" s="123">
        <v>0</v>
      </c>
      <c r="H128" s="123">
        <v>0</v>
      </c>
      <c r="I128" s="123">
        <v>0</v>
      </c>
      <c r="J128" s="123">
        <v>2.82</v>
      </c>
      <c r="K128" s="123">
        <f t="shared" si="3"/>
        <v>31.95</v>
      </c>
      <c r="L128" s="124"/>
      <c r="M128" s="89"/>
      <c r="N128" s="89"/>
      <c r="O128" s="89"/>
    </row>
    <row r="129" spans="1:15" ht="15.75">
      <c r="A129" s="122">
        <v>43491</v>
      </c>
      <c r="B129" s="123">
        <v>8152.4</v>
      </c>
      <c r="C129" s="123" t="s">
        <v>657</v>
      </c>
      <c r="D129" s="123">
        <v>2804.71</v>
      </c>
      <c r="E129" s="123">
        <v>2.0099999999999998</v>
      </c>
      <c r="F129" s="123">
        <v>5623.69</v>
      </c>
      <c r="G129" s="123">
        <v>681.57</v>
      </c>
      <c r="H129" s="123">
        <v>1385.54</v>
      </c>
      <c r="I129" s="123">
        <v>6.14</v>
      </c>
      <c r="J129" s="123">
        <v>0</v>
      </c>
      <c r="K129" s="123">
        <f t="shared" si="3"/>
        <v>7696.94</v>
      </c>
      <c r="L129" s="124">
        <f>SUM(K129:K132)</f>
        <v>8152.4</v>
      </c>
      <c r="M129" s="89"/>
      <c r="N129" s="89"/>
      <c r="O129" s="89"/>
    </row>
    <row r="130" spans="1:15" ht="15.75">
      <c r="A130" s="122"/>
      <c r="B130" s="123"/>
      <c r="C130" s="123" t="s">
        <v>658</v>
      </c>
      <c r="D130" s="123">
        <v>140.19</v>
      </c>
      <c r="E130" s="123">
        <v>1.74</v>
      </c>
      <c r="F130" s="123">
        <v>244.48</v>
      </c>
      <c r="G130" s="123">
        <v>25.67</v>
      </c>
      <c r="H130" s="123">
        <v>69.25</v>
      </c>
      <c r="I130" s="123">
        <v>0.28000000000000003</v>
      </c>
      <c r="J130" s="123">
        <v>0</v>
      </c>
      <c r="K130" s="123">
        <f t="shared" si="3"/>
        <v>339.67999999999995</v>
      </c>
      <c r="L130" s="124"/>
      <c r="M130" s="89"/>
      <c r="N130" s="89"/>
      <c r="O130" s="89"/>
    </row>
    <row r="131" spans="1:15" ht="15.75">
      <c r="A131" s="122"/>
      <c r="B131" s="123"/>
      <c r="C131" s="123" t="s">
        <v>684</v>
      </c>
      <c r="D131" s="123">
        <v>33.409999999999997</v>
      </c>
      <c r="E131" s="123">
        <v>1.69</v>
      </c>
      <c r="F131" s="123">
        <v>56.73</v>
      </c>
      <c r="G131" s="123">
        <v>6.11</v>
      </c>
      <c r="H131" s="123">
        <v>16.5</v>
      </c>
      <c r="I131" s="123">
        <v>7.0000000000000007E-2</v>
      </c>
      <c r="J131" s="123"/>
      <c r="K131" s="123">
        <f t="shared" si="3"/>
        <v>79.41</v>
      </c>
      <c r="L131" s="124"/>
      <c r="M131" s="89"/>
      <c r="N131" s="89"/>
      <c r="O131" s="89"/>
    </row>
    <row r="132" spans="1:15" ht="15.75">
      <c r="A132" s="122"/>
      <c r="B132" s="123"/>
      <c r="C132" s="123" t="s">
        <v>659</v>
      </c>
      <c r="D132" s="123">
        <v>10.199999999999999</v>
      </c>
      <c r="E132" s="123">
        <v>3.25</v>
      </c>
      <c r="F132" s="123">
        <v>33.15</v>
      </c>
      <c r="G132" s="123">
        <v>0</v>
      </c>
      <c r="H132" s="123">
        <v>0</v>
      </c>
      <c r="I132" s="123">
        <v>0</v>
      </c>
      <c r="J132" s="123">
        <v>3.22</v>
      </c>
      <c r="K132" s="123">
        <f t="shared" si="3"/>
        <v>36.369999999999997</v>
      </c>
      <c r="L132" s="124"/>
      <c r="M132" s="89"/>
      <c r="N132" s="89"/>
      <c r="O132" s="89"/>
    </row>
    <row r="133" spans="1:15" ht="15.75">
      <c r="A133" s="122">
        <v>43496</v>
      </c>
      <c r="B133" s="123">
        <v>6577.99</v>
      </c>
      <c r="C133" s="123" t="s">
        <v>657</v>
      </c>
      <c r="D133" s="123">
        <v>2288.73</v>
      </c>
      <c r="E133" s="123">
        <v>2.0099999999999998</v>
      </c>
      <c r="F133" s="123">
        <v>4597.7700000000004</v>
      </c>
      <c r="G133" s="123">
        <v>556.14</v>
      </c>
      <c r="H133" s="123">
        <v>1130.6300000000001</v>
      </c>
      <c r="I133" s="123">
        <v>5.07</v>
      </c>
      <c r="J133" s="123">
        <v>0</v>
      </c>
      <c r="K133" s="123">
        <f t="shared" si="3"/>
        <v>6289.6100000000006</v>
      </c>
      <c r="L133" s="124">
        <f>SUM(K133:K135)</f>
        <v>6577.9900000000007</v>
      </c>
      <c r="M133" s="89"/>
      <c r="N133" s="89"/>
      <c r="O133" s="124">
        <f>+K133/D133</f>
        <v>2.7480786287591812</v>
      </c>
    </row>
    <row r="134" spans="1:15" ht="15.75">
      <c r="A134" s="122"/>
      <c r="B134" s="123"/>
      <c r="C134" s="123" t="s">
        <v>658</v>
      </c>
      <c r="D134" s="123">
        <v>110.84</v>
      </c>
      <c r="E134" s="123">
        <v>1.72</v>
      </c>
      <c r="F134" s="123">
        <v>190.74</v>
      </c>
      <c r="G134" s="123">
        <v>20.27</v>
      </c>
      <c r="H134" s="123">
        <v>54.76</v>
      </c>
      <c r="I134" s="123">
        <v>0.22</v>
      </c>
      <c r="J134" s="123">
        <v>0</v>
      </c>
      <c r="K134" s="123">
        <f t="shared" si="3"/>
        <v>265.99000000000007</v>
      </c>
      <c r="L134" s="124"/>
      <c r="M134" s="89"/>
      <c r="N134" s="89"/>
      <c r="O134" s="89"/>
    </row>
    <row r="135" spans="1:15" ht="15.75">
      <c r="A135" s="122"/>
      <c r="B135" s="123"/>
      <c r="C135" s="123" t="s">
        <v>659</v>
      </c>
      <c r="D135" s="123">
        <v>6.28</v>
      </c>
      <c r="E135" s="123">
        <v>3.25</v>
      </c>
      <c r="F135" s="123">
        <v>20.41</v>
      </c>
      <c r="G135" s="123">
        <v>0</v>
      </c>
      <c r="H135" s="123">
        <v>0</v>
      </c>
      <c r="I135" s="123">
        <v>0</v>
      </c>
      <c r="J135" s="123">
        <v>1.98</v>
      </c>
      <c r="K135" s="123">
        <f t="shared" si="3"/>
        <v>22.39</v>
      </c>
      <c r="L135" s="124"/>
      <c r="M135" s="89"/>
      <c r="N135" s="89"/>
      <c r="O135" s="89"/>
    </row>
    <row r="136" spans="1:15" ht="15.75">
      <c r="A136" s="122">
        <v>43496</v>
      </c>
      <c r="B136" s="123">
        <v>392.51</v>
      </c>
      <c r="C136" s="123" t="s">
        <v>657</v>
      </c>
      <c r="D136" s="123">
        <v>140.71</v>
      </c>
      <c r="E136" s="123">
        <v>2.0499999999999998</v>
      </c>
      <c r="F136" s="123">
        <v>288.68</v>
      </c>
      <c r="G136" s="123">
        <v>34.18</v>
      </c>
      <c r="H136" s="123">
        <v>69.510000000000005</v>
      </c>
      <c r="I136" s="123">
        <v>0.14000000000000001</v>
      </c>
      <c r="J136" s="123">
        <v>0</v>
      </c>
      <c r="K136" s="123">
        <f t="shared" si="3"/>
        <v>392.51</v>
      </c>
      <c r="L136" s="124"/>
      <c r="M136" s="124">
        <f>K136</f>
        <v>392.51</v>
      </c>
      <c r="N136" s="89"/>
      <c r="O136" s="89"/>
    </row>
    <row r="137" spans="1:15" ht="15.75">
      <c r="A137" s="122">
        <v>43505</v>
      </c>
      <c r="B137" s="123">
        <v>4319.58</v>
      </c>
      <c r="C137" s="123" t="s">
        <v>657</v>
      </c>
      <c r="D137" s="123">
        <v>1447.95</v>
      </c>
      <c r="E137" s="123">
        <v>2.0499999999999998</v>
      </c>
      <c r="F137" s="123">
        <v>2962.42</v>
      </c>
      <c r="G137" s="123">
        <v>351.87</v>
      </c>
      <c r="H137" s="123">
        <v>715.29</v>
      </c>
      <c r="I137" s="123">
        <v>3.18</v>
      </c>
      <c r="J137" s="123">
        <v>0</v>
      </c>
      <c r="K137" s="123">
        <f t="shared" si="3"/>
        <v>4032.7599999999998</v>
      </c>
      <c r="L137" s="124">
        <f>SUM(K137:K139)</f>
        <v>4319.58</v>
      </c>
      <c r="M137" s="89"/>
      <c r="N137" s="89"/>
      <c r="O137" s="89"/>
    </row>
    <row r="138" spans="1:15" ht="15.75">
      <c r="A138" s="122"/>
      <c r="B138" s="123"/>
      <c r="C138" s="123" t="s">
        <v>658</v>
      </c>
      <c r="D138" s="123">
        <v>112.9</v>
      </c>
      <c r="E138" s="123">
        <v>1.72</v>
      </c>
      <c r="F138" s="123">
        <v>194.66</v>
      </c>
      <c r="G138" s="123">
        <v>20.66</v>
      </c>
      <c r="H138" s="123">
        <v>55.77</v>
      </c>
      <c r="I138" s="123">
        <v>0.26</v>
      </c>
      <c r="J138" s="123">
        <v>0</v>
      </c>
      <c r="K138" s="123">
        <f t="shared" si="3"/>
        <v>271.34999999999997</v>
      </c>
      <c r="L138" s="124"/>
      <c r="M138" s="89"/>
      <c r="N138" s="89"/>
      <c r="O138" s="89"/>
    </row>
    <row r="139" spans="1:15" ht="15.75">
      <c r="A139" s="122"/>
      <c r="B139" s="123"/>
      <c r="C139" s="123" t="s">
        <v>659</v>
      </c>
      <c r="D139" s="123">
        <v>4.34</v>
      </c>
      <c r="E139" s="123">
        <v>3.25</v>
      </c>
      <c r="F139" s="123">
        <v>14.1</v>
      </c>
      <c r="G139" s="123">
        <v>0</v>
      </c>
      <c r="H139" s="123">
        <v>0</v>
      </c>
      <c r="I139" s="123">
        <v>0</v>
      </c>
      <c r="J139" s="123">
        <v>1.37</v>
      </c>
      <c r="K139" s="123">
        <f t="shared" si="3"/>
        <v>15.469999999999999</v>
      </c>
      <c r="L139" s="124"/>
      <c r="M139" s="89"/>
      <c r="N139" s="89"/>
      <c r="O139" s="89"/>
    </row>
    <row r="140" spans="1:15" ht="15.75">
      <c r="A140" s="122">
        <v>43512</v>
      </c>
      <c r="B140" s="123">
        <v>5735.84</v>
      </c>
      <c r="C140" s="123" t="s">
        <v>657</v>
      </c>
      <c r="D140" s="123">
        <v>1940.36</v>
      </c>
      <c r="E140" s="123">
        <v>2.09</v>
      </c>
      <c r="F140" s="123">
        <v>4047</v>
      </c>
      <c r="G140" s="123">
        <v>471.53</v>
      </c>
      <c r="H140" s="123">
        <v>958.55</v>
      </c>
      <c r="I140" s="123">
        <v>4.22</v>
      </c>
      <c r="J140" s="123">
        <v>0</v>
      </c>
      <c r="K140" s="123">
        <f t="shared" si="3"/>
        <v>5481.3</v>
      </c>
      <c r="L140" s="124">
        <f>SUM(K140:K142)</f>
        <v>5735.5700000000006</v>
      </c>
      <c r="M140" s="89"/>
      <c r="N140" s="89"/>
      <c r="O140" s="89"/>
    </row>
    <row r="141" spans="1:15" ht="15.75">
      <c r="A141" s="122"/>
      <c r="B141" s="123"/>
      <c r="C141" s="123" t="s">
        <v>658</v>
      </c>
      <c r="D141" s="123">
        <v>97.35</v>
      </c>
      <c r="E141" s="123">
        <v>1.76</v>
      </c>
      <c r="F141" s="123">
        <v>171.21</v>
      </c>
      <c r="G141" s="123">
        <v>17.809999999999999</v>
      </c>
      <c r="H141" s="123">
        <v>48.09</v>
      </c>
      <c r="I141" s="123">
        <v>0.23</v>
      </c>
      <c r="J141" s="123">
        <v>0</v>
      </c>
      <c r="K141" s="123">
        <f t="shared" si="3"/>
        <v>237.34</v>
      </c>
      <c r="L141" s="124"/>
      <c r="M141" s="89"/>
      <c r="N141" s="89"/>
      <c r="O141" s="89"/>
    </row>
    <row r="142" spans="1:15" ht="15.75">
      <c r="A142" s="122"/>
      <c r="B142" s="123"/>
      <c r="C142" s="123" t="s">
        <v>659</v>
      </c>
      <c r="D142" s="123">
        <v>4.75</v>
      </c>
      <c r="E142" s="123">
        <v>3.25</v>
      </c>
      <c r="F142" s="123">
        <v>15.43</v>
      </c>
      <c r="G142" s="123">
        <v>0</v>
      </c>
      <c r="H142" s="123">
        <v>0</v>
      </c>
      <c r="I142" s="123">
        <v>0</v>
      </c>
      <c r="J142" s="123">
        <v>1.5</v>
      </c>
      <c r="K142" s="123">
        <f t="shared" si="3"/>
        <v>16.93</v>
      </c>
      <c r="L142" s="124"/>
      <c r="M142" s="89"/>
      <c r="N142" s="89"/>
      <c r="O142" s="89"/>
    </row>
    <row r="143" spans="1:15" ht="15.75">
      <c r="A143" s="122">
        <v>43519</v>
      </c>
      <c r="B143" s="89">
        <v>10198.219999999999</v>
      </c>
      <c r="C143" s="123" t="s">
        <v>657</v>
      </c>
      <c r="D143" s="123">
        <v>3317.59</v>
      </c>
      <c r="E143" s="123">
        <v>2.17</v>
      </c>
      <c r="F143" s="123">
        <v>7213.57</v>
      </c>
      <c r="G143" s="123">
        <v>806.18</v>
      </c>
      <c r="H143" s="123">
        <v>1638.86</v>
      </c>
      <c r="I143" s="123">
        <v>7.29</v>
      </c>
      <c r="J143" s="123">
        <v>0</v>
      </c>
      <c r="K143" s="123">
        <f t="shared" si="3"/>
        <v>9665.9000000000015</v>
      </c>
      <c r="L143" s="124">
        <f>SUM(K143:K145)</f>
        <v>10198.220000000001</v>
      </c>
      <c r="M143" s="89"/>
      <c r="N143" s="89"/>
      <c r="O143" s="89"/>
    </row>
    <row r="144" spans="1:15" ht="15.75">
      <c r="A144" s="122"/>
      <c r="B144" s="123"/>
      <c r="C144" s="123" t="s">
        <v>658</v>
      </c>
      <c r="D144" s="123">
        <v>203.5</v>
      </c>
      <c r="E144" s="123">
        <v>1.79</v>
      </c>
      <c r="F144" s="123">
        <v>364.8</v>
      </c>
      <c r="G144" s="123">
        <v>37.24</v>
      </c>
      <c r="H144" s="123">
        <v>100.52</v>
      </c>
      <c r="I144" s="123">
        <v>0.46</v>
      </c>
      <c r="J144" s="123">
        <v>0</v>
      </c>
      <c r="K144" s="123">
        <f t="shared" si="3"/>
        <v>503.02</v>
      </c>
      <c r="L144" s="124"/>
      <c r="M144" s="124"/>
      <c r="N144" s="89"/>
      <c r="O144" s="89"/>
    </row>
    <row r="145" spans="1:15" ht="15.75">
      <c r="A145" s="122"/>
      <c r="B145" s="123"/>
      <c r="C145" s="123" t="s">
        <v>659</v>
      </c>
      <c r="D145" s="123">
        <v>8.2200000000000006</v>
      </c>
      <c r="E145" s="123">
        <v>3.25</v>
      </c>
      <c r="F145" s="123">
        <v>26.71</v>
      </c>
      <c r="G145" s="123">
        <v>0</v>
      </c>
      <c r="H145" s="123">
        <v>0</v>
      </c>
      <c r="I145" s="123">
        <v>0</v>
      </c>
      <c r="J145" s="123">
        <v>2.59</v>
      </c>
      <c r="K145" s="123">
        <f t="shared" si="3"/>
        <v>29.3</v>
      </c>
      <c r="L145" s="124"/>
      <c r="M145" s="124"/>
      <c r="N145" s="89"/>
      <c r="O145" s="89"/>
    </row>
    <row r="146" spans="1:15" ht="15.75">
      <c r="A146" s="122">
        <v>43524</v>
      </c>
      <c r="B146" s="123">
        <v>97.68</v>
      </c>
      <c r="C146" s="123" t="s">
        <v>657</v>
      </c>
      <c r="D146" s="123">
        <v>32.9</v>
      </c>
      <c r="E146" s="123">
        <v>2.23</v>
      </c>
      <c r="F146" s="123">
        <v>73.400000000000006</v>
      </c>
      <c r="G146" s="123">
        <v>8</v>
      </c>
      <c r="H146" s="123">
        <v>16.25</v>
      </c>
      <c r="I146" s="123">
        <v>0.03</v>
      </c>
      <c r="J146" s="123">
        <v>0</v>
      </c>
      <c r="K146" s="123">
        <f t="shared" si="3"/>
        <v>97.68</v>
      </c>
      <c r="L146" s="124"/>
      <c r="M146" s="124">
        <f>K146</f>
        <v>97.68</v>
      </c>
      <c r="N146" s="89"/>
      <c r="O146" s="89"/>
    </row>
    <row r="147" spans="1:15" ht="15.75">
      <c r="A147" s="122">
        <v>43524</v>
      </c>
      <c r="B147" s="123">
        <v>6769.72</v>
      </c>
      <c r="C147" s="123" t="s">
        <v>657</v>
      </c>
      <c r="D147" s="123">
        <v>2200.38</v>
      </c>
      <c r="E147" s="123">
        <v>2.1800000000000002</v>
      </c>
      <c r="F147" s="123">
        <v>4799.87</v>
      </c>
      <c r="G147" s="123">
        <v>534.69000000000005</v>
      </c>
      <c r="H147" s="123">
        <v>1086.99</v>
      </c>
      <c r="I147" s="123">
        <v>4.8099999999999996</v>
      </c>
      <c r="J147" s="123">
        <v>0</v>
      </c>
      <c r="K147" s="123">
        <f t="shared" si="3"/>
        <v>6426.36</v>
      </c>
      <c r="L147" s="124">
        <f>SUM(K147:K149)</f>
        <v>6769.7199999999993</v>
      </c>
      <c r="M147" s="89"/>
      <c r="N147" s="89"/>
      <c r="O147" s="89"/>
    </row>
    <row r="148" spans="1:15" ht="15.75">
      <c r="A148" s="122"/>
      <c r="B148" s="123"/>
      <c r="C148" s="123" t="s">
        <v>658</v>
      </c>
      <c r="D148" s="123">
        <v>131.52000000000001</v>
      </c>
      <c r="E148" s="123">
        <v>1.79</v>
      </c>
      <c r="F148" s="123">
        <v>235.67</v>
      </c>
      <c r="G148" s="123">
        <v>24.06</v>
      </c>
      <c r="H148" s="123">
        <v>64.959999999999994</v>
      </c>
      <c r="I148" s="123">
        <v>0.27</v>
      </c>
      <c r="J148" s="123">
        <v>0</v>
      </c>
      <c r="K148" s="123">
        <f t="shared" si="3"/>
        <v>324.95999999999992</v>
      </c>
      <c r="L148" s="124"/>
      <c r="M148" s="89"/>
      <c r="N148" s="89"/>
      <c r="O148" s="89"/>
    </row>
    <row r="149" spans="1:15" ht="15.75">
      <c r="A149" s="122"/>
      <c r="B149" s="123"/>
      <c r="C149" s="123" t="s">
        <v>659</v>
      </c>
      <c r="D149" s="123">
        <v>5.16</v>
      </c>
      <c r="E149" s="123">
        <v>3.25</v>
      </c>
      <c r="F149" s="123">
        <v>16.78</v>
      </c>
      <c r="G149" s="123">
        <v>0</v>
      </c>
      <c r="H149" s="123">
        <v>0</v>
      </c>
      <c r="I149" s="123">
        <v>0</v>
      </c>
      <c r="J149" s="123">
        <v>1.62</v>
      </c>
      <c r="K149" s="123">
        <f t="shared" si="3"/>
        <v>18.400000000000002</v>
      </c>
      <c r="L149" s="124"/>
      <c r="M149" s="89"/>
      <c r="N149" s="89"/>
      <c r="O149" s="89"/>
    </row>
    <row r="150" spans="1:15" ht="15.75">
      <c r="A150" s="122">
        <v>43533</v>
      </c>
      <c r="B150" s="123">
        <v>10462.129999999999</v>
      </c>
      <c r="C150" s="123" t="s">
        <v>657</v>
      </c>
      <c r="D150" s="123">
        <v>3396.58</v>
      </c>
      <c r="E150" s="123">
        <v>2.16</v>
      </c>
      <c r="F150" s="123">
        <v>7346.07</v>
      </c>
      <c r="G150" s="123">
        <v>825.38</v>
      </c>
      <c r="H150" s="123">
        <v>1677.87</v>
      </c>
      <c r="I150" s="123">
        <v>7.39</v>
      </c>
      <c r="J150" s="123">
        <v>0</v>
      </c>
      <c r="K150" s="123">
        <f t="shared" si="3"/>
        <v>9856.7099999999991</v>
      </c>
      <c r="L150" s="124">
        <f>SUM(K150:K152)</f>
        <v>10462.129999999999</v>
      </c>
      <c r="M150" s="89"/>
      <c r="N150" s="89"/>
      <c r="O150" s="89"/>
    </row>
    <row r="151" spans="1:15" ht="15.75">
      <c r="A151" s="122"/>
      <c r="B151" s="123"/>
      <c r="C151" s="123" t="s">
        <v>658</v>
      </c>
      <c r="D151" s="123">
        <v>211.35</v>
      </c>
      <c r="E151" s="123">
        <v>2</v>
      </c>
      <c r="F151" s="123">
        <v>422.92</v>
      </c>
      <c r="G151" s="123">
        <v>38.69</v>
      </c>
      <c r="H151" s="123">
        <v>104.4</v>
      </c>
      <c r="I151" s="123">
        <v>0.47</v>
      </c>
      <c r="J151" s="123">
        <v>0</v>
      </c>
      <c r="K151" s="123">
        <f t="shared" si="3"/>
        <v>566.48</v>
      </c>
      <c r="L151" s="124"/>
      <c r="M151" s="89"/>
      <c r="N151" s="89"/>
      <c r="O151" s="89"/>
    </row>
    <row r="152" spans="1:15" ht="15.75">
      <c r="A152" s="122"/>
      <c r="B152" s="123"/>
      <c r="C152" s="123" t="s">
        <v>659</v>
      </c>
      <c r="D152" s="123">
        <v>10.92</v>
      </c>
      <c r="E152" s="123">
        <v>3.25</v>
      </c>
      <c r="F152" s="123">
        <v>35.5</v>
      </c>
      <c r="G152" s="123">
        <v>0</v>
      </c>
      <c r="H152" s="123">
        <v>0</v>
      </c>
      <c r="I152" s="123">
        <v>0</v>
      </c>
      <c r="J152" s="123">
        <v>3.44</v>
      </c>
      <c r="K152" s="123">
        <f t="shared" si="3"/>
        <v>38.94</v>
      </c>
      <c r="L152" s="124"/>
      <c r="M152" s="89"/>
      <c r="N152" s="89"/>
      <c r="O152" s="89"/>
    </row>
    <row r="153" spans="1:15" ht="15.75">
      <c r="A153" s="122">
        <v>43539</v>
      </c>
      <c r="B153" s="123">
        <v>1068.8</v>
      </c>
      <c r="C153" s="123" t="s">
        <v>657</v>
      </c>
      <c r="D153" s="123">
        <v>362.47</v>
      </c>
      <c r="E153" s="123">
        <v>2.21</v>
      </c>
      <c r="F153" s="123">
        <v>801.29</v>
      </c>
      <c r="G153" s="123">
        <v>88.07</v>
      </c>
      <c r="H153" s="123">
        <v>179.07</v>
      </c>
      <c r="I153" s="123">
        <v>0.37</v>
      </c>
      <c r="J153" s="123">
        <v>0</v>
      </c>
      <c r="K153" s="123">
        <f t="shared" si="3"/>
        <v>1068.7999999999997</v>
      </c>
      <c r="L153" s="124"/>
      <c r="M153" s="124">
        <f>K153</f>
        <v>1068.7999999999997</v>
      </c>
      <c r="N153" s="89"/>
      <c r="O153" s="89"/>
    </row>
    <row r="154" spans="1:15" ht="15.75">
      <c r="A154" s="122">
        <v>43540</v>
      </c>
      <c r="B154" s="123">
        <v>8775.85</v>
      </c>
      <c r="C154" s="123" t="s">
        <v>657</v>
      </c>
      <c r="D154" s="123">
        <v>2871.21</v>
      </c>
      <c r="E154" s="123">
        <v>2.14</v>
      </c>
      <c r="F154" s="123">
        <v>6153.98</v>
      </c>
      <c r="G154" s="123">
        <v>697.68</v>
      </c>
      <c r="H154" s="123">
        <v>1418.35</v>
      </c>
      <c r="I154" s="123">
        <v>6.3</v>
      </c>
      <c r="J154" s="123">
        <v>0</v>
      </c>
      <c r="K154" s="123">
        <f t="shared" si="3"/>
        <v>8276.31</v>
      </c>
      <c r="L154" s="124">
        <f>SUM(K154:K156)</f>
        <v>8775.8499999999985</v>
      </c>
      <c r="M154" s="89"/>
      <c r="N154" s="89"/>
      <c r="O154" s="89"/>
    </row>
    <row r="155" spans="1:15" ht="15.75">
      <c r="A155" s="122"/>
      <c r="B155" s="123"/>
      <c r="C155" s="123" t="s">
        <v>658</v>
      </c>
      <c r="D155" s="123">
        <v>168.66</v>
      </c>
      <c r="E155" s="123">
        <v>2.11</v>
      </c>
      <c r="F155" s="123">
        <v>357.01</v>
      </c>
      <c r="G155" s="123">
        <v>30.88</v>
      </c>
      <c r="H155" s="123">
        <v>83.31</v>
      </c>
      <c r="I155" s="123">
        <v>0.35</v>
      </c>
      <c r="J155" s="123">
        <v>0</v>
      </c>
      <c r="K155" s="123">
        <f t="shared" si="3"/>
        <v>471.55</v>
      </c>
      <c r="L155" s="124"/>
      <c r="M155" s="89"/>
      <c r="N155" s="89"/>
      <c r="O155" s="89"/>
    </row>
    <row r="156" spans="1:15" ht="15.75">
      <c r="A156" s="122"/>
      <c r="B156" s="123"/>
      <c r="C156" s="123" t="s">
        <v>659</v>
      </c>
      <c r="D156" s="123">
        <v>7.85</v>
      </c>
      <c r="E156" s="123">
        <v>3.25</v>
      </c>
      <c r="F156" s="123">
        <v>25.51</v>
      </c>
      <c r="G156" s="123">
        <v>0</v>
      </c>
      <c r="H156" s="123">
        <v>0</v>
      </c>
      <c r="I156" s="123">
        <v>0</v>
      </c>
      <c r="J156" s="123">
        <v>2.48</v>
      </c>
      <c r="K156" s="123">
        <f t="shared" si="3"/>
        <v>27.990000000000002</v>
      </c>
      <c r="L156" s="124"/>
      <c r="M156" s="89"/>
      <c r="N156" s="89"/>
      <c r="O156" s="89"/>
    </row>
    <row r="157" spans="1:15" ht="15.75">
      <c r="A157" s="122">
        <v>43547</v>
      </c>
      <c r="B157" s="123">
        <v>8550.43</v>
      </c>
      <c r="C157" s="123" t="s">
        <v>657</v>
      </c>
      <c r="D157" s="123">
        <v>2788.22</v>
      </c>
      <c r="E157" s="123">
        <v>2.1800000000000002</v>
      </c>
      <c r="F157" s="123">
        <v>6066.41</v>
      </c>
      <c r="G157" s="123">
        <v>677.57</v>
      </c>
      <c r="H157" s="123">
        <v>1377.38</v>
      </c>
      <c r="I157" s="123">
        <v>6.06</v>
      </c>
      <c r="J157" s="123">
        <v>0</v>
      </c>
      <c r="K157" s="123">
        <f t="shared" si="3"/>
        <v>8127.42</v>
      </c>
      <c r="L157" s="124">
        <f>SUM(K157:K159)</f>
        <v>8550.43</v>
      </c>
      <c r="M157" s="89"/>
      <c r="N157" s="89"/>
      <c r="O157" s="89"/>
    </row>
    <row r="158" spans="1:15" ht="15.75">
      <c r="A158" s="122"/>
      <c r="B158" s="123"/>
      <c r="C158" s="123" t="s">
        <v>658</v>
      </c>
      <c r="D158" s="123">
        <v>136.86000000000001</v>
      </c>
      <c r="E158" s="123">
        <v>2.2400000000000002</v>
      </c>
      <c r="F158" s="123">
        <v>306.47000000000003</v>
      </c>
      <c r="G158" s="123">
        <v>25.07</v>
      </c>
      <c r="H158" s="123">
        <v>67.58</v>
      </c>
      <c r="I158" s="123">
        <v>0.28999999999999998</v>
      </c>
      <c r="J158" s="123">
        <v>0</v>
      </c>
      <c r="K158" s="123">
        <f t="shared" si="3"/>
        <v>399.41</v>
      </c>
      <c r="L158" s="124"/>
      <c r="M158" s="89"/>
      <c r="N158" s="89"/>
      <c r="O158" s="89"/>
    </row>
    <row r="159" spans="1:15" ht="15.75">
      <c r="A159" s="122"/>
      <c r="B159" s="123"/>
      <c r="C159" s="123" t="s">
        <v>659</v>
      </c>
      <c r="D159" s="123">
        <v>6.62</v>
      </c>
      <c r="E159" s="123">
        <v>3.25</v>
      </c>
      <c r="F159" s="123">
        <v>21.51</v>
      </c>
      <c r="G159" s="123">
        <v>0</v>
      </c>
      <c r="H159" s="123">
        <v>0</v>
      </c>
      <c r="I159" s="123">
        <v>0</v>
      </c>
      <c r="J159" s="123">
        <v>2.09</v>
      </c>
      <c r="K159" s="123">
        <f t="shared" si="3"/>
        <v>23.6</v>
      </c>
      <c r="L159" s="124"/>
      <c r="M159" s="89"/>
      <c r="N159" s="89"/>
      <c r="O159" s="89"/>
    </row>
    <row r="160" spans="1:15" ht="15.75">
      <c r="A160" s="122">
        <v>43555</v>
      </c>
      <c r="B160" s="123">
        <v>798.73</v>
      </c>
      <c r="C160" s="123" t="s">
        <v>657</v>
      </c>
      <c r="D160" s="123">
        <v>273.37</v>
      </c>
      <c r="E160" s="123">
        <v>2.1800000000000002</v>
      </c>
      <c r="F160" s="123">
        <v>596.99</v>
      </c>
      <c r="G160" s="123">
        <v>66.430000000000007</v>
      </c>
      <c r="H160" s="123">
        <v>135.04</v>
      </c>
      <c r="I160" s="123">
        <v>0.27</v>
      </c>
      <c r="J160" s="123">
        <v>0</v>
      </c>
      <c r="K160" s="123">
        <f t="shared" si="3"/>
        <v>798.73</v>
      </c>
      <c r="L160" s="124"/>
      <c r="M160" s="124">
        <f>K160</f>
        <v>798.73</v>
      </c>
      <c r="N160" s="89"/>
      <c r="O160" s="89"/>
    </row>
    <row r="161" spans="1:15" ht="15.75">
      <c r="A161" s="122">
        <v>43555</v>
      </c>
      <c r="B161" s="123">
        <v>8987.34</v>
      </c>
      <c r="C161" s="123" t="s">
        <v>657</v>
      </c>
      <c r="D161" s="123">
        <v>2887.51</v>
      </c>
      <c r="E161" s="123">
        <v>2.1800000000000002</v>
      </c>
      <c r="F161" s="123">
        <v>6312.37</v>
      </c>
      <c r="G161" s="123">
        <v>701.66</v>
      </c>
      <c r="H161" s="123">
        <v>1426.48</v>
      </c>
      <c r="I161" s="123">
        <v>6.32</v>
      </c>
      <c r="J161" s="123">
        <v>0</v>
      </c>
      <c r="K161" s="123">
        <f t="shared" si="3"/>
        <v>8446.83</v>
      </c>
      <c r="L161" s="124">
        <f>SUM(K161:K163)</f>
        <v>8987.34</v>
      </c>
      <c r="M161" s="89"/>
      <c r="N161" s="89"/>
      <c r="O161" s="89"/>
    </row>
    <row r="162" spans="1:15" ht="15.75">
      <c r="A162" s="122"/>
      <c r="B162" s="123"/>
      <c r="C162" s="123" t="s">
        <v>658</v>
      </c>
      <c r="D162" s="123">
        <v>164.11</v>
      </c>
      <c r="E162" s="123">
        <v>2.41</v>
      </c>
      <c r="F162" s="123">
        <v>394.13</v>
      </c>
      <c r="G162" s="123">
        <v>30.05</v>
      </c>
      <c r="H162" s="123">
        <v>81.06</v>
      </c>
      <c r="I162" s="123">
        <v>0.37</v>
      </c>
      <c r="J162" s="123">
        <v>0</v>
      </c>
      <c r="K162" s="123">
        <f t="shared" si="3"/>
        <v>505.61</v>
      </c>
      <c r="L162" s="124"/>
      <c r="M162" s="89"/>
      <c r="N162" s="89"/>
      <c r="O162" s="89"/>
    </row>
    <row r="163" spans="1:15" ht="15.75">
      <c r="A163" s="122"/>
      <c r="B163" s="123"/>
      <c r="C163" s="123" t="s">
        <v>659</v>
      </c>
      <c r="D163" s="123">
        <v>9.7899999999999991</v>
      </c>
      <c r="E163" s="123">
        <v>3.25</v>
      </c>
      <c r="F163" s="123">
        <v>31.82</v>
      </c>
      <c r="G163" s="123">
        <v>0</v>
      </c>
      <c r="H163" s="123">
        <v>0</v>
      </c>
      <c r="I163" s="123">
        <v>0</v>
      </c>
      <c r="J163" s="123">
        <v>3.08</v>
      </c>
      <c r="K163" s="123">
        <f t="shared" si="3"/>
        <v>34.9</v>
      </c>
      <c r="L163" s="124"/>
      <c r="M163" s="89"/>
      <c r="N163" s="89"/>
      <c r="O163" s="89"/>
    </row>
    <row r="164" spans="1:15" ht="15.75">
      <c r="A164" s="122">
        <v>43561</v>
      </c>
      <c r="B164" s="123">
        <v>10160.120000000001</v>
      </c>
      <c r="C164" s="123" t="s">
        <v>657</v>
      </c>
      <c r="D164" s="123">
        <v>3269.2</v>
      </c>
      <c r="E164" s="123">
        <v>2.19</v>
      </c>
      <c r="F164" s="123">
        <v>7186.61</v>
      </c>
      <c r="G164" s="123">
        <v>794.38</v>
      </c>
      <c r="H164" s="123">
        <v>1615.07</v>
      </c>
      <c r="I164" s="123">
        <v>7.17</v>
      </c>
      <c r="J164" s="123">
        <v>0</v>
      </c>
      <c r="K164" s="123">
        <f t="shared" si="3"/>
        <v>9603.23</v>
      </c>
      <c r="L164" s="124">
        <f>SUM(K164:K166)</f>
        <v>10160.119999999999</v>
      </c>
      <c r="M164" s="89"/>
      <c r="N164" s="89"/>
      <c r="O164" s="89"/>
    </row>
    <row r="165" spans="1:15" ht="15.75">
      <c r="A165" s="122"/>
      <c r="B165" s="123"/>
      <c r="C165" s="123" t="s">
        <v>658</v>
      </c>
      <c r="D165" s="123">
        <v>163.55000000000001</v>
      </c>
      <c r="E165" s="123">
        <v>2.4900000000000002</v>
      </c>
      <c r="F165" s="123">
        <v>407.08</v>
      </c>
      <c r="G165" s="123">
        <v>29.95</v>
      </c>
      <c r="H165" s="123">
        <v>80.790000000000006</v>
      </c>
      <c r="I165" s="123">
        <v>0.35</v>
      </c>
      <c r="J165" s="123">
        <v>0</v>
      </c>
      <c r="K165" s="123">
        <f t="shared" si="3"/>
        <v>518.16999999999996</v>
      </c>
      <c r="L165" s="124"/>
      <c r="M165" s="89"/>
      <c r="N165" s="89"/>
      <c r="O165" s="89"/>
    </row>
    <row r="166" spans="1:15" ht="15.75">
      <c r="A166" s="122"/>
      <c r="B166" s="123"/>
      <c r="C166" s="123" t="s">
        <v>659</v>
      </c>
      <c r="D166" s="123">
        <v>10.85</v>
      </c>
      <c r="E166" s="123">
        <v>3.25</v>
      </c>
      <c r="F166" s="123">
        <v>35.26</v>
      </c>
      <c r="G166" s="123">
        <v>0</v>
      </c>
      <c r="H166" s="123">
        <v>0</v>
      </c>
      <c r="I166" s="123">
        <v>0</v>
      </c>
      <c r="J166" s="123">
        <v>3.46</v>
      </c>
      <c r="K166" s="123">
        <f t="shared" si="3"/>
        <v>38.72</v>
      </c>
      <c r="L166" s="124"/>
      <c r="M166" s="89"/>
      <c r="N166" s="89"/>
      <c r="O166" s="89"/>
    </row>
    <row r="167" spans="1:15" ht="15.75">
      <c r="A167" s="122">
        <v>43568</v>
      </c>
      <c r="B167" s="123">
        <v>9043.82</v>
      </c>
      <c r="C167" s="123" t="s">
        <v>657</v>
      </c>
      <c r="D167" s="123">
        <v>2768.78</v>
      </c>
      <c r="E167" s="123">
        <v>2.33</v>
      </c>
      <c r="F167" s="123">
        <v>6438.68</v>
      </c>
      <c r="G167" s="123">
        <v>672.83</v>
      </c>
      <c r="H167" s="123">
        <v>1367.71</v>
      </c>
      <c r="I167" s="123">
        <v>6</v>
      </c>
      <c r="J167" s="123">
        <v>0</v>
      </c>
      <c r="K167" s="123">
        <f t="shared" si="3"/>
        <v>8485.2200000000012</v>
      </c>
      <c r="L167" s="124">
        <f>SUM(K167:K169)</f>
        <v>9043.82</v>
      </c>
      <c r="M167" s="89"/>
      <c r="N167" s="89"/>
      <c r="O167" s="89"/>
    </row>
    <row r="168" spans="1:15" ht="15.75">
      <c r="A168" s="122"/>
      <c r="B168" s="123"/>
      <c r="C168" s="123" t="s">
        <v>658</v>
      </c>
      <c r="D168" s="123">
        <v>167.43</v>
      </c>
      <c r="E168" s="123">
        <v>2.57</v>
      </c>
      <c r="F168" s="123">
        <v>429.73</v>
      </c>
      <c r="G168" s="123">
        <v>30.67</v>
      </c>
      <c r="H168" s="123">
        <v>82.71</v>
      </c>
      <c r="I168" s="123">
        <v>0.36</v>
      </c>
      <c r="J168" s="123">
        <v>0</v>
      </c>
      <c r="K168" s="123">
        <f t="shared" si="3"/>
        <v>543.47</v>
      </c>
      <c r="L168" s="124"/>
      <c r="M168" s="89"/>
      <c r="N168" s="89"/>
      <c r="O168" s="89"/>
    </row>
    <row r="169" spans="1:15" ht="15.75">
      <c r="A169" s="122"/>
      <c r="B169" s="123"/>
      <c r="C169" s="123" t="s">
        <v>659</v>
      </c>
      <c r="D169" s="123">
        <v>4.24</v>
      </c>
      <c r="E169" s="123">
        <v>3.25</v>
      </c>
      <c r="F169" s="123">
        <v>13.77</v>
      </c>
      <c r="G169" s="123">
        <v>0</v>
      </c>
      <c r="H169" s="123">
        <v>0</v>
      </c>
      <c r="I169" s="123">
        <v>0</v>
      </c>
      <c r="J169" s="123">
        <v>1.36</v>
      </c>
      <c r="K169" s="123">
        <f t="shared" si="3"/>
        <v>15.129999999999999</v>
      </c>
      <c r="L169" s="124"/>
      <c r="M169" s="89"/>
      <c r="N169" s="89"/>
      <c r="O169" s="89"/>
    </row>
    <row r="170" spans="1:15" ht="15.75">
      <c r="A170" s="122">
        <v>43571</v>
      </c>
      <c r="B170" s="89">
        <v>144.13999999999999</v>
      </c>
      <c r="C170" s="123" t="s">
        <v>685</v>
      </c>
      <c r="D170" s="89"/>
      <c r="E170" s="89"/>
      <c r="F170" s="89"/>
      <c r="G170" s="89"/>
      <c r="H170" s="89"/>
      <c r="I170" s="89"/>
      <c r="J170" s="89"/>
      <c r="K170" s="123">
        <f t="shared" si="3"/>
        <v>0</v>
      </c>
      <c r="L170" s="89">
        <v>144.13999999999999</v>
      </c>
      <c r="M170" s="89"/>
      <c r="N170" s="89"/>
      <c r="O170" s="89"/>
    </row>
    <row r="171" spans="1:15" ht="15.75">
      <c r="A171" s="122">
        <v>43572</v>
      </c>
      <c r="B171" s="89">
        <v>219.87</v>
      </c>
      <c r="C171" s="123" t="s">
        <v>1413</v>
      </c>
      <c r="D171" s="123">
        <v>10</v>
      </c>
      <c r="E171" s="123">
        <v>19.75</v>
      </c>
      <c r="F171" s="89"/>
      <c r="G171" s="89"/>
      <c r="H171" s="89"/>
      <c r="I171" s="89"/>
      <c r="J171" s="89">
        <v>18.52</v>
      </c>
      <c r="K171" s="123">
        <f t="shared" si="3"/>
        <v>18.52</v>
      </c>
      <c r="L171" s="89">
        <v>219.87</v>
      </c>
      <c r="M171" s="89"/>
      <c r="N171" s="89"/>
      <c r="O171" s="89"/>
    </row>
    <row r="172" spans="1:15" ht="15.75">
      <c r="A172" s="122">
        <v>43575</v>
      </c>
      <c r="B172" s="123">
        <v>9483.49</v>
      </c>
      <c r="C172" s="123" t="s">
        <v>657</v>
      </c>
      <c r="D172" s="123">
        <v>2821.12</v>
      </c>
      <c r="E172" s="123">
        <v>2.39</v>
      </c>
      <c r="F172" s="123">
        <v>6749.78</v>
      </c>
      <c r="G172" s="123">
        <v>685.52</v>
      </c>
      <c r="H172" s="123">
        <v>1393.62</v>
      </c>
      <c r="I172" s="123">
        <v>6.2</v>
      </c>
      <c r="J172" s="89"/>
      <c r="K172" s="123">
        <f t="shared" si="3"/>
        <v>8835.119999999999</v>
      </c>
      <c r="L172" s="124">
        <f>SUM(K172:K174)</f>
        <v>9483.49</v>
      </c>
      <c r="M172" s="89"/>
      <c r="N172" s="89"/>
      <c r="O172" s="89"/>
    </row>
    <row r="173" spans="1:15" ht="15.75">
      <c r="A173" s="122"/>
      <c r="B173" s="89"/>
      <c r="C173" s="123" t="s">
        <v>658</v>
      </c>
      <c r="D173" s="123">
        <v>183.47</v>
      </c>
      <c r="E173" s="123">
        <v>2.66</v>
      </c>
      <c r="F173" s="123">
        <v>488.46</v>
      </c>
      <c r="G173" s="123">
        <v>33.58</v>
      </c>
      <c r="H173" s="123">
        <v>90.64</v>
      </c>
      <c r="I173" s="123">
        <v>0.41</v>
      </c>
      <c r="J173" s="89"/>
      <c r="K173" s="123">
        <f t="shared" si="3"/>
        <v>613.08999999999992</v>
      </c>
      <c r="L173" s="89"/>
      <c r="M173" s="89"/>
      <c r="N173" s="89"/>
      <c r="O173" s="89"/>
    </row>
    <row r="174" spans="1:15" ht="15.75">
      <c r="A174" s="122"/>
      <c r="B174" s="89"/>
      <c r="C174" s="123" t="s">
        <v>659</v>
      </c>
      <c r="D174" s="123">
        <v>9.89</v>
      </c>
      <c r="E174" s="123">
        <v>3.25</v>
      </c>
      <c r="F174" s="123">
        <v>32.130000000000003</v>
      </c>
      <c r="G174" s="123">
        <v>0</v>
      </c>
      <c r="H174" s="123">
        <v>0</v>
      </c>
      <c r="I174" s="123">
        <v>0</v>
      </c>
      <c r="J174" s="123">
        <v>3.15</v>
      </c>
      <c r="K174" s="123">
        <f t="shared" si="3"/>
        <v>35.28</v>
      </c>
      <c r="L174" s="89"/>
      <c r="M174" s="89"/>
      <c r="N174" s="89"/>
      <c r="O174" s="89"/>
    </row>
    <row r="175" spans="1:15" ht="15.75">
      <c r="A175" s="122">
        <v>43585</v>
      </c>
      <c r="B175" s="812">
        <v>459.83</v>
      </c>
      <c r="C175" s="813" t="s">
        <v>657</v>
      </c>
      <c r="D175" s="813">
        <v>146.38</v>
      </c>
      <c r="E175" s="813">
        <v>2.4</v>
      </c>
      <c r="F175" s="813">
        <v>351.8</v>
      </c>
      <c r="G175" s="813">
        <v>35.57</v>
      </c>
      <c r="H175" s="813">
        <v>72.31</v>
      </c>
      <c r="I175" s="813">
        <v>0.15</v>
      </c>
      <c r="J175" s="813"/>
      <c r="K175" s="123">
        <f t="shared" si="3"/>
        <v>459.83</v>
      </c>
      <c r="L175" s="812"/>
      <c r="M175" s="814">
        <f>K175</f>
        <v>459.83</v>
      </c>
      <c r="N175" s="89"/>
      <c r="O175" s="89"/>
    </row>
    <row r="176" spans="1:15" ht="15.75">
      <c r="A176" s="122">
        <v>43596</v>
      </c>
      <c r="B176" s="123">
        <v>16287.41</v>
      </c>
      <c r="C176" s="123" t="s">
        <v>657</v>
      </c>
      <c r="D176" s="123">
        <v>4391.1000000000004</v>
      </c>
      <c r="E176" s="123">
        <v>2.399</v>
      </c>
      <c r="F176" s="123">
        <v>11849.7</v>
      </c>
      <c r="G176" s="123">
        <v>1200.18</v>
      </c>
      <c r="H176" s="123">
        <v>2439.91</v>
      </c>
      <c r="I176" s="123">
        <v>10.83</v>
      </c>
      <c r="J176" s="89"/>
      <c r="K176" s="123">
        <f t="shared" si="3"/>
        <v>15500.62</v>
      </c>
      <c r="L176" s="124">
        <f>SUM(K176:K178)</f>
        <v>16287.41</v>
      </c>
      <c r="M176" s="89"/>
      <c r="N176" s="127"/>
      <c r="O176" s="127"/>
    </row>
    <row r="177" spans="1:15" ht="15.75">
      <c r="A177" s="122"/>
      <c r="B177" s="89"/>
      <c r="C177" s="123" t="s">
        <v>658</v>
      </c>
      <c r="D177" s="123">
        <v>220.04</v>
      </c>
      <c r="E177" s="123">
        <v>2.63</v>
      </c>
      <c r="F177" s="123">
        <v>578.71</v>
      </c>
      <c r="G177" s="123">
        <v>40.270000000000003</v>
      </c>
      <c r="H177" s="123">
        <v>108.67</v>
      </c>
      <c r="I177" s="123">
        <v>0.48</v>
      </c>
      <c r="J177" s="123">
        <v>0</v>
      </c>
      <c r="K177" s="123">
        <f t="shared" si="3"/>
        <v>728.13</v>
      </c>
      <c r="L177" s="89"/>
      <c r="M177" s="89"/>
      <c r="N177" s="89"/>
      <c r="O177" s="89"/>
    </row>
    <row r="178" spans="1:15" ht="15.75">
      <c r="A178" s="122"/>
      <c r="B178" s="89"/>
      <c r="C178" s="123" t="s">
        <v>659</v>
      </c>
      <c r="D178" s="123">
        <v>16.440000000000001</v>
      </c>
      <c r="E178" s="123">
        <v>3.25</v>
      </c>
      <c r="F178" s="123">
        <v>53.42</v>
      </c>
      <c r="G178" s="123"/>
      <c r="H178" s="123"/>
      <c r="I178" s="123"/>
      <c r="J178" s="123">
        <v>5.24</v>
      </c>
      <c r="K178" s="123">
        <f t="shared" si="3"/>
        <v>58.660000000000004</v>
      </c>
      <c r="L178" s="89"/>
      <c r="M178" s="89"/>
      <c r="N178" s="89"/>
      <c r="O178" s="89"/>
    </row>
    <row r="179" spans="1:15" ht="15.75">
      <c r="A179" s="122">
        <v>43600</v>
      </c>
      <c r="B179" s="89">
        <v>142.08000000000001</v>
      </c>
      <c r="C179" s="123" t="s">
        <v>657</v>
      </c>
      <c r="D179" s="123">
        <v>45.7</v>
      </c>
      <c r="E179" s="123">
        <v>2.37</v>
      </c>
      <c r="F179" s="123">
        <v>108.34</v>
      </c>
      <c r="G179" s="123">
        <v>11.11</v>
      </c>
      <c r="H179" s="123">
        <v>22.58</v>
      </c>
      <c r="I179" s="123">
        <v>0.05</v>
      </c>
      <c r="J179" s="123">
        <v>0</v>
      </c>
      <c r="K179" s="123">
        <f t="shared" si="3"/>
        <v>142.08000000000001</v>
      </c>
      <c r="L179" s="89"/>
      <c r="M179" s="124">
        <f>K179</f>
        <v>142.08000000000001</v>
      </c>
      <c r="N179" s="89"/>
      <c r="O179" s="89"/>
    </row>
    <row r="180" spans="1:15" ht="15.75">
      <c r="A180" s="122">
        <v>43603</v>
      </c>
      <c r="B180" s="123">
        <v>10033.75</v>
      </c>
      <c r="C180" s="123" t="s">
        <v>657</v>
      </c>
      <c r="D180" s="123">
        <v>3001.62</v>
      </c>
      <c r="E180" s="123">
        <v>2.39</v>
      </c>
      <c r="F180" s="123">
        <v>7183.28</v>
      </c>
      <c r="G180" s="123">
        <v>729.39</v>
      </c>
      <c r="H180" s="123">
        <v>1482.82</v>
      </c>
      <c r="I180" s="123">
        <v>6.55</v>
      </c>
      <c r="J180" s="89"/>
      <c r="K180" s="123">
        <f t="shared" si="3"/>
        <v>9402.0399999999991</v>
      </c>
      <c r="L180" s="124">
        <f>SUM(K180:K182)</f>
        <v>10033.75</v>
      </c>
      <c r="M180" s="89"/>
      <c r="N180" s="89"/>
      <c r="O180" s="89"/>
    </row>
    <row r="181" spans="1:15" ht="15.75">
      <c r="A181" s="122"/>
      <c r="B181" s="89"/>
      <c r="C181" s="123" t="s">
        <v>658</v>
      </c>
      <c r="D181" s="123">
        <v>184.76</v>
      </c>
      <c r="E181" s="123">
        <v>2.65</v>
      </c>
      <c r="F181" s="123">
        <v>488.65</v>
      </c>
      <c r="G181" s="123">
        <v>33.83</v>
      </c>
      <c r="H181" s="123">
        <v>91.28</v>
      </c>
      <c r="I181" s="123">
        <v>0.43</v>
      </c>
      <c r="J181" s="123">
        <v>0</v>
      </c>
      <c r="K181" s="123">
        <f t="shared" si="3"/>
        <v>614.18999999999994</v>
      </c>
      <c r="L181" s="89"/>
      <c r="M181" s="89"/>
      <c r="N181" s="89"/>
      <c r="O181" s="89"/>
    </row>
    <row r="182" spans="1:15" ht="15.75">
      <c r="A182" s="122"/>
      <c r="B182" s="89"/>
      <c r="C182" s="123" t="s">
        <v>659</v>
      </c>
      <c r="D182" s="123">
        <v>4.91</v>
      </c>
      <c r="E182" s="123">
        <v>3.25</v>
      </c>
      <c r="F182" s="123">
        <v>15.95</v>
      </c>
      <c r="G182" s="123"/>
      <c r="H182" s="123"/>
      <c r="I182" s="123"/>
      <c r="J182" s="123">
        <v>1.57</v>
      </c>
      <c r="K182" s="123">
        <f t="shared" si="3"/>
        <v>17.52</v>
      </c>
      <c r="L182" s="89"/>
      <c r="M182" s="89"/>
      <c r="N182" s="89"/>
      <c r="O182" s="89"/>
    </row>
    <row r="183" spans="1:15" ht="15.75">
      <c r="A183" s="122">
        <v>43610</v>
      </c>
      <c r="B183" s="123">
        <v>9807.7900000000009</v>
      </c>
      <c r="C183" s="123" t="s">
        <v>657</v>
      </c>
      <c r="D183" s="123">
        <v>2983.66</v>
      </c>
      <c r="E183" s="123">
        <v>2.34</v>
      </c>
      <c r="F183" s="123">
        <v>6991.69</v>
      </c>
      <c r="G183" s="123">
        <v>725.01</v>
      </c>
      <c r="H183" s="123">
        <v>1473.96</v>
      </c>
      <c r="I183" s="123">
        <v>6.52</v>
      </c>
      <c r="J183" s="89"/>
      <c r="K183" s="123">
        <f t="shared" ref="K183:K187" si="4">SUM(F183:J183)</f>
        <v>9197.18</v>
      </c>
      <c r="L183" s="124">
        <f>SUM(K183:K186)</f>
        <v>9807.726999999999</v>
      </c>
      <c r="M183" s="89"/>
      <c r="N183" s="89"/>
      <c r="O183" s="89"/>
    </row>
    <row r="184" spans="1:15" ht="15.75">
      <c r="A184" s="122"/>
      <c r="B184" s="89"/>
      <c r="C184" s="123" t="s">
        <v>658</v>
      </c>
      <c r="D184" s="123">
        <v>148.57</v>
      </c>
      <c r="E184" s="123">
        <v>2.59</v>
      </c>
      <c r="F184" s="123">
        <v>384.99</v>
      </c>
      <c r="G184" s="123">
        <v>27.19</v>
      </c>
      <c r="H184" s="123">
        <v>73.39</v>
      </c>
      <c r="I184" s="123">
        <v>0.32</v>
      </c>
      <c r="J184" s="89"/>
      <c r="K184" s="123">
        <f t="shared" si="4"/>
        <v>485.89</v>
      </c>
      <c r="L184" s="89"/>
      <c r="M184" s="89"/>
      <c r="N184" s="89"/>
      <c r="O184" s="89"/>
    </row>
    <row r="185" spans="1:15" ht="15.75">
      <c r="A185" s="122"/>
      <c r="B185" s="89"/>
      <c r="C185" s="123" t="s">
        <v>659</v>
      </c>
      <c r="D185" s="123">
        <v>8.94</v>
      </c>
      <c r="E185" s="123">
        <v>3.25</v>
      </c>
      <c r="F185" s="123">
        <v>29.05</v>
      </c>
      <c r="G185" s="123"/>
      <c r="H185" s="123"/>
      <c r="I185" s="123"/>
      <c r="J185" s="123">
        <v>2.85</v>
      </c>
      <c r="K185" s="123">
        <f t="shared" si="4"/>
        <v>31.900000000000002</v>
      </c>
      <c r="L185" s="89"/>
      <c r="M185" s="89"/>
      <c r="N185" s="89"/>
      <c r="O185" s="89"/>
    </row>
    <row r="186" spans="1:15" ht="15.75">
      <c r="A186" s="122"/>
      <c r="B186" s="89"/>
      <c r="C186" s="123" t="s">
        <v>1525</v>
      </c>
      <c r="D186" s="123">
        <v>30.11</v>
      </c>
      <c r="E186" s="123">
        <v>2.34</v>
      </c>
      <c r="F186" s="123">
        <v>70.56</v>
      </c>
      <c r="G186" s="123">
        <v>7.32</v>
      </c>
      <c r="H186" s="123">
        <v>14.87</v>
      </c>
      <c r="I186" s="123">
        <v>7.0000000000000001E-3</v>
      </c>
      <c r="J186" s="123"/>
      <c r="K186" s="123">
        <f t="shared" si="4"/>
        <v>92.757000000000005</v>
      </c>
      <c r="L186" s="89"/>
      <c r="M186" s="89"/>
      <c r="N186" s="89"/>
      <c r="O186" s="89"/>
    </row>
    <row r="187" spans="1:15" ht="15.75">
      <c r="A187" s="122">
        <v>43616</v>
      </c>
      <c r="B187" s="123">
        <v>8180.49</v>
      </c>
      <c r="C187" s="123" t="s">
        <v>657</v>
      </c>
      <c r="D187" s="123">
        <v>2581.65</v>
      </c>
      <c r="E187" s="123">
        <v>2.2200000000000002</v>
      </c>
      <c r="F187" s="123">
        <v>5722.29</v>
      </c>
      <c r="G187" s="123">
        <v>627.35</v>
      </c>
      <c r="H187" s="123">
        <v>1275.3399999999999</v>
      </c>
      <c r="I187" s="123">
        <v>5.61</v>
      </c>
      <c r="J187" s="123">
        <v>0</v>
      </c>
      <c r="K187" s="123">
        <f t="shared" si="4"/>
        <v>7630.59</v>
      </c>
      <c r="L187" s="124">
        <f>SUM(K187:K189)</f>
        <v>8180.49</v>
      </c>
      <c r="M187" s="89"/>
      <c r="N187" s="89"/>
      <c r="O187" s="89"/>
    </row>
    <row r="188" spans="1:15" ht="15.75">
      <c r="A188" s="122"/>
      <c r="B188" s="89"/>
      <c r="C188" s="123" t="s">
        <v>658</v>
      </c>
      <c r="D188" s="123">
        <v>170.35</v>
      </c>
      <c r="E188" s="123">
        <v>2.4900000000000002</v>
      </c>
      <c r="F188" s="123">
        <v>424.18</v>
      </c>
      <c r="G188" s="123">
        <v>31.2</v>
      </c>
      <c r="H188" s="123">
        <v>84.15</v>
      </c>
      <c r="I188" s="123">
        <v>0.38</v>
      </c>
      <c r="J188" s="123">
        <v>0</v>
      </c>
      <c r="K188" s="123">
        <f>SUM(F188:J188)</f>
        <v>539.91</v>
      </c>
      <c r="L188" s="89"/>
      <c r="M188" s="89"/>
      <c r="N188" s="89"/>
      <c r="O188" s="89"/>
    </row>
    <row r="189" spans="1:15" ht="15.75">
      <c r="A189" s="122"/>
      <c r="B189" s="812"/>
      <c r="C189" s="813" t="s">
        <v>659</v>
      </c>
      <c r="D189" s="813">
        <v>2.8</v>
      </c>
      <c r="E189" s="813">
        <v>3.25</v>
      </c>
      <c r="F189" s="813">
        <v>9.1</v>
      </c>
      <c r="G189" s="813">
        <v>0</v>
      </c>
      <c r="H189" s="813">
        <v>0</v>
      </c>
      <c r="I189" s="813">
        <v>0</v>
      </c>
      <c r="J189" s="813">
        <v>0.89</v>
      </c>
      <c r="K189" s="813">
        <f>SUM(F189:J189)</f>
        <v>9.99</v>
      </c>
      <c r="L189" s="812"/>
      <c r="M189" s="812"/>
      <c r="N189" s="89"/>
      <c r="O189" s="89"/>
    </row>
    <row r="190" spans="1:15" ht="15.75">
      <c r="A190" s="122">
        <v>43616</v>
      </c>
      <c r="B190" s="128">
        <v>387.15</v>
      </c>
      <c r="C190" s="123" t="s">
        <v>657</v>
      </c>
      <c r="D190" s="671">
        <v>128.33000000000001</v>
      </c>
      <c r="E190" s="671">
        <v>3.28</v>
      </c>
      <c r="F190" s="671">
        <v>292.44</v>
      </c>
      <c r="G190" s="671">
        <v>31.19</v>
      </c>
      <c r="H190" s="671">
        <v>63.39</v>
      </c>
      <c r="I190" s="671">
        <v>0.13</v>
      </c>
      <c r="J190" s="671"/>
      <c r="K190" s="671">
        <v>387.15</v>
      </c>
      <c r="L190" s="128"/>
      <c r="M190" s="128">
        <v>387.15</v>
      </c>
      <c r="N190" s="89"/>
      <c r="O190" s="89"/>
    </row>
    <row r="191" spans="1:15" ht="15.75">
      <c r="A191" s="89"/>
      <c r="B191" s="124">
        <f>SUM(B119:B190)</f>
        <v>176666.99999999997</v>
      </c>
      <c r="C191" s="89"/>
      <c r="D191" s="124">
        <f>SUM(D119:D190)</f>
        <v>59836.000000000022</v>
      </c>
      <c r="E191" s="89"/>
      <c r="F191" s="124">
        <f>SUM(F119:F190)</f>
        <v>131803.01000000004</v>
      </c>
      <c r="G191" s="124">
        <f>SUM(G119:G190)</f>
        <v>14482.660000000002</v>
      </c>
      <c r="H191" s="124">
        <f>SUM(H119:H190)</f>
        <v>29837.509999999995</v>
      </c>
      <c r="I191" s="124">
        <f t="shared" ref="I191:M191" si="5">SUM(I119:I190)</f>
        <v>130.70700000000002</v>
      </c>
      <c r="J191" s="124">
        <f t="shared" si="5"/>
        <v>67.290000000000006</v>
      </c>
      <c r="K191" s="124">
        <f t="shared" si="5"/>
        <v>176321.177</v>
      </c>
      <c r="L191" s="124">
        <f t="shared" si="5"/>
        <v>173169.62699999998</v>
      </c>
      <c r="M191" s="124">
        <f t="shared" si="5"/>
        <v>3497.0399999999995</v>
      </c>
      <c r="N191" s="89"/>
      <c r="O191" s="89"/>
    </row>
    <row r="192" spans="1:15" ht="15.75">
      <c r="A192" s="89"/>
      <c r="B192" s="89"/>
      <c r="C192" s="89"/>
      <c r="D192" s="89"/>
      <c r="E192" s="89"/>
      <c r="F192" s="89"/>
      <c r="G192" s="89"/>
      <c r="H192" s="89"/>
      <c r="I192" s="89"/>
      <c r="J192" s="89"/>
      <c r="K192" s="89"/>
      <c r="L192" s="89"/>
      <c r="M192" s="89"/>
      <c r="N192" s="89"/>
      <c r="O192" s="89"/>
    </row>
    <row r="193" spans="1:15" ht="15.75">
      <c r="A193" s="89"/>
      <c r="B193" s="89"/>
      <c r="C193" s="89"/>
      <c r="D193" s="89"/>
      <c r="E193" s="89"/>
      <c r="F193" s="89"/>
      <c r="G193" s="89"/>
      <c r="H193" s="89"/>
      <c r="I193" s="89"/>
      <c r="J193" s="89"/>
      <c r="K193" s="89"/>
      <c r="L193" s="89"/>
      <c r="M193" s="89"/>
      <c r="N193" s="89"/>
      <c r="O193" s="89"/>
    </row>
    <row r="194" spans="1:15" ht="15.75">
      <c r="B194" s="118" t="s">
        <v>648</v>
      </c>
      <c r="C194" s="119" t="s">
        <v>649</v>
      </c>
      <c r="D194" s="119" t="s">
        <v>650</v>
      </c>
      <c r="E194" s="119" t="s">
        <v>651</v>
      </c>
      <c r="F194" s="120" t="s">
        <v>652</v>
      </c>
      <c r="G194" s="120" t="s">
        <v>653</v>
      </c>
      <c r="H194" s="119" t="s">
        <v>654</v>
      </c>
      <c r="I194" s="119" t="s">
        <v>655</v>
      </c>
      <c r="J194" s="120" t="s">
        <v>656</v>
      </c>
      <c r="K194" s="119" t="s">
        <v>648</v>
      </c>
    </row>
    <row r="195" spans="1:15" ht="15.75">
      <c r="A195" s="115" t="s">
        <v>1528</v>
      </c>
      <c r="B195" s="115">
        <f>SUM(B5:B99)</f>
        <v>295047.20000000013</v>
      </c>
      <c r="C195" s="115"/>
      <c r="D195" s="115">
        <f>SUM(D5:D99)</f>
        <v>95390.967000000019</v>
      </c>
      <c r="E195" s="115"/>
      <c r="F195" s="115">
        <f t="shared" ref="F195:K195" si="6">SUM(F5:F99)</f>
        <v>228658.85000000003</v>
      </c>
      <c r="G195" s="115">
        <f t="shared" si="6"/>
        <v>22852.059999999998</v>
      </c>
      <c r="H195" s="115">
        <f t="shared" si="6"/>
        <v>47033.190000000024</v>
      </c>
      <c r="I195" s="115">
        <f t="shared" si="6"/>
        <v>298.81000000000006</v>
      </c>
      <c r="J195" s="115">
        <f t="shared" si="6"/>
        <v>56.480000000000004</v>
      </c>
      <c r="K195" s="115">
        <f t="shared" si="6"/>
        <v>298899.39000000007</v>
      </c>
      <c r="L195" s="130"/>
      <c r="M195" s="115">
        <f>+B195-K195</f>
        <v>-3852.1899999999441</v>
      </c>
      <c r="N195" s="115"/>
    </row>
    <row r="196" spans="1:15" ht="15.75">
      <c r="A196" s="115" t="s">
        <v>1527</v>
      </c>
      <c r="B196" s="129">
        <f>+B191</f>
        <v>176666.99999999997</v>
      </c>
      <c r="C196" s="129"/>
      <c r="D196" s="129">
        <f>+D191</f>
        <v>59836.000000000022</v>
      </c>
      <c r="E196" s="129"/>
      <c r="F196" s="129">
        <f>+F191</f>
        <v>131803.01000000004</v>
      </c>
      <c r="G196" s="129">
        <f t="shared" ref="G196:K196" si="7">+G191</f>
        <v>14482.660000000002</v>
      </c>
      <c r="H196" s="129">
        <f t="shared" si="7"/>
        <v>29837.509999999995</v>
      </c>
      <c r="I196" s="129">
        <f t="shared" si="7"/>
        <v>130.70700000000002</v>
      </c>
      <c r="J196" s="129">
        <f t="shared" si="7"/>
        <v>67.290000000000006</v>
      </c>
      <c r="K196" s="129">
        <f t="shared" si="7"/>
        <v>176321.177</v>
      </c>
      <c r="L196" s="130"/>
      <c r="M196" s="115"/>
      <c r="N196" s="115"/>
    </row>
    <row r="197" spans="1:15" ht="15.75">
      <c r="A197" s="115"/>
      <c r="B197" s="115">
        <f>SUM(B195:B196)</f>
        <v>471714.20000000007</v>
      </c>
      <c r="C197" s="115"/>
      <c r="D197" s="115">
        <f t="shared" ref="D197:K197" si="8">SUM(D195:D196)</f>
        <v>155226.96700000003</v>
      </c>
      <c r="E197" s="115">
        <f t="shared" si="8"/>
        <v>0</v>
      </c>
      <c r="F197" s="115">
        <f t="shared" si="8"/>
        <v>360461.8600000001</v>
      </c>
      <c r="G197" s="115">
        <f t="shared" si="8"/>
        <v>37334.720000000001</v>
      </c>
      <c r="H197" s="115">
        <f t="shared" si="8"/>
        <v>76870.700000000012</v>
      </c>
      <c r="I197" s="115">
        <f t="shared" si="8"/>
        <v>429.51700000000005</v>
      </c>
      <c r="J197" s="115">
        <f t="shared" si="8"/>
        <v>123.77000000000001</v>
      </c>
      <c r="K197" s="115">
        <f t="shared" si="8"/>
        <v>475220.56700000004</v>
      </c>
      <c r="L197" s="130"/>
      <c r="M197" s="115"/>
      <c r="N197" s="115"/>
    </row>
    <row r="198" spans="1:15" ht="15.75">
      <c r="A198" s="115"/>
      <c r="B198" s="115"/>
      <c r="C198" s="115"/>
      <c r="D198" s="115"/>
      <c r="E198" s="115"/>
      <c r="F198" s="115"/>
      <c r="G198" s="115"/>
      <c r="H198" s="115"/>
      <c r="I198" s="115"/>
      <c r="J198" s="115"/>
      <c r="K198" s="115"/>
      <c r="L198" s="115"/>
      <c r="M198" s="115"/>
      <c r="N198" s="115"/>
    </row>
    <row r="199" spans="1:15" ht="15.75">
      <c r="A199" s="115"/>
      <c r="B199" s="115"/>
      <c r="C199" s="115"/>
      <c r="D199" s="115"/>
      <c r="E199" s="115"/>
      <c r="F199" s="115"/>
      <c r="G199" s="115"/>
      <c r="H199" s="115"/>
      <c r="I199" s="115"/>
      <c r="J199" s="115"/>
      <c r="K199" s="115"/>
      <c r="L199" s="115"/>
      <c r="M199" s="115"/>
      <c r="N199" s="115"/>
    </row>
    <row r="200" spans="1:15" ht="15.75">
      <c r="A200" s="115"/>
      <c r="B200" s="115"/>
      <c r="C200" s="115"/>
      <c r="D200" s="115"/>
      <c r="E200" s="115"/>
      <c r="F200" s="115"/>
      <c r="G200" s="115"/>
      <c r="H200" s="115"/>
      <c r="I200" s="115"/>
      <c r="J200" s="115"/>
      <c r="K200" s="115"/>
      <c r="L200" s="115"/>
      <c r="M200" s="115"/>
      <c r="N200" s="115"/>
    </row>
    <row r="201" spans="1:15" ht="15.75">
      <c r="A201" s="115"/>
      <c r="B201" s="115"/>
      <c r="C201" s="115"/>
      <c r="D201" s="115"/>
      <c r="E201" s="115"/>
      <c r="F201" s="115"/>
      <c r="G201" s="115"/>
      <c r="H201" s="115"/>
      <c r="I201" s="115"/>
      <c r="J201" s="115"/>
      <c r="K201" s="115"/>
      <c r="L201" s="115"/>
      <c r="M201" s="115"/>
      <c r="N201" s="115"/>
    </row>
    <row r="202" spans="1:15" ht="15.75">
      <c r="A202" s="115"/>
      <c r="B202" s="115"/>
      <c r="C202" s="115"/>
      <c r="D202" s="115"/>
      <c r="E202" s="115"/>
      <c r="F202" s="115"/>
      <c r="G202" s="115"/>
      <c r="H202" s="115"/>
      <c r="I202" s="115"/>
      <c r="J202" s="115"/>
      <c r="K202" s="115"/>
      <c r="L202" s="115"/>
      <c r="M202" s="115"/>
      <c r="N202" s="115"/>
    </row>
    <row r="203" spans="1:15" ht="15.75">
      <c r="B203" s="115"/>
      <c r="C203" s="123" t="s">
        <v>657</v>
      </c>
      <c r="D203" s="115">
        <f>146745.76+128.33</f>
        <v>146874.09</v>
      </c>
      <c r="E203" s="115">
        <f>+K203/D203</f>
        <v>3.0661576184063506</v>
      </c>
      <c r="F203" s="115">
        <f>340856.44+292.44</f>
        <v>341148.88</v>
      </c>
      <c r="G203" s="115">
        <f>35836.06+31.19</f>
        <v>35867.25</v>
      </c>
      <c r="H203" s="115">
        <f>72851.97+63.39</f>
        <v>72915.360000000001</v>
      </c>
      <c r="I203" s="115">
        <f>407.49+0.13</f>
        <v>407.62</v>
      </c>
      <c r="J203" s="115"/>
      <c r="K203" s="115">
        <f>+F203+G203+H203+I203</f>
        <v>450339.11</v>
      </c>
      <c r="L203" s="115"/>
      <c r="M203" s="115"/>
      <c r="N203" s="115"/>
    </row>
    <row r="204" spans="1:15" ht="15.75">
      <c r="B204" s="115"/>
      <c r="C204" s="123" t="s">
        <v>659</v>
      </c>
      <c r="D204" s="115">
        <v>335.85</v>
      </c>
      <c r="E204" s="115">
        <f t="shared" ref="E204" si="9">+K204/D204</f>
        <v>3.6154533273782938</v>
      </c>
      <c r="F204" s="115">
        <v>1090.48</v>
      </c>
      <c r="G204" s="115"/>
      <c r="H204" s="115"/>
      <c r="I204" s="115"/>
      <c r="J204" s="115">
        <v>123.77</v>
      </c>
      <c r="K204" s="115">
        <f>SUM(F204:J204)</f>
        <v>1214.25</v>
      </c>
      <c r="L204" s="115"/>
      <c r="M204" s="115"/>
      <c r="N204" s="115"/>
    </row>
    <row r="205" spans="1:15" ht="15.75">
      <c r="B205" s="115"/>
      <c r="C205" s="123" t="s">
        <v>658</v>
      </c>
      <c r="D205" s="129">
        <v>8007.03</v>
      </c>
      <c r="E205" s="129">
        <f>+K205/D205</f>
        <v>2.9558038373779048</v>
      </c>
      <c r="F205" s="129">
        <v>18222.5</v>
      </c>
      <c r="G205" s="129">
        <v>1467.47</v>
      </c>
      <c r="H205" s="129">
        <v>3955.34</v>
      </c>
      <c r="I205" s="129">
        <v>21.9</v>
      </c>
      <c r="J205" s="129"/>
      <c r="K205" s="129">
        <f>SUM(F205:J205)</f>
        <v>23667.210000000003</v>
      </c>
      <c r="L205" s="115"/>
      <c r="M205" s="115"/>
      <c r="N205" s="115"/>
    </row>
    <row r="206" spans="1:15" ht="15.75">
      <c r="A206" s="95"/>
      <c r="B206" s="115"/>
      <c r="C206" s="115"/>
      <c r="D206" s="115">
        <f t="shared" ref="D206:J206" si="10">SUM(D203:D205)</f>
        <v>155216.97</v>
      </c>
      <c r="E206" s="115"/>
      <c r="F206" s="115">
        <f t="shared" si="10"/>
        <v>360461.86</v>
      </c>
      <c r="G206" s="115">
        <f t="shared" si="10"/>
        <v>37334.720000000001</v>
      </c>
      <c r="H206" s="115">
        <f t="shared" si="10"/>
        <v>76870.7</v>
      </c>
      <c r="I206" s="115">
        <f t="shared" si="10"/>
        <v>429.52</v>
      </c>
      <c r="J206" s="115">
        <f t="shared" si="10"/>
        <v>123.77</v>
      </c>
      <c r="K206" s="115">
        <f>SUM(K203:K205)</f>
        <v>475220.57</v>
      </c>
      <c r="L206" s="115"/>
      <c r="M206" s="115"/>
      <c r="N206" s="115"/>
    </row>
    <row r="207" spans="1:15" ht="15.75">
      <c r="A207" s="95">
        <v>43340</v>
      </c>
      <c r="B207" s="96" t="s">
        <v>683</v>
      </c>
      <c r="D207" s="96"/>
      <c r="E207" s="96"/>
      <c r="F207" s="96"/>
      <c r="G207" s="96"/>
      <c r="H207" s="96"/>
      <c r="I207" s="96"/>
      <c r="J207" s="96"/>
      <c r="K207" s="96">
        <v>-4152.21</v>
      </c>
      <c r="L207" s="115"/>
      <c r="M207" s="115"/>
      <c r="N207" s="115"/>
    </row>
    <row r="208" spans="1:15" ht="15.75">
      <c r="A208" s="95"/>
      <c r="B208" s="96"/>
      <c r="D208" s="96"/>
      <c r="E208" s="96"/>
      <c r="F208" s="96"/>
      <c r="G208" s="96"/>
      <c r="H208" s="96"/>
      <c r="I208" s="96"/>
      <c r="J208" s="96"/>
      <c r="K208" s="96">
        <v>-4077.99</v>
      </c>
      <c r="L208" s="115"/>
      <c r="M208" s="115"/>
      <c r="N208" s="115"/>
    </row>
    <row r="209" spans="1:14" ht="15.75">
      <c r="A209" s="95">
        <v>43571</v>
      </c>
      <c r="B209" s="115" t="s">
        <v>1414</v>
      </c>
      <c r="C209" s="115"/>
      <c r="D209" s="115"/>
      <c r="E209" s="115"/>
      <c r="F209" s="115"/>
      <c r="G209" s="115"/>
      <c r="H209" s="115"/>
      <c r="I209" s="115"/>
      <c r="J209" s="115"/>
      <c r="K209" s="115">
        <v>144.13999999999999</v>
      </c>
      <c r="L209" s="115"/>
      <c r="M209" s="115"/>
      <c r="N209" s="115"/>
    </row>
    <row r="210" spans="1:14" ht="15.75">
      <c r="A210" s="95">
        <v>43572</v>
      </c>
      <c r="B210" s="115" t="s">
        <v>1415</v>
      </c>
      <c r="C210" s="115"/>
      <c r="D210" s="115"/>
      <c r="E210" s="115"/>
      <c r="F210" s="115"/>
      <c r="G210" s="115"/>
      <c r="H210" s="115"/>
      <c r="I210" s="115"/>
      <c r="J210" s="115"/>
      <c r="K210" s="129">
        <v>219.87</v>
      </c>
      <c r="L210" s="115"/>
      <c r="M210" s="115"/>
      <c r="N210" s="115"/>
    </row>
    <row r="211" spans="1:14" ht="15.75">
      <c r="A211" s="95"/>
      <c r="B211" s="115"/>
      <c r="C211" s="115"/>
      <c r="D211" s="115"/>
      <c r="E211" s="115"/>
      <c r="F211" s="115"/>
      <c r="G211" s="115"/>
      <c r="H211" s="115"/>
      <c r="I211" s="115"/>
      <c r="J211" s="115"/>
      <c r="K211" s="115">
        <f>SUM(K206:K210)</f>
        <v>467354.38</v>
      </c>
      <c r="L211" s="115"/>
      <c r="M211" s="115"/>
      <c r="N211" s="115"/>
    </row>
    <row r="212" spans="1:14" ht="15.75">
      <c r="A212" s="115"/>
      <c r="B212" s="115"/>
      <c r="C212" s="115"/>
      <c r="D212" s="115"/>
      <c r="E212" s="115"/>
      <c r="F212" s="115"/>
      <c r="G212" s="115"/>
      <c r="H212" s="115"/>
      <c r="I212" s="115"/>
      <c r="J212" s="115"/>
      <c r="K212" s="115"/>
      <c r="L212" s="115"/>
      <c r="M212" s="115"/>
      <c r="N212" s="115"/>
    </row>
    <row r="213" spans="1:14" ht="15.75">
      <c r="A213" s="94" t="s">
        <v>687</v>
      </c>
      <c r="B213" s="103"/>
      <c r="C213" s="103"/>
      <c r="D213" s="103"/>
      <c r="E213" s="103">
        <f>E108*$E$244</f>
        <v>0</v>
      </c>
      <c r="F213" s="103"/>
      <c r="G213" s="103"/>
      <c r="H213" s="103"/>
      <c r="I213" s="103"/>
      <c r="J213" s="103"/>
      <c r="K213" s="103">
        <f>+'12 Month P&amp;L'!AC127</f>
        <v>497241.74</v>
      </c>
      <c r="L213" s="115"/>
      <c r="M213" s="115"/>
      <c r="N213" s="115"/>
    </row>
    <row r="214" spans="1:14" ht="15.75">
      <c r="A214" s="94" t="s">
        <v>688</v>
      </c>
      <c r="B214" s="103"/>
      <c r="C214" s="103"/>
      <c r="D214" s="103"/>
      <c r="E214" s="103"/>
      <c r="F214" s="131"/>
      <c r="G214" s="131"/>
      <c r="H214" s="131"/>
      <c r="I214" s="131"/>
      <c r="J214" s="131"/>
      <c r="K214" s="131">
        <f>-K213+K211</f>
        <v>-29887.359999999986</v>
      </c>
      <c r="L214" s="115"/>
      <c r="M214" s="115"/>
      <c r="N214" s="115"/>
    </row>
    <row r="215" spans="1:14" ht="15.75">
      <c r="A215" s="115"/>
      <c r="B215" s="115"/>
      <c r="C215" s="115"/>
      <c r="D215" s="115"/>
      <c r="E215" s="115"/>
      <c r="F215" s="115"/>
      <c r="G215" s="115"/>
      <c r="H215" s="115"/>
      <c r="I215" s="115"/>
      <c r="J215" s="115"/>
      <c r="K215" s="115"/>
      <c r="L215" s="115"/>
      <c r="M215" s="115"/>
      <c r="N215" s="115"/>
    </row>
    <row r="216" spans="1:14" ht="15.75">
      <c r="A216" s="115"/>
      <c r="B216" s="115"/>
      <c r="D216" s="115"/>
      <c r="E216" s="115"/>
      <c r="F216" s="115"/>
      <c r="G216" s="115"/>
      <c r="H216" s="115"/>
      <c r="I216" s="115"/>
      <c r="J216" s="115"/>
      <c r="K216" s="115"/>
      <c r="L216" s="115"/>
      <c r="M216" s="115"/>
      <c r="N216" s="115"/>
    </row>
    <row r="217" spans="1:14" ht="15.75">
      <c r="A217" s="115"/>
      <c r="B217" s="115"/>
      <c r="C217" s="115"/>
      <c r="D217" s="115"/>
      <c r="E217" s="115"/>
      <c r="F217" s="115"/>
      <c r="G217" s="115"/>
      <c r="H217" s="115"/>
      <c r="I217" s="115"/>
      <c r="J217" s="115"/>
      <c r="K217" s="115"/>
      <c r="L217" s="115"/>
      <c r="M217" s="115"/>
      <c r="N217" s="115"/>
    </row>
    <row r="218" spans="1:14" ht="15.75">
      <c r="A218" s="115"/>
      <c r="B218" s="115"/>
      <c r="C218" s="115"/>
      <c r="D218" s="115"/>
      <c r="E218" s="115"/>
      <c r="F218" s="115"/>
      <c r="G218" s="115"/>
      <c r="H218" s="115"/>
      <c r="I218" s="115"/>
      <c r="J218" s="115"/>
      <c r="K218" s="115"/>
      <c r="L218" s="115"/>
      <c r="M218" s="115"/>
      <c r="N218" s="115"/>
    </row>
    <row r="219" spans="1:14" ht="15.75">
      <c r="A219" s="115"/>
      <c r="B219" s="115"/>
      <c r="C219" s="115"/>
      <c r="D219" s="115"/>
      <c r="E219" s="115"/>
      <c r="F219" s="115"/>
      <c r="G219" s="115"/>
      <c r="H219" s="115"/>
      <c r="I219" s="115"/>
      <c r="J219" s="115"/>
      <c r="K219" s="115"/>
      <c r="L219" s="115"/>
      <c r="M219" s="115"/>
      <c r="N219" s="115"/>
    </row>
    <row r="220" spans="1:14" ht="15.75">
      <c r="A220" s="115"/>
      <c r="B220" s="115"/>
      <c r="C220" s="115"/>
      <c r="D220" s="115"/>
      <c r="E220" s="115"/>
      <c r="F220" s="115"/>
      <c r="G220" s="115"/>
      <c r="H220" s="115"/>
      <c r="I220" s="115"/>
      <c r="J220" s="115"/>
      <c r="K220" s="115"/>
      <c r="L220" s="115"/>
      <c r="M220" s="115"/>
      <c r="N220" s="115"/>
    </row>
    <row r="221" spans="1:14" ht="15.75">
      <c r="A221" s="115"/>
      <c r="B221" s="115"/>
      <c r="C221" s="115"/>
      <c r="D221" s="115"/>
      <c r="E221" s="115"/>
      <c r="F221" s="115"/>
      <c r="G221" s="115"/>
      <c r="H221" s="115"/>
      <c r="I221" s="115"/>
      <c r="J221" s="115"/>
      <c r="K221" s="115"/>
      <c r="L221" s="115"/>
      <c r="M221" s="115"/>
      <c r="N221" s="115"/>
    </row>
    <row r="222" spans="1:14" ht="15.75">
      <c r="A222" s="115"/>
      <c r="B222" s="115"/>
      <c r="C222" s="115"/>
      <c r="D222" s="115"/>
      <c r="E222" s="115"/>
      <c r="F222" s="115"/>
      <c r="G222" s="115"/>
      <c r="H222" s="115"/>
      <c r="I222" s="115"/>
      <c r="J222" s="115"/>
      <c r="K222" s="115"/>
      <c r="L222" s="115"/>
      <c r="M222" s="115"/>
      <c r="N222" s="115"/>
    </row>
    <row r="223" spans="1:14" ht="15.75">
      <c r="A223" s="115"/>
      <c r="B223" s="115"/>
      <c r="C223" s="115"/>
      <c r="D223" s="115"/>
      <c r="E223" s="115"/>
      <c r="F223" s="115"/>
      <c r="G223" s="115"/>
      <c r="H223" s="115"/>
      <c r="I223" s="115"/>
      <c r="J223" s="115"/>
      <c r="K223" s="115"/>
      <c r="L223" s="115"/>
      <c r="M223" s="115"/>
      <c r="N223" s="115"/>
    </row>
    <row r="224" spans="1:14" ht="15.75">
      <c r="A224" s="115"/>
      <c r="B224" s="115"/>
      <c r="C224" s="115"/>
      <c r="D224" s="115"/>
      <c r="E224" s="115"/>
      <c r="F224" s="115"/>
      <c r="G224" s="115"/>
      <c r="H224" s="115"/>
      <c r="I224" s="115"/>
      <c r="J224" s="115"/>
      <c r="K224" s="115"/>
      <c r="L224" s="115"/>
      <c r="M224" s="115"/>
      <c r="N224" s="115"/>
    </row>
    <row r="225" spans="1:14" ht="15.75">
      <c r="A225" s="115"/>
      <c r="B225" s="115"/>
      <c r="C225" s="115"/>
      <c r="D225" s="115"/>
      <c r="E225" s="115"/>
      <c r="F225" s="115"/>
      <c r="G225" s="115"/>
      <c r="H225" s="115"/>
      <c r="I225" s="115"/>
      <c r="J225" s="115"/>
      <c r="K225" s="115"/>
      <c r="L225" s="115"/>
      <c r="M225" s="115"/>
      <c r="N225" s="115"/>
    </row>
    <row r="226" spans="1:14" ht="15.75">
      <c r="A226" s="115"/>
      <c r="B226" s="115"/>
      <c r="C226" s="115"/>
      <c r="D226" s="115"/>
      <c r="E226" s="115"/>
      <c r="F226" s="115"/>
      <c r="G226" s="115"/>
      <c r="H226" s="115"/>
      <c r="I226" s="115"/>
      <c r="J226" s="115"/>
      <c r="K226" s="115"/>
      <c r="L226" s="115"/>
      <c r="M226" s="115"/>
      <c r="N226" s="115"/>
    </row>
    <row r="227" spans="1:14" ht="15.75">
      <c r="A227" s="115"/>
      <c r="B227" s="115"/>
      <c r="C227" s="115"/>
      <c r="D227" s="115"/>
      <c r="E227" s="115"/>
      <c r="F227" s="115"/>
      <c r="G227" s="115"/>
      <c r="H227" s="115"/>
      <c r="I227" s="115"/>
      <c r="J227" s="115"/>
      <c r="K227" s="115"/>
      <c r="L227" s="115"/>
      <c r="M227" s="115"/>
      <c r="N227" s="115"/>
    </row>
    <row r="228" spans="1:14" ht="15.75">
      <c r="A228" s="115"/>
      <c r="B228" s="115"/>
      <c r="C228" s="115"/>
      <c r="D228" s="115"/>
      <c r="E228" s="115"/>
      <c r="F228" s="115"/>
      <c r="G228" s="115"/>
      <c r="H228" s="115"/>
      <c r="I228" s="115"/>
      <c r="J228" s="115"/>
      <c r="K228" s="115"/>
      <c r="L228" s="115"/>
      <c r="M228" s="115"/>
      <c r="N228" s="115"/>
    </row>
    <row r="229" spans="1:14" ht="15.75">
      <c r="A229" s="115"/>
      <c r="B229" s="115"/>
      <c r="C229" s="115"/>
      <c r="D229" s="115"/>
      <c r="E229" s="115"/>
      <c r="F229" s="115"/>
      <c r="G229" s="115"/>
      <c r="H229" s="115"/>
      <c r="I229" s="115"/>
      <c r="J229" s="115"/>
      <c r="K229" s="115"/>
      <c r="L229" s="115"/>
      <c r="M229" s="115"/>
      <c r="N229" s="115"/>
    </row>
    <row r="230" spans="1:14" ht="15.75">
      <c r="A230" s="115"/>
      <c r="B230" s="115"/>
      <c r="C230" s="115"/>
      <c r="D230" s="115"/>
      <c r="E230" s="115"/>
      <c r="F230" s="115"/>
      <c r="G230" s="115"/>
      <c r="H230" s="115"/>
      <c r="I230" s="115"/>
      <c r="J230" s="115"/>
      <c r="K230" s="115"/>
      <c r="L230" s="115"/>
      <c r="M230" s="115"/>
      <c r="N230" s="115"/>
    </row>
    <row r="231" spans="1:14" ht="15.75">
      <c r="A231" s="115"/>
      <c r="B231" s="115"/>
      <c r="C231" s="115"/>
      <c r="D231" s="115"/>
      <c r="E231" s="115"/>
      <c r="F231" s="115"/>
      <c r="G231" s="115"/>
      <c r="H231" s="115"/>
      <c r="I231" s="115"/>
      <c r="J231" s="115"/>
      <c r="K231" s="115"/>
      <c r="L231" s="115"/>
      <c r="M231" s="115"/>
      <c r="N231" s="115"/>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23487-2FDF-496C-B13D-4CCAE83BBEA1}">
  <dimension ref="A1:G43"/>
  <sheetViews>
    <sheetView zoomScale="90" zoomScaleNormal="90" workbookViewId="0">
      <selection activeCell="C6" sqref="C6"/>
    </sheetView>
  </sheetViews>
  <sheetFormatPr defaultRowHeight="15"/>
  <cols>
    <col min="2" max="2" width="11.5546875" bestFit="1" customWidth="1"/>
  </cols>
  <sheetData>
    <row r="1" spans="1:7" ht="15.75">
      <c r="A1" s="297" t="s">
        <v>16</v>
      </c>
    </row>
    <row r="2" spans="1:7" ht="15.75">
      <c r="A2" s="297" t="s">
        <v>1386</v>
      </c>
    </row>
    <row r="3" spans="1:7" ht="15.75">
      <c r="A3" s="297" t="s">
        <v>750</v>
      </c>
    </row>
    <row r="4" spans="1:7" ht="15.75">
      <c r="A4" s="516"/>
      <c r="B4" s="516"/>
      <c r="C4" s="516"/>
      <c r="D4" s="516"/>
      <c r="E4" s="516"/>
      <c r="F4" s="516"/>
      <c r="G4" s="516"/>
    </row>
    <row r="5" spans="1:7" ht="15.75">
      <c r="A5" s="516"/>
      <c r="B5" s="516"/>
      <c r="C5" s="516" t="s">
        <v>1137</v>
      </c>
      <c r="D5" s="516"/>
      <c r="E5" s="516"/>
      <c r="F5" s="516"/>
      <c r="G5" s="516"/>
    </row>
    <row r="6" spans="1:7" ht="15.75">
      <c r="A6" s="297" t="s">
        <v>1434</v>
      </c>
      <c r="B6" s="516"/>
      <c r="C6" s="553">
        <f>+'[1]Garbage Payroll'!C38</f>
        <v>55757.359999999993</v>
      </c>
      <c r="D6" s="579">
        <f>+C6/$C$12</f>
        <v>0.60918483582368721</v>
      </c>
      <c r="E6" s="553"/>
      <c r="F6" s="641">
        <f>+C6/$C$15</f>
        <v>0.51641472659287579</v>
      </c>
      <c r="G6" s="640"/>
    </row>
    <row r="7" spans="1:7" ht="15.75">
      <c r="A7" s="297" t="s">
        <v>1387</v>
      </c>
      <c r="B7" s="89" t="s">
        <v>1388</v>
      </c>
      <c r="C7" s="553">
        <f>SUM('[1]Recycling Payroll'!C4:C10)</f>
        <v>7297.91</v>
      </c>
      <c r="D7" s="579">
        <f t="shared" ref="D7:D12" si="0">+C7/$C$12</f>
        <v>7.9734336511019271E-2</v>
      </c>
      <c r="E7" s="553"/>
      <c r="F7" s="641">
        <f t="shared" ref="F7:F14" si="1">+C7/$C$15</f>
        <v>6.759194117779993E-2</v>
      </c>
      <c r="G7" s="640"/>
    </row>
    <row r="8" spans="1:7" ht="15.75">
      <c r="A8" s="516"/>
      <c r="B8" s="89" t="s">
        <v>1389</v>
      </c>
      <c r="C8" s="553">
        <f>SUM('[1]Recycling Payroll'!C11:C15)</f>
        <v>5680.3</v>
      </c>
      <c r="D8" s="579">
        <f t="shared" si="0"/>
        <v>6.2060912190413806E-2</v>
      </c>
      <c r="E8" s="553"/>
      <c r="F8" s="641">
        <f t="shared" si="1"/>
        <v>5.2609925783170385E-2</v>
      </c>
      <c r="G8" s="640"/>
    </row>
    <row r="9" spans="1:7" ht="15.75">
      <c r="A9" s="516"/>
      <c r="B9" s="89" t="s">
        <v>662</v>
      </c>
      <c r="C9" s="553">
        <f>+'[1]Recycling Payroll'!C43*0.7</f>
        <v>0</v>
      </c>
      <c r="D9" s="579">
        <f t="shared" si="0"/>
        <v>0</v>
      </c>
      <c r="E9" s="553"/>
      <c r="F9" s="641">
        <f t="shared" si="1"/>
        <v>0</v>
      </c>
      <c r="G9" s="640"/>
    </row>
    <row r="10" spans="1:7" ht="15.75">
      <c r="A10" s="516"/>
      <c r="B10" s="89" t="s">
        <v>754</v>
      </c>
      <c r="C10" s="553">
        <f>SUM('[1]Recycling Payroll'!C16:C30)</f>
        <v>15777.19</v>
      </c>
      <c r="D10" s="579">
        <f t="shared" si="0"/>
        <v>0.17237589620292498</v>
      </c>
      <c r="E10" s="553"/>
      <c r="F10" s="641">
        <f t="shared" si="1"/>
        <v>0.1461255206533067</v>
      </c>
      <c r="G10" s="640"/>
    </row>
    <row r="11" spans="1:7" ht="15.75">
      <c r="A11" s="516"/>
      <c r="B11" s="89" t="s">
        <v>712</v>
      </c>
      <c r="C11" s="627">
        <f>SUM('[1]Recycling Payroll'!C31:C36)</f>
        <v>7015.0599999999995</v>
      </c>
      <c r="D11" s="652">
        <f t="shared" si="0"/>
        <v>7.6644019271954689E-2</v>
      </c>
      <c r="E11" s="553"/>
      <c r="F11" s="641">
        <f t="shared" si="1"/>
        <v>6.4972234910917942E-2</v>
      </c>
      <c r="G11" s="640"/>
    </row>
    <row r="12" spans="1:7" ht="15.75">
      <c r="A12" s="516" t="s">
        <v>1391</v>
      </c>
      <c r="B12" s="89"/>
      <c r="C12" s="553">
        <f>SUM(C6:C11)</f>
        <v>91527.819999999992</v>
      </c>
      <c r="D12" s="579">
        <f t="shared" si="0"/>
        <v>1</v>
      </c>
      <c r="E12" s="553"/>
      <c r="F12" s="641"/>
      <c r="G12" s="640"/>
    </row>
    <row r="13" spans="1:7" ht="15.75">
      <c r="A13" s="516"/>
      <c r="B13" s="516"/>
      <c r="C13" s="553"/>
      <c r="D13" s="553"/>
      <c r="E13" s="553"/>
      <c r="F13" s="641"/>
      <c r="G13" s="640"/>
    </row>
    <row r="14" spans="1:7" ht="15.75">
      <c r="A14" s="89" t="s">
        <v>1390</v>
      </c>
      <c r="B14" s="89"/>
      <c r="C14" s="627">
        <f>+'[1]Payroll Summary'!C56</f>
        <v>16442.3</v>
      </c>
      <c r="D14" s="553"/>
      <c r="E14" s="553"/>
      <c r="F14" s="641">
        <f t="shared" si="1"/>
        <v>0.15228565088192919</v>
      </c>
      <c r="G14" s="640"/>
    </row>
    <row r="15" spans="1:7" ht="15.75">
      <c r="A15" s="89" t="s">
        <v>1392</v>
      </c>
      <c r="B15" s="89"/>
      <c r="C15" s="553">
        <f>+C12+C14</f>
        <v>107970.12</v>
      </c>
      <c r="D15" s="553"/>
      <c r="E15" s="553"/>
      <c r="F15" s="641">
        <f>SUM(F6:F14)</f>
        <v>0.99999999999999978</v>
      </c>
      <c r="G15" s="640"/>
    </row>
    <row r="16" spans="1:7" ht="15.75">
      <c r="A16" s="89"/>
      <c r="B16" s="89"/>
      <c r="C16" s="553"/>
      <c r="D16" s="553"/>
      <c r="E16" s="553"/>
      <c r="F16" s="640"/>
      <c r="G16" s="640"/>
    </row>
    <row r="17" spans="1:7" ht="15.75">
      <c r="A17" s="89"/>
      <c r="B17" s="89"/>
      <c r="C17" s="553"/>
      <c r="D17" s="553"/>
      <c r="E17" s="553"/>
      <c r="F17" s="640"/>
      <c r="G17" s="640"/>
    </row>
    <row r="18" spans="1:7" ht="15.75">
      <c r="A18" s="89"/>
      <c r="B18" s="89"/>
      <c r="C18" s="553"/>
      <c r="D18" s="640"/>
      <c r="E18" s="640"/>
      <c r="F18" s="640"/>
      <c r="G18" s="640"/>
    </row>
    <row r="19" spans="1:7" ht="15.75">
      <c r="A19" s="89"/>
      <c r="B19" s="89"/>
      <c r="C19" s="553"/>
      <c r="D19" s="640"/>
      <c r="E19" s="640"/>
      <c r="F19" s="640"/>
      <c r="G19" s="640"/>
    </row>
    <row r="20" spans="1:7" ht="15.75">
      <c r="A20" s="89"/>
      <c r="B20" s="89"/>
      <c r="C20" s="553"/>
      <c r="D20" s="640"/>
      <c r="E20" s="640"/>
      <c r="F20" s="640"/>
      <c r="G20" s="640"/>
    </row>
    <row r="21" spans="1:7" ht="15.75">
      <c r="A21" s="89"/>
      <c r="B21" s="89"/>
      <c r="C21" s="553"/>
      <c r="D21" s="640"/>
      <c r="E21" s="640"/>
      <c r="F21" s="640"/>
      <c r="G21" s="640"/>
    </row>
    <row r="22" spans="1:7" ht="15.75">
      <c r="A22" s="89"/>
      <c r="B22" s="89"/>
      <c r="C22" s="553"/>
      <c r="D22" s="640"/>
      <c r="E22" s="640"/>
      <c r="F22" s="640"/>
      <c r="G22" s="640"/>
    </row>
    <row r="23" spans="1:7" ht="15.75">
      <c r="A23" s="89"/>
      <c r="B23" s="89"/>
      <c r="C23" s="553"/>
      <c r="D23" s="598"/>
      <c r="E23" s="598"/>
      <c r="F23" s="598"/>
      <c r="G23" s="598"/>
    </row>
    <row r="24" spans="1:7" ht="15.75">
      <c r="A24" s="89"/>
      <c r="B24" s="89"/>
      <c r="C24" s="89"/>
    </row>
    <row r="25" spans="1:7" ht="15.75">
      <c r="A25" s="89"/>
      <c r="B25" s="89"/>
      <c r="C25" s="89"/>
    </row>
    <row r="26" spans="1:7" ht="15.75">
      <c r="A26" s="89"/>
      <c r="B26" s="89"/>
      <c r="C26" s="89"/>
    </row>
    <row r="27" spans="1:7" ht="15.75">
      <c r="A27" s="89"/>
      <c r="B27" s="89"/>
      <c r="C27" s="89"/>
    </row>
    <row r="28" spans="1:7" ht="15.75">
      <c r="A28" s="89"/>
      <c r="B28" s="89"/>
      <c r="C28" s="89"/>
    </row>
    <row r="29" spans="1:7" ht="15.75">
      <c r="A29" s="89"/>
      <c r="B29" s="89"/>
      <c r="C29" s="89"/>
    </row>
    <row r="30" spans="1:7" ht="15.75">
      <c r="A30" s="89"/>
      <c r="B30" s="89"/>
      <c r="C30" s="89"/>
    </row>
    <row r="31" spans="1:7" ht="15.75">
      <c r="A31" s="89"/>
      <c r="B31" s="89"/>
      <c r="C31" s="89"/>
    </row>
    <row r="32" spans="1:7" ht="15.75">
      <c r="A32" s="89"/>
      <c r="B32" s="89"/>
      <c r="C32" s="89"/>
    </row>
    <row r="33" spans="1:3" ht="15.75">
      <c r="A33" s="89"/>
      <c r="B33" s="89"/>
      <c r="C33" s="89"/>
    </row>
    <row r="34" spans="1:3" ht="15.75">
      <c r="A34" s="89"/>
      <c r="B34" s="89"/>
      <c r="C34" s="89"/>
    </row>
    <row r="35" spans="1:3" ht="15.75">
      <c r="A35" s="89"/>
      <c r="B35" s="89"/>
      <c r="C35" s="89"/>
    </row>
    <row r="36" spans="1:3" ht="15.75">
      <c r="A36" s="89"/>
      <c r="B36" s="89"/>
      <c r="C36" s="89"/>
    </row>
    <row r="37" spans="1:3" ht="15.75">
      <c r="A37" s="89"/>
      <c r="B37" s="89"/>
      <c r="C37" s="89"/>
    </row>
    <row r="38" spans="1:3" ht="15.75">
      <c r="A38" s="89"/>
      <c r="B38" s="89"/>
      <c r="C38" s="89"/>
    </row>
    <row r="39" spans="1:3" ht="15.75">
      <c r="A39" s="89"/>
      <c r="B39" s="89"/>
      <c r="C39" s="89"/>
    </row>
    <row r="40" spans="1:3" ht="15.75">
      <c r="A40" s="89"/>
      <c r="B40" s="89"/>
      <c r="C40" s="89"/>
    </row>
    <row r="41" spans="1:3" ht="15.75">
      <c r="A41" s="89"/>
      <c r="B41" s="89"/>
      <c r="C41" s="89"/>
    </row>
    <row r="42" spans="1:3" ht="15.75">
      <c r="A42" s="89"/>
      <c r="B42" s="89"/>
      <c r="C42" s="89"/>
    </row>
    <row r="43" spans="1:3" ht="15.75">
      <c r="A43" s="89"/>
      <c r="B43" s="89"/>
      <c r="C43" s="8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A6AF-2B05-487C-966C-930FBE732E2B}">
  <sheetPr>
    <pageSetUpPr fitToPage="1"/>
  </sheetPr>
  <dimension ref="A1:N65"/>
  <sheetViews>
    <sheetView topLeftCell="A2" workbookViewId="0">
      <selection activeCell="B4" sqref="B4"/>
    </sheetView>
  </sheetViews>
  <sheetFormatPr defaultRowHeight="15"/>
  <cols>
    <col min="1" max="1" width="7.21875" bestFit="1" customWidth="1"/>
    <col min="2" max="2" width="17.88671875" bestFit="1" customWidth="1"/>
    <col min="3" max="3" width="11.109375" customWidth="1"/>
    <col min="4" max="4" width="12.44140625" customWidth="1"/>
    <col min="5" max="5" width="9.109375" customWidth="1"/>
    <col min="6" max="6" width="9" customWidth="1"/>
    <col min="7" max="7" width="7.109375" customWidth="1"/>
    <col min="8" max="8" width="16" customWidth="1"/>
    <col min="9" max="9" width="7.5546875" customWidth="1"/>
    <col min="10" max="12" width="8.77734375" customWidth="1"/>
    <col min="13" max="13" width="7.109375" customWidth="1"/>
    <col min="14" max="14" width="12" customWidth="1"/>
  </cols>
  <sheetData>
    <row r="1" spans="1:14" ht="38.25">
      <c r="A1" s="699" t="s">
        <v>689</v>
      </c>
      <c r="B1" s="701" t="s">
        <v>690</v>
      </c>
      <c r="C1" s="718" t="s">
        <v>691</v>
      </c>
      <c r="D1" s="699" t="s">
        <v>692</v>
      </c>
      <c r="E1" s="699" t="s">
        <v>693</v>
      </c>
      <c r="F1" s="701" t="s">
        <v>694</v>
      </c>
      <c r="G1" s="701" t="s">
        <v>695</v>
      </c>
      <c r="H1" s="701" t="s">
        <v>696</v>
      </c>
      <c r="I1" s="719">
        <v>43101</v>
      </c>
      <c r="J1" s="720" t="s">
        <v>697</v>
      </c>
      <c r="K1" s="720" t="s">
        <v>698</v>
      </c>
      <c r="L1" s="720" t="s">
        <v>745</v>
      </c>
      <c r="M1" s="701" t="s">
        <v>1416</v>
      </c>
      <c r="N1" s="721" t="s">
        <v>1417</v>
      </c>
    </row>
    <row r="2" spans="1:14">
      <c r="A2" s="699"/>
      <c r="B2" s="699"/>
      <c r="C2" s="699"/>
      <c r="D2" s="699"/>
      <c r="E2" s="699"/>
      <c r="F2" s="699"/>
      <c r="G2" s="699"/>
      <c r="H2" s="699"/>
      <c r="I2" s="699"/>
      <c r="J2" s="699"/>
      <c r="K2" s="699"/>
      <c r="L2" s="699"/>
      <c r="M2" s="699"/>
      <c r="N2" s="699"/>
    </row>
    <row r="3" spans="1:14">
      <c r="A3" s="699"/>
      <c r="B3" s="699"/>
      <c r="C3" s="699"/>
      <c r="D3" s="699"/>
      <c r="E3" s="699"/>
      <c r="F3" s="699"/>
      <c r="G3" s="699"/>
      <c r="H3" s="699"/>
      <c r="I3" s="699"/>
      <c r="J3" s="699"/>
      <c r="K3" s="699"/>
      <c r="L3" s="699"/>
      <c r="M3" s="699"/>
      <c r="N3" s="699"/>
    </row>
    <row r="4" spans="1:14">
      <c r="A4" s="699">
        <v>96658</v>
      </c>
      <c r="B4" s="700" t="s">
        <v>1617</v>
      </c>
      <c r="C4" s="718">
        <v>815.5</v>
      </c>
      <c r="D4" s="702">
        <v>23044.77</v>
      </c>
      <c r="E4" s="722">
        <v>41295</v>
      </c>
      <c r="F4" s="701"/>
      <c r="G4" s="701" t="s">
        <v>699</v>
      </c>
      <c r="H4" s="701" t="s">
        <v>700</v>
      </c>
      <c r="I4" s="723">
        <v>27.72</v>
      </c>
      <c r="J4" s="723">
        <v>28.84</v>
      </c>
      <c r="K4" s="723">
        <v>28.84</v>
      </c>
      <c r="L4" s="723">
        <v>29.54</v>
      </c>
      <c r="M4" s="724"/>
      <c r="N4" s="725">
        <f>SUM(K4*1440)+(L4*640)</f>
        <v>60435.199999999997</v>
      </c>
    </row>
    <row r="5" spans="1:14">
      <c r="A5" s="699">
        <v>1601</v>
      </c>
      <c r="B5" s="700" t="s">
        <v>1617</v>
      </c>
      <c r="C5" s="718">
        <v>2081.4</v>
      </c>
      <c r="D5" s="702">
        <v>67978.210000000006</v>
      </c>
      <c r="E5" s="722">
        <v>35947</v>
      </c>
      <c r="F5" s="701"/>
      <c r="G5" s="701" t="s">
        <v>699</v>
      </c>
      <c r="H5" s="701" t="s">
        <v>700</v>
      </c>
      <c r="I5" s="723">
        <v>30.8</v>
      </c>
      <c r="J5" s="723">
        <v>30.8</v>
      </c>
      <c r="K5" s="723">
        <v>31.55</v>
      </c>
      <c r="L5" s="723">
        <v>32.25</v>
      </c>
      <c r="M5" s="724">
        <f>(K5-I5)/K5</f>
        <v>2.3771790808240888E-2</v>
      </c>
      <c r="N5" s="725">
        <f>67080+67.73</f>
        <v>67147.73</v>
      </c>
    </row>
    <row r="6" spans="1:14">
      <c r="A6" s="699">
        <v>1615</v>
      </c>
      <c r="B6" s="700" t="s">
        <v>1617</v>
      </c>
      <c r="C6" s="718">
        <v>1847.05</v>
      </c>
      <c r="D6" s="702">
        <f>68866.83*0.85</f>
        <v>58536.805500000002</v>
      </c>
      <c r="E6" s="722">
        <v>36752</v>
      </c>
      <c r="F6" s="701"/>
      <c r="G6" s="701" t="s">
        <v>699</v>
      </c>
      <c r="H6" s="701" t="s">
        <v>700</v>
      </c>
      <c r="I6" s="723">
        <v>30.8</v>
      </c>
      <c r="J6" s="723">
        <v>30.8</v>
      </c>
      <c r="K6" s="723">
        <v>31.55</v>
      </c>
      <c r="L6" s="723">
        <v>32.25</v>
      </c>
      <c r="M6" s="724"/>
      <c r="N6" s="725">
        <v>59567.360000000001</v>
      </c>
    </row>
    <row r="7" spans="1:14">
      <c r="A7" s="699">
        <v>5450</v>
      </c>
      <c r="B7" s="700" t="s">
        <v>1617</v>
      </c>
      <c r="C7" s="718">
        <v>2169</v>
      </c>
      <c r="D7" s="702">
        <v>68829.3</v>
      </c>
      <c r="E7" s="722">
        <v>34820</v>
      </c>
      <c r="F7" s="701"/>
      <c r="G7" s="701" t="s">
        <v>699</v>
      </c>
      <c r="H7" s="701" t="s">
        <v>700</v>
      </c>
      <c r="I7" s="723">
        <v>30.8</v>
      </c>
      <c r="J7" s="723">
        <v>30.8</v>
      </c>
      <c r="K7" s="723">
        <v>31.55</v>
      </c>
      <c r="L7" s="723">
        <v>32.25</v>
      </c>
      <c r="M7" s="724"/>
      <c r="N7" s="725">
        <f>SUM(K7*1120)+(C7-2080)*(K7*1.5)+(L7*960)</f>
        <v>70507.925000000003</v>
      </c>
    </row>
    <row r="8" spans="1:14">
      <c r="A8" s="699">
        <v>84900</v>
      </c>
      <c r="B8" s="700" t="s">
        <v>1617</v>
      </c>
      <c r="C8" s="718">
        <v>1958.5</v>
      </c>
      <c r="D8" s="702">
        <v>61960.45</v>
      </c>
      <c r="E8" s="722">
        <v>32377</v>
      </c>
      <c r="F8" s="726">
        <v>43343</v>
      </c>
      <c r="G8" s="701" t="s">
        <v>699</v>
      </c>
      <c r="H8" s="701" t="s">
        <v>700</v>
      </c>
      <c r="I8" s="723">
        <v>30.8</v>
      </c>
      <c r="J8" s="723">
        <v>30.8</v>
      </c>
      <c r="K8" s="723">
        <v>31.55</v>
      </c>
      <c r="L8" s="723">
        <v>32.25</v>
      </c>
      <c r="M8" s="724"/>
      <c r="N8" s="725">
        <v>0</v>
      </c>
    </row>
    <row r="9" spans="1:14">
      <c r="A9" s="699">
        <v>96623</v>
      </c>
      <c r="B9" s="700" t="s">
        <v>1617</v>
      </c>
      <c r="C9" s="718">
        <v>2134</v>
      </c>
      <c r="D9" s="702">
        <v>66984.399999999994</v>
      </c>
      <c r="E9" s="722">
        <v>38421</v>
      </c>
      <c r="F9" s="726"/>
      <c r="G9" s="701" t="s">
        <v>699</v>
      </c>
      <c r="H9" s="701" t="s">
        <v>700</v>
      </c>
      <c r="I9" s="723">
        <v>30.8</v>
      </c>
      <c r="J9" s="723">
        <v>30.8</v>
      </c>
      <c r="K9" s="723">
        <v>31.55</v>
      </c>
      <c r="L9" s="723">
        <v>32.25</v>
      </c>
      <c r="M9" s="724"/>
      <c r="N9" s="725">
        <f>SUM(K9*1120)+(C9-2080)*(K9*1.5)+(L9*960)</f>
        <v>68851.55</v>
      </c>
    </row>
    <row r="10" spans="1:14">
      <c r="A10" s="699">
        <v>96633</v>
      </c>
      <c r="B10" s="700" t="s">
        <v>1617</v>
      </c>
      <c r="C10" s="718">
        <v>2184.5</v>
      </c>
      <c r="D10" s="702">
        <v>68823.740000000005</v>
      </c>
      <c r="E10" s="722">
        <v>38881</v>
      </c>
      <c r="F10" s="701"/>
      <c r="G10" s="701" t="s">
        <v>699</v>
      </c>
      <c r="H10" s="701" t="s">
        <v>700</v>
      </c>
      <c r="I10" s="723">
        <v>30.8</v>
      </c>
      <c r="J10" s="723">
        <v>30.8</v>
      </c>
      <c r="K10" s="723">
        <v>31.55</v>
      </c>
      <c r="L10" s="723">
        <v>32.25</v>
      </c>
      <c r="M10" s="724"/>
      <c r="N10" s="725">
        <f>SUM(K10*1120)+(C10-2080)*(K10*1.5)+(L10*960)</f>
        <v>71241.462499999994</v>
      </c>
    </row>
    <row r="11" spans="1:14">
      <c r="A11" s="699">
        <v>96641</v>
      </c>
      <c r="B11" s="700" t="s">
        <v>1617</v>
      </c>
      <c r="C11" s="718">
        <v>2188.5</v>
      </c>
      <c r="D11" s="702">
        <v>69162.31</v>
      </c>
      <c r="E11" s="722">
        <v>39223</v>
      </c>
      <c r="F11" s="701"/>
      <c r="G11" s="701" t="s">
        <v>699</v>
      </c>
      <c r="H11" s="701" t="s">
        <v>700</v>
      </c>
      <c r="I11" s="723">
        <v>30.8</v>
      </c>
      <c r="J11" s="723">
        <v>30.8</v>
      </c>
      <c r="K11" s="723">
        <v>31.55</v>
      </c>
      <c r="L11" s="723">
        <v>32.25</v>
      </c>
      <c r="M11" s="724"/>
      <c r="N11" s="725">
        <f>SUM(K11*1120)+(C11-2080)*(K11*1.5)+(L11*960)</f>
        <v>71430.762499999997</v>
      </c>
    </row>
    <row r="12" spans="1:14">
      <c r="A12" s="699">
        <v>96643</v>
      </c>
      <c r="B12" s="700" t="s">
        <v>1617</v>
      </c>
      <c r="C12" s="718">
        <v>2138.5</v>
      </c>
      <c r="D12" s="702">
        <v>67435.5</v>
      </c>
      <c r="E12" s="722">
        <v>39475</v>
      </c>
      <c r="F12" s="701"/>
      <c r="G12" s="701" t="s">
        <v>699</v>
      </c>
      <c r="H12" s="701" t="s">
        <v>700</v>
      </c>
      <c r="I12" s="723">
        <v>30.8</v>
      </c>
      <c r="J12" s="723">
        <v>30.8</v>
      </c>
      <c r="K12" s="723">
        <v>31.55</v>
      </c>
      <c r="L12" s="723">
        <v>32.25</v>
      </c>
      <c r="M12" s="724"/>
      <c r="N12" s="725">
        <f>SUM(K12*1120)+(C12-2080)*(K12*1.5)+(L12*960)</f>
        <v>69064.512499999997</v>
      </c>
    </row>
    <row r="13" spans="1:14">
      <c r="A13" s="699">
        <v>96647</v>
      </c>
      <c r="B13" s="700" t="s">
        <v>1617</v>
      </c>
      <c r="C13" s="718">
        <v>1951.9</v>
      </c>
      <c r="D13" s="702">
        <f>68816.08*0.9</f>
        <v>61934.472000000002</v>
      </c>
      <c r="E13" s="722">
        <v>39647</v>
      </c>
      <c r="F13" s="701"/>
      <c r="G13" s="701" t="s">
        <v>699</v>
      </c>
      <c r="H13" s="701" t="s">
        <v>700</v>
      </c>
      <c r="I13" s="723">
        <v>30.8</v>
      </c>
      <c r="J13" s="723">
        <v>30.8</v>
      </c>
      <c r="K13" s="723">
        <v>31.55</v>
      </c>
      <c r="L13" s="723">
        <v>32.25</v>
      </c>
      <c r="M13" s="724"/>
      <c r="N13" s="725">
        <f>SUM(K13*1120)+(C13-2080)*(K13*1.5)+(L13*960)</f>
        <v>60233.667500000003</v>
      </c>
    </row>
    <row r="14" spans="1:14">
      <c r="A14" s="699">
        <v>96648</v>
      </c>
      <c r="B14" s="700" t="s">
        <v>1617</v>
      </c>
      <c r="C14" s="718">
        <v>1974.8</v>
      </c>
      <c r="D14" s="702">
        <f>81733.97*0.8</f>
        <v>65387.176000000007</v>
      </c>
      <c r="E14" s="722">
        <v>39780</v>
      </c>
      <c r="F14" s="701"/>
      <c r="G14" s="701" t="s">
        <v>699</v>
      </c>
      <c r="H14" s="701" t="s">
        <v>700</v>
      </c>
      <c r="I14" s="723">
        <v>30.8</v>
      </c>
      <c r="J14" s="723">
        <v>30.8</v>
      </c>
      <c r="K14" s="723">
        <v>31.55</v>
      </c>
      <c r="L14" s="723">
        <v>32.25</v>
      </c>
      <c r="M14" s="724"/>
      <c r="N14" s="725">
        <f>(1174.8*31.55)+(800*32.25)</f>
        <v>62864.94</v>
      </c>
    </row>
    <row r="15" spans="1:14">
      <c r="A15" s="699">
        <v>96650</v>
      </c>
      <c r="B15" s="700" t="s">
        <v>1617</v>
      </c>
      <c r="C15" s="718">
        <v>1955.66</v>
      </c>
      <c r="D15" s="702">
        <f>79829.91*0.8</f>
        <v>63863.928000000007</v>
      </c>
      <c r="E15" s="722">
        <v>40651</v>
      </c>
      <c r="F15" s="701"/>
      <c r="G15" s="701" t="s">
        <v>699</v>
      </c>
      <c r="H15" s="701" t="s">
        <v>700</v>
      </c>
      <c r="I15" s="723">
        <v>30.8</v>
      </c>
      <c r="J15" s="723">
        <v>30.8</v>
      </c>
      <c r="K15" s="723">
        <v>31.55</v>
      </c>
      <c r="L15" s="723">
        <v>32.25</v>
      </c>
      <c r="M15" s="724"/>
      <c r="N15" s="725">
        <v>63871.86</v>
      </c>
    </row>
    <row r="16" spans="1:14">
      <c r="A16" s="699">
        <v>96651</v>
      </c>
      <c r="B16" s="700" t="s">
        <v>1617</v>
      </c>
      <c r="C16" s="718">
        <v>1709.61</v>
      </c>
      <c r="D16" s="702">
        <f>67365.08*0.8</f>
        <v>53892.064000000006</v>
      </c>
      <c r="E16" s="722">
        <v>40654</v>
      </c>
      <c r="F16" s="726"/>
      <c r="G16" s="701" t="s">
        <v>699</v>
      </c>
      <c r="H16" s="701" t="s">
        <v>700</v>
      </c>
      <c r="I16" s="723">
        <v>30.8</v>
      </c>
      <c r="J16" s="723">
        <v>30.8</v>
      </c>
      <c r="K16" s="723">
        <v>31.55</v>
      </c>
      <c r="L16" s="723">
        <v>32.25</v>
      </c>
      <c r="M16" s="724"/>
      <c r="N16" s="725">
        <v>55134.92</v>
      </c>
    </row>
    <row r="17" spans="1:14">
      <c r="A17" s="699">
        <v>96655</v>
      </c>
      <c r="B17" s="700" t="s">
        <v>1617</v>
      </c>
      <c r="C17" s="718">
        <v>2136.5</v>
      </c>
      <c r="D17" s="702">
        <v>67179.600000000006</v>
      </c>
      <c r="E17" s="727">
        <v>41089</v>
      </c>
      <c r="F17" s="701"/>
      <c r="G17" s="701" t="s">
        <v>699</v>
      </c>
      <c r="H17" s="701" t="s">
        <v>700</v>
      </c>
      <c r="I17" s="723">
        <v>30.8</v>
      </c>
      <c r="J17" s="723">
        <v>30.8</v>
      </c>
      <c r="K17" s="723">
        <v>31.55</v>
      </c>
      <c r="L17" s="723">
        <v>32.25</v>
      </c>
      <c r="M17" s="724"/>
      <c r="N17" s="725">
        <f>SUM(K17*1120)+(C17-2080)*(K17*1.5)+(L17*960)</f>
        <v>68969.862500000003</v>
      </c>
    </row>
    <row r="18" spans="1:14">
      <c r="A18" s="728" t="s">
        <v>708</v>
      </c>
      <c r="B18" s="700" t="s">
        <v>1617</v>
      </c>
      <c r="C18" s="729">
        <v>2157.5</v>
      </c>
      <c r="D18" s="702">
        <v>51717.760000000002</v>
      </c>
      <c r="E18" s="727">
        <v>34515</v>
      </c>
      <c r="F18" s="699"/>
      <c r="G18" s="699" t="s">
        <v>699</v>
      </c>
      <c r="H18" s="701" t="s">
        <v>700</v>
      </c>
      <c r="I18" s="730">
        <v>22.15</v>
      </c>
      <c r="J18" s="730">
        <v>23.7</v>
      </c>
      <c r="K18" s="730">
        <v>23.7</v>
      </c>
      <c r="L18" s="730">
        <v>24.15</v>
      </c>
      <c r="M18" s="699"/>
      <c r="N18" s="730">
        <f>(2080*L18)+(77.5*36.23)</f>
        <v>53039.824999999997</v>
      </c>
    </row>
    <row r="19" spans="1:14">
      <c r="A19" s="699">
        <v>96714</v>
      </c>
      <c r="B19" s="700" t="s">
        <v>1617</v>
      </c>
      <c r="C19" s="729">
        <v>1497</v>
      </c>
      <c r="D19" s="702">
        <f>36533.62*0.5</f>
        <v>18266.810000000001</v>
      </c>
      <c r="E19" s="727">
        <v>43213</v>
      </c>
      <c r="F19" s="699"/>
      <c r="G19" s="699" t="s">
        <v>699</v>
      </c>
      <c r="H19" s="701" t="s">
        <v>700</v>
      </c>
      <c r="I19" s="730">
        <v>0</v>
      </c>
      <c r="J19" s="730">
        <v>23.7</v>
      </c>
      <c r="K19" s="730">
        <v>23.7</v>
      </c>
      <c r="L19" s="730">
        <v>24.15</v>
      </c>
      <c r="M19" s="699"/>
      <c r="N19" s="731">
        <f>L19*2080</f>
        <v>50232</v>
      </c>
    </row>
    <row r="20" spans="1:14">
      <c r="A20" s="699">
        <v>96712</v>
      </c>
      <c r="B20" s="700" t="s">
        <v>1617</v>
      </c>
      <c r="C20" s="732">
        <v>985</v>
      </c>
      <c r="D20" s="702">
        <f>47030.65/2</f>
        <v>23515.325000000001</v>
      </c>
      <c r="E20" s="722">
        <v>43136</v>
      </c>
      <c r="F20" s="701"/>
      <c r="G20" s="701" t="s">
        <v>699</v>
      </c>
      <c r="H20" s="701" t="s">
        <v>700</v>
      </c>
      <c r="I20" s="730">
        <v>0</v>
      </c>
      <c r="J20" s="723">
        <v>22.95</v>
      </c>
      <c r="K20" s="733">
        <v>24.15</v>
      </c>
      <c r="L20" s="731">
        <v>25.35</v>
      </c>
      <c r="M20" s="699"/>
      <c r="N20" s="730">
        <f>L20*1040</f>
        <v>26364</v>
      </c>
    </row>
    <row r="21" spans="1:14">
      <c r="A21" s="699">
        <v>96677</v>
      </c>
      <c r="B21" s="700" t="s">
        <v>1617</v>
      </c>
      <c r="C21" s="718">
        <v>1174.25</v>
      </c>
      <c r="D21" s="702">
        <f>60755.01*0.5</f>
        <v>30377.505000000001</v>
      </c>
      <c r="E21" s="722">
        <v>41886</v>
      </c>
      <c r="F21" s="701"/>
      <c r="G21" s="701" t="s">
        <v>699</v>
      </c>
      <c r="H21" s="701" t="s">
        <v>700</v>
      </c>
      <c r="I21" s="723">
        <v>23.48</v>
      </c>
      <c r="J21" s="723">
        <v>25.03</v>
      </c>
      <c r="K21" s="730">
        <v>25.03</v>
      </c>
      <c r="L21" s="725">
        <v>25.48</v>
      </c>
      <c r="M21" s="699"/>
      <c r="N21" s="730">
        <f>SUM(26.23*905.75)+10565.48</f>
        <v>34323.302500000005</v>
      </c>
    </row>
    <row r="22" spans="1:14">
      <c r="A22" s="699">
        <v>96709</v>
      </c>
      <c r="B22" s="700" t="s">
        <v>1617</v>
      </c>
      <c r="C22" s="734">
        <v>236.7</v>
      </c>
      <c r="D22" s="702">
        <v>6555.17</v>
      </c>
      <c r="E22" s="722">
        <v>42954</v>
      </c>
      <c r="F22" s="735"/>
      <c r="G22" s="701" t="s">
        <v>699</v>
      </c>
      <c r="H22" s="701" t="s">
        <v>712</v>
      </c>
      <c r="I22" s="723">
        <v>25.23</v>
      </c>
      <c r="J22" s="736">
        <v>25.78</v>
      </c>
      <c r="K22" s="730">
        <v>30.88</v>
      </c>
      <c r="L22" s="725">
        <v>31.55</v>
      </c>
      <c r="M22" s="699"/>
      <c r="N22" s="730">
        <v>7467.89</v>
      </c>
    </row>
    <row r="23" spans="1:14">
      <c r="A23" s="699">
        <v>1621</v>
      </c>
      <c r="B23" s="700" t="s">
        <v>1617</v>
      </c>
      <c r="C23" s="718">
        <v>2259.5</v>
      </c>
      <c r="D23" s="702">
        <v>73157.279999999999</v>
      </c>
      <c r="E23" s="722">
        <v>35611</v>
      </c>
      <c r="F23" s="701"/>
      <c r="G23" s="701" t="s">
        <v>699</v>
      </c>
      <c r="H23" s="701" t="s">
        <v>701</v>
      </c>
      <c r="I23" s="723">
        <v>30.8</v>
      </c>
      <c r="J23" s="723">
        <v>30.8</v>
      </c>
      <c r="K23" s="723">
        <v>31.55</v>
      </c>
      <c r="L23" s="723">
        <v>32.25</v>
      </c>
      <c r="M23" s="724"/>
      <c r="N23" s="725">
        <f>SUM(K23*1120)+(C23-2080)*(K23*1.5)+(L23*960)</f>
        <v>74790.837499999994</v>
      </c>
    </row>
    <row r="24" spans="1:14">
      <c r="A24" s="699">
        <v>1634</v>
      </c>
      <c r="B24" s="700" t="s">
        <v>1617</v>
      </c>
      <c r="C24" s="718">
        <v>2321</v>
      </c>
      <c r="D24" s="702">
        <v>74631.11</v>
      </c>
      <c r="E24" s="722">
        <v>35653</v>
      </c>
      <c r="F24" s="726">
        <v>43420</v>
      </c>
      <c r="G24" s="701" t="s">
        <v>699</v>
      </c>
      <c r="H24" s="701" t="s">
        <v>701</v>
      </c>
      <c r="I24" s="723">
        <v>30.8</v>
      </c>
      <c r="J24" s="723">
        <v>30.8</v>
      </c>
      <c r="K24" s="723">
        <v>31.55</v>
      </c>
      <c r="L24" s="723">
        <v>32.25</v>
      </c>
      <c r="M24" s="724"/>
      <c r="N24" s="725">
        <v>0</v>
      </c>
    </row>
    <row r="25" spans="1:14">
      <c r="A25" s="699">
        <v>4500</v>
      </c>
      <c r="B25" s="700" t="s">
        <v>1617</v>
      </c>
      <c r="C25" s="718">
        <v>2447</v>
      </c>
      <c r="D25" s="702">
        <v>81048.58</v>
      </c>
      <c r="E25" s="722">
        <v>35431</v>
      </c>
      <c r="F25" s="701"/>
      <c r="G25" s="701" t="s">
        <v>699</v>
      </c>
      <c r="H25" s="701" t="s">
        <v>701</v>
      </c>
      <c r="I25" s="723">
        <v>30.8</v>
      </c>
      <c r="J25" s="723">
        <v>30.8</v>
      </c>
      <c r="K25" s="723">
        <v>31.55</v>
      </c>
      <c r="L25" s="723">
        <v>32.25</v>
      </c>
      <c r="M25" s="724"/>
      <c r="N25" s="725">
        <f>SUM(K25*1120)+(C25-2080)*(K25*1.5)+(L25*960)</f>
        <v>83664.274999999994</v>
      </c>
    </row>
    <row r="26" spans="1:14">
      <c r="A26" s="699">
        <f>88970</f>
        <v>88970</v>
      </c>
      <c r="B26" s="700" t="s">
        <v>1617</v>
      </c>
      <c r="C26" s="718">
        <v>2258.5</v>
      </c>
      <c r="D26" s="702">
        <v>72927.240000000005</v>
      </c>
      <c r="E26" s="722">
        <v>33070</v>
      </c>
      <c r="F26" s="726"/>
      <c r="G26" s="701" t="s">
        <v>699</v>
      </c>
      <c r="H26" s="701" t="s">
        <v>701</v>
      </c>
      <c r="I26" s="723">
        <v>30.8</v>
      </c>
      <c r="J26" s="723">
        <v>30.8</v>
      </c>
      <c r="K26" s="723">
        <v>31.55</v>
      </c>
      <c r="L26" s="723">
        <v>32.25</v>
      </c>
      <c r="M26" s="724"/>
      <c r="N26" s="725">
        <f>SUM(K26*1120)+(C26-2080)*(K26*1.5)+(L26*960)</f>
        <v>74743.512499999997</v>
      </c>
    </row>
    <row r="27" spans="1:14">
      <c r="A27" s="699">
        <v>1626</v>
      </c>
      <c r="B27" s="700" t="s">
        <v>1617</v>
      </c>
      <c r="C27" s="718">
        <v>2700</v>
      </c>
      <c r="D27" s="703">
        <v>92074.54</v>
      </c>
      <c r="E27" s="727">
        <v>35548</v>
      </c>
      <c r="F27" s="701"/>
      <c r="G27" s="701" t="s">
        <v>699</v>
      </c>
      <c r="H27" s="701" t="s">
        <v>701</v>
      </c>
      <c r="I27" s="723">
        <v>30.8</v>
      </c>
      <c r="J27" s="723">
        <v>30.8</v>
      </c>
      <c r="K27" s="723">
        <v>31.55</v>
      </c>
      <c r="L27" s="723">
        <v>32.25</v>
      </c>
      <c r="M27" s="724"/>
      <c r="N27" s="725">
        <f>SUM(K27*1120)+(C27-2080)*(K27*1.5)+(L27*960)</f>
        <v>95637.5</v>
      </c>
    </row>
    <row r="28" spans="1:14">
      <c r="A28" s="699">
        <v>1601</v>
      </c>
      <c r="B28" s="700" t="s">
        <v>1617</v>
      </c>
      <c r="C28" s="718">
        <v>226.29</v>
      </c>
      <c r="D28" s="702">
        <v>7390.59</v>
      </c>
      <c r="E28" s="722">
        <v>35947</v>
      </c>
      <c r="F28" s="701"/>
      <c r="G28" s="701" t="s">
        <v>699</v>
      </c>
      <c r="H28" s="701" t="s">
        <v>701</v>
      </c>
      <c r="I28" s="723">
        <v>30.8</v>
      </c>
      <c r="J28" s="723">
        <v>30.8</v>
      </c>
      <c r="K28" s="723">
        <v>31.55</v>
      </c>
      <c r="L28" s="723">
        <v>32.25</v>
      </c>
      <c r="M28" s="724"/>
      <c r="N28" s="725">
        <v>10946.78</v>
      </c>
    </row>
    <row r="29" spans="1:14">
      <c r="A29" s="699">
        <v>1615</v>
      </c>
      <c r="B29" s="700" t="s">
        <v>1617</v>
      </c>
      <c r="C29" s="718">
        <v>325.95</v>
      </c>
      <c r="D29" s="702">
        <f>68866.83*0.15</f>
        <v>10330.0245</v>
      </c>
      <c r="E29" s="722">
        <v>36752</v>
      </c>
      <c r="F29" s="701"/>
      <c r="G29" s="701" t="s">
        <v>699</v>
      </c>
      <c r="H29" s="701" t="s">
        <v>701</v>
      </c>
      <c r="I29" s="723">
        <v>30.8</v>
      </c>
      <c r="J29" s="723">
        <v>30.8</v>
      </c>
      <c r="K29" s="723">
        <v>31.55</v>
      </c>
      <c r="L29" s="723">
        <v>32.25</v>
      </c>
      <c r="M29" s="724"/>
      <c r="N29" s="725">
        <f>(232.95*32.25)+4498.88</f>
        <v>12011.5175</v>
      </c>
    </row>
    <row r="30" spans="1:14">
      <c r="A30" s="699">
        <v>96691</v>
      </c>
      <c r="B30" s="700" t="s">
        <v>1617</v>
      </c>
      <c r="C30" s="718">
        <v>1527.74</v>
      </c>
      <c r="D30" s="702">
        <f>68569.99*0.6</f>
        <v>41141.993999999999</v>
      </c>
      <c r="E30" s="722">
        <v>42632</v>
      </c>
      <c r="F30" s="701"/>
      <c r="G30" s="701" t="s">
        <v>699</v>
      </c>
      <c r="H30" s="701" t="s">
        <v>701</v>
      </c>
      <c r="I30" s="723">
        <v>23.48</v>
      </c>
      <c r="J30" s="723">
        <v>25.03</v>
      </c>
      <c r="K30" s="730">
        <v>25.03</v>
      </c>
      <c r="L30" s="725">
        <v>25.48</v>
      </c>
      <c r="M30" s="699"/>
      <c r="N30" s="725">
        <f>(1061.29*25.48)+(466.22*38.22)</f>
        <v>44860.597600000001</v>
      </c>
    </row>
    <row r="31" spans="1:14">
      <c r="A31" s="699">
        <v>1607</v>
      </c>
      <c r="B31" s="700" t="s">
        <v>1617</v>
      </c>
      <c r="C31" s="729">
        <v>2242.5</v>
      </c>
      <c r="D31" s="702">
        <v>71367.75</v>
      </c>
      <c r="E31" s="727">
        <v>35975</v>
      </c>
      <c r="F31" s="699"/>
      <c r="G31" s="699" t="s">
        <v>699</v>
      </c>
      <c r="H31" s="699" t="s">
        <v>702</v>
      </c>
      <c r="I31" s="723">
        <v>30.8</v>
      </c>
      <c r="J31" s="730">
        <v>30.8</v>
      </c>
      <c r="K31" s="730">
        <v>31.55</v>
      </c>
      <c r="L31" s="723">
        <v>32.25</v>
      </c>
      <c r="M31" s="699"/>
      <c r="N31" s="725">
        <f>SUM(K31*1120)+(C31-2080)*(K31*1.5)+(L31*960)</f>
        <v>73986.3125</v>
      </c>
    </row>
    <row r="32" spans="1:14">
      <c r="A32" s="699">
        <v>2300</v>
      </c>
      <c r="B32" s="700" t="s">
        <v>1617</v>
      </c>
      <c r="C32" s="729">
        <v>2342</v>
      </c>
      <c r="D32" s="702">
        <v>78112.77</v>
      </c>
      <c r="E32" s="727">
        <v>35431</v>
      </c>
      <c r="F32" s="699"/>
      <c r="G32" s="699" t="s">
        <v>699</v>
      </c>
      <c r="H32" s="699" t="s">
        <v>702</v>
      </c>
      <c r="I32" s="723">
        <v>30.8</v>
      </c>
      <c r="J32" s="730">
        <v>30.8</v>
      </c>
      <c r="K32" s="730">
        <v>31.55</v>
      </c>
      <c r="L32" s="723">
        <v>32.25</v>
      </c>
      <c r="M32" s="699"/>
      <c r="N32" s="725">
        <f>SUM(K32*1120)+(C32-2080)*(K32*1.5)+(L32*960)</f>
        <v>78695.149999999994</v>
      </c>
    </row>
    <row r="33" spans="1:14">
      <c r="A33" s="699">
        <v>96613</v>
      </c>
      <c r="B33" s="700" t="s">
        <v>1617</v>
      </c>
      <c r="C33" s="729">
        <v>2401</v>
      </c>
      <c r="D33" s="702">
        <v>79545.23</v>
      </c>
      <c r="E33" s="727">
        <v>37462</v>
      </c>
      <c r="F33" s="699"/>
      <c r="G33" s="699" t="s">
        <v>699</v>
      </c>
      <c r="H33" s="699" t="s">
        <v>702</v>
      </c>
      <c r="I33" s="723">
        <v>30.8</v>
      </c>
      <c r="J33" s="730">
        <v>30.8</v>
      </c>
      <c r="K33" s="730">
        <v>31.55</v>
      </c>
      <c r="L33" s="723">
        <v>32.25</v>
      </c>
      <c r="M33" s="699"/>
      <c r="N33" s="725">
        <f>SUM(K33*1120)+(C33-2080)*(K33*1.5)+(L33*960)</f>
        <v>81487.324999999997</v>
      </c>
    </row>
    <row r="34" spans="1:14">
      <c r="A34" s="699">
        <v>96650</v>
      </c>
      <c r="B34" s="700" t="s">
        <v>1617</v>
      </c>
      <c r="C34" s="718">
        <v>488.91</v>
      </c>
      <c r="D34" s="702">
        <f>79829.91*0.2</f>
        <v>15965.982000000002</v>
      </c>
      <c r="E34" s="722">
        <v>40651</v>
      </c>
      <c r="F34" s="701"/>
      <c r="G34" s="701" t="s">
        <v>699</v>
      </c>
      <c r="H34" s="699" t="s">
        <v>702</v>
      </c>
      <c r="I34" s="723">
        <v>30.8</v>
      </c>
      <c r="J34" s="723">
        <v>30.8</v>
      </c>
      <c r="K34" s="723">
        <v>31.55</v>
      </c>
      <c r="L34" s="723">
        <v>32.25</v>
      </c>
      <c r="M34" s="724"/>
      <c r="N34" s="725">
        <f>(124.34*32.25)+17637.9</f>
        <v>21647.865000000002</v>
      </c>
    </row>
    <row r="35" spans="1:14">
      <c r="A35" s="699">
        <v>96648</v>
      </c>
      <c r="B35" s="700" t="s">
        <v>1617</v>
      </c>
      <c r="C35" s="718">
        <v>493.7</v>
      </c>
      <c r="D35" s="702">
        <f>81733.97*0.2</f>
        <v>16346.794000000002</v>
      </c>
      <c r="E35" s="722">
        <v>39780</v>
      </c>
      <c r="F35" s="701"/>
      <c r="G35" s="701" t="s">
        <v>699</v>
      </c>
      <c r="H35" s="699" t="s">
        <v>702</v>
      </c>
      <c r="I35" s="723">
        <v>30.8</v>
      </c>
      <c r="J35" s="723">
        <v>30.8</v>
      </c>
      <c r="K35" s="723">
        <v>31.55</v>
      </c>
      <c r="L35" s="723">
        <v>32.25</v>
      </c>
      <c r="M35" s="724"/>
      <c r="N35" s="725">
        <f>SUM(105.2*31.55)+(388.5*47.33)</f>
        <v>21706.764999999999</v>
      </c>
    </row>
    <row r="36" spans="1:14">
      <c r="A36" s="699">
        <v>96651</v>
      </c>
      <c r="B36" s="700" t="s">
        <v>1617</v>
      </c>
      <c r="C36" s="718">
        <v>427.4</v>
      </c>
      <c r="D36" s="702">
        <f>67365.08*0.2</f>
        <v>13473.016000000001</v>
      </c>
      <c r="E36" s="722">
        <v>40654</v>
      </c>
      <c r="F36" s="726"/>
      <c r="G36" s="701" t="s">
        <v>699</v>
      </c>
      <c r="H36" s="699" t="s">
        <v>702</v>
      </c>
      <c r="I36" s="723">
        <v>30.8</v>
      </c>
      <c r="J36" s="723">
        <v>30.8</v>
      </c>
      <c r="K36" s="723">
        <v>31.55</v>
      </c>
      <c r="L36" s="723">
        <v>32.25</v>
      </c>
      <c r="M36" s="724"/>
      <c r="N36" s="725">
        <f>(370.39*32.25)+2772.37</f>
        <v>14717.447499999998</v>
      </c>
    </row>
    <row r="37" spans="1:14">
      <c r="A37" s="699"/>
      <c r="B37" s="699"/>
      <c r="C37" s="699"/>
      <c r="D37" s="699"/>
      <c r="E37" s="699"/>
      <c r="F37" s="699"/>
      <c r="G37" s="699"/>
      <c r="H37" s="699"/>
      <c r="I37" s="730"/>
      <c r="J37" s="730"/>
      <c r="K37" s="730"/>
      <c r="L37" s="730"/>
      <c r="M37" s="699"/>
      <c r="N37" s="699"/>
    </row>
    <row r="38" spans="1:14">
      <c r="A38" s="699"/>
      <c r="B38" s="699"/>
      <c r="C38" s="737">
        <f>SUM(C4:C37)</f>
        <v>55757.359999999993</v>
      </c>
      <c r="D38" s="730">
        <f>SUM(D4:D36)</f>
        <v>1722958.1960000002</v>
      </c>
      <c r="E38" s="699"/>
      <c r="F38" s="699"/>
      <c r="G38" s="699"/>
      <c r="H38" s="699"/>
      <c r="I38" s="730"/>
      <c r="J38" s="730"/>
      <c r="K38" s="730"/>
      <c r="L38" s="730"/>
      <c r="M38" s="699"/>
      <c r="N38" s="730">
        <f>SUM(N4:N36)</f>
        <v>1709644.6550999996</v>
      </c>
    </row>
    <row r="39" spans="1:14">
      <c r="A39" s="738"/>
      <c r="B39" s="738"/>
      <c r="C39" s="738"/>
      <c r="D39" s="739"/>
      <c r="E39" s="738"/>
      <c r="F39" s="738"/>
      <c r="G39" s="738"/>
      <c r="H39" s="738"/>
      <c r="I39" s="739"/>
      <c r="J39" s="739"/>
      <c r="K39" s="739"/>
      <c r="L39" s="739"/>
      <c r="M39" s="738"/>
      <c r="N39" s="739"/>
    </row>
    <row r="40" spans="1:14">
      <c r="A40" s="738"/>
      <c r="B40" s="738"/>
      <c r="C40" s="740"/>
      <c r="D40" s="739"/>
      <c r="E40" s="738"/>
      <c r="F40" s="738"/>
      <c r="G40" s="738"/>
      <c r="H40" s="738"/>
      <c r="I40" s="739"/>
      <c r="J40" s="739"/>
      <c r="K40" s="739"/>
      <c r="L40" s="739"/>
      <c r="M40" s="738"/>
      <c r="N40" s="739"/>
    </row>
    <row r="41" spans="1:14">
      <c r="A41" s="738"/>
      <c r="B41" s="738"/>
      <c r="C41" s="738"/>
      <c r="D41" s="739"/>
      <c r="E41" s="738"/>
      <c r="F41" s="738"/>
      <c r="G41" s="738"/>
      <c r="H41" s="738"/>
      <c r="I41" s="739"/>
      <c r="J41" s="739"/>
      <c r="K41" s="739"/>
      <c r="L41" s="739"/>
      <c r="M41" s="738"/>
      <c r="N41" s="739"/>
    </row>
    <row r="42" spans="1:14">
      <c r="A42" s="738"/>
      <c r="B42" s="738"/>
      <c r="C42" s="738"/>
      <c r="D42" s="738"/>
      <c r="E42" s="738"/>
      <c r="F42" s="738"/>
      <c r="G42" s="738"/>
      <c r="H42" s="738"/>
      <c r="I42" s="739"/>
      <c r="J42" s="739"/>
      <c r="K42" s="739"/>
      <c r="L42" s="739"/>
      <c r="M42" s="738"/>
      <c r="N42" s="738"/>
    </row>
    <row r="43" spans="1:14">
      <c r="A43" s="738"/>
      <c r="B43" s="738"/>
      <c r="C43" s="740"/>
      <c r="D43" s="740"/>
      <c r="E43" s="738"/>
      <c r="F43" s="738"/>
      <c r="G43" s="738"/>
      <c r="H43" s="738"/>
      <c r="I43" s="738"/>
      <c r="J43" s="738"/>
      <c r="K43" s="738"/>
      <c r="L43" s="738"/>
      <c r="M43" s="738"/>
      <c r="N43" s="740"/>
    </row>
    <row r="44" spans="1:14">
      <c r="A44" s="738"/>
      <c r="B44" s="738"/>
      <c r="C44" s="740"/>
      <c r="D44" s="740"/>
      <c r="E44" s="738"/>
      <c r="F44" s="738"/>
      <c r="G44" s="738"/>
      <c r="H44" s="738"/>
      <c r="I44" s="738"/>
      <c r="J44" s="738"/>
      <c r="K44" s="738"/>
      <c r="L44" s="738"/>
      <c r="M44" s="738"/>
      <c r="N44" s="740"/>
    </row>
    <row r="45" spans="1:14">
      <c r="A45" s="738"/>
      <c r="B45" s="738"/>
      <c r="C45" s="740"/>
      <c r="D45" s="740"/>
      <c r="E45" s="738"/>
      <c r="F45" s="738"/>
      <c r="G45" s="738"/>
      <c r="H45" s="738"/>
      <c r="I45" s="738"/>
      <c r="J45" s="738"/>
      <c r="K45" s="738"/>
      <c r="L45" s="738"/>
      <c r="M45" s="738"/>
      <c r="N45" s="740"/>
    </row>
    <row r="46" spans="1:14">
      <c r="A46" s="738"/>
      <c r="B46" s="738"/>
      <c r="C46" s="740"/>
      <c r="D46" s="740"/>
      <c r="E46" s="738"/>
      <c r="F46" s="738"/>
      <c r="G46" s="738"/>
      <c r="H46" s="738"/>
      <c r="I46" s="738"/>
      <c r="J46" s="738"/>
      <c r="K46" s="738"/>
      <c r="L46" s="738"/>
      <c r="M46" s="738"/>
      <c r="N46" s="740"/>
    </row>
    <row r="47" spans="1:14">
      <c r="A47" s="738"/>
      <c r="B47" s="738"/>
      <c r="C47" s="740"/>
      <c r="D47" s="738"/>
      <c r="E47" s="738"/>
      <c r="F47" s="738"/>
      <c r="G47" s="738"/>
      <c r="H47" s="738"/>
      <c r="I47" s="738"/>
      <c r="J47" s="738"/>
      <c r="K47" s="738"/>
      <c r="L47" s="738"/>
      <c r="M47" s="738"/>
      <c r="N47" s="738"/>
    </row>
    <row r="48" spans="1:14">
      <c r="A48" s="741"/>
      <c r="B48" s="738"/>
      <c r="C48" s="742"/>
      <c r="D48" s="740"/>
      <c r="E48" s="741"/>
      <c r="F48" s="741"/>
      <c r="G48" s="741"/>
      <c r="H48" s="741"/>
      <c r="I48" s="741"/>
      <c r="J48" s="741"/>
      <c r="K48" s="741"/>
      <c r="L48" s="741"/>
      <c r="M48" s="741"/>
      <c r="N48" s="741"/>
    </row>
    <row r="49" spans="1:14" ht="15.75">
      <c r="A49" s="743"/>
      <c r="B49" s="744"/>
      <c r="C49" s="745"/>
      <c r="D49" s="746"/>
      <c r="E49" s="741"/>
      <c r="F49" s="741"/>
      <c r="G49" s="741"/>
      <c r="H49" s="741"/>
      <c r="I49" s="741"/>
      <c r="J49" s="741"/>
      <c r="K49" s="741"/>
      <c r="L49" s="741"/>
      <c r="M49" s="741"/>
      <c r="N49" s="741"/>
    </row>
    <row r="50" spans="1:14" ht="15.75">
      <c r="A50" s="743"/>
      <c r="B50" s="744"/>
      <c r="C50" s="745"/>
      <c r="D50" s="746"/>
      <c r="E50" s="741"/>
      <c r="F50" s="741"/>
      <c r="G50" s="741"/>
      <c r="H50" s="741"/>
      <c r="I50" s="741"/>
      <c r="J50" s="741"/>
      <c r="K50" s="741"/>
      <c r="L50" s="741"/>
      <c r="M50" s="741"/>
      <c r="N50" s="741"/>
    </row>
    <row r="51" spans="1:14" ht="15.75">
      <c r="A51" s="743"/>
      <c r="B51" s="744"/>
      <c r="C51" s="745"/>
      <c r="D51" s="746"/>
      <c r="E51" s="741"/>
      <c r="F51" s="741"/>
      <c r="G51" s="741"/>
      <c r="H51" s="741"/>
      <c r="I51" s="741"/>
      <c r="J51" s="741"/>
      <c r="K51" s="741"/>
      <c r="L51" s="741"/>
      <c r="M51" s="741"/>
      <c r="N51" s="741"/>
    </row>
    <row r="52" spans="1:14" ht="15.75">
      <c r="A52" s="743"/>
      <c r="B52" s="744"/>
      <c r="C52" s="745"/>
      <c r="D52" s="746"/>
      <c r="E52" s="741"/>
      <c r="F52" s="741"/>
      <c r="G52" s="741"/>
      <c r="H52" s="741"/>
      <c r="I52" s="741"/>
      <c r="J52" s="741"/>
      <c r="K52" s="741"/>
      <c r="L52" s="741"/>
      <c r="M52" s="741"/>
      <c r="N52" s="741"/>
    </row>
    <row r="53" spans="1:14" ht="15.75">
      <c r="A53" s="743"/>
      <c r="B53" s="743"/>
      <c r="C53" s="743"/>
      <c r="D53" s="747"/>
      <c r="E53" s="743"/>
      <c r="F53" s="743"/>
      <c r="G53" s="741"/>
      <c r="H53" s="741"/>
      <c r="I53" s="741"/>
      <c r="J53" s="741"/>
      <c r="K53" s="741"/>
      <c r="L53" s="741"/>
      <c r="M53" s="741"/>
      <c r="N53" s="741"/>
    </row>
    <row r="54" spans="1:14" ht="15.75">
      <c r="A54" s="743"/>
      <c r="B54" s="743"/>
      <c r="C54" s="743"/>
      <c r="D54" s="747"/>
      <c r="E54" s="743"/>
      <c r="F54" s="743"/>
      <c r="G54" s="741"/>
      <c r="H54" s="741"/>
      <c r="I54" s="741"/>
      <c r="J54" s="741"/>
      <c r="K54" s="741"/>
      <c r="L54" s="741"/>
      <c r="M54" s="741"/>
      <c r="N54" s="741"/>
    </row>
    <row r="55" spans="1:14" ht="15.75">
      <c r="A55" s="743"/>
      <c r="B55" s="743"/>
      <c r="C55" s="743"/>
      <c r="D55" s="747"/>
      <c r="E55" s="743"/>
      <c r="F55" s="743"/>
      <c r="G55" s="741"/>
      <c r="H55" s="741"/>
      <c r="I55" s="741"/>
      <c r="J55" s="741"/>
      <c r="K55" s="741"/>
      <c r="L55" s="741"/>
      <c r="M55" s="741"/>
      <c r="N55" s="741"/>
    </row>
    <row r="56" spans="1:14" ht="15.75">
      <c r="A56" s="743"/>
      <c r="B56" s="744"/>
      <c r="C56" s="743"/>
      <c r="D56" s="747"/>
      <c r="E56" s="743"/>
      <c r="F56" s="743"/>
      <c r="G56" s="741"/>
      <c r="H56" s="741"/>
      <c r="I56" s="741"/>
      <c r="J56" s="741"/>
      <c r="K56" s="741"/>
      <c r="L56" s="741"/>
      <c r="M56" s="741"/>
      <c r="N56" s="741"/>
    </row>
    <row r="57" spans="1:14" ht="15.75">
      <c r="A57" s="743"/>
      <c r="B57" s="744"/>
      <c r="C57" s="743"/>
      <c r="D57" s="747"/>
      <c r="E57" s="743"/>
      <c r="F57" s="743"/>
      <c r="G57" s="741"/>
      <c r="H57" s="741"/>
      <c r="I57" s="741"/>
      <c r="J57" s="741"/>
      <c r="K57" s="741"/>
      <c r="L57" s="741"/>
      <c r="M57" s="741"/>
      <c r="N57" s="741"/>
    </row>
    <row r="58" spans="1:14" ht="15.75">
      <c r="A58" s="743"/>
      <c r="B58" s="743"/>
      <c r="C58" s="743"/>
      <c r="D58" s="747"/>
      <c r="E58" s="743"/>
      <c r="F58" s="743"/>
      <c r="G58" s="741"/>
      <c r="H58" s="741"/>
      <c r="I58" s="741"/>
      <c r="J58" s="741"/>
      <c r="K58" s="741"/>
      <c r="L58" s="741"/>
      <c r="M58" s="741"/>
      <c r="N58" s="741"/>
    </row>
    <row r="59" spans="1:14" ht="15.75">
      <c r="A59" s="743"/>
      <c r="B59" s="743"/>
      <c r="C59" s="743"/>
      <c r="D59" s="743"/>
      <c r="E59" s="743"/>
      <c r="F59" s="743"/>
      <c r="G59" s="741"/>
      <c r="H59" s="741"/>
      <c r="I59" s="741"/>
      <c r="J59" s="741"/>
      <c r="K59" s="741"/>
      <c r="L59" s="741"/>
      <c r="M59" s="741"/>
      <c r="N59" s="741"/>
    </row>
    <row r="60" spans="1:14" ht="15.75">
      <c r="A60" s="743"/>
      <c r="B60" s="743"/>
      <c r="C60" s="743"/>
      <c r="D60" s="743"/>
      <c r="E60" s="743"/>
      <c r="F60" s="743"/>
      <c r="G60" s="741"/>
      <c r="H60" s="741"/>
      <c r="I60" s="741"/>
      <c r="J60" s="741"/>
      <c r="K60" s="741"/>
      <c r="L60" s="741"/>
      <c r="M60" s="741"/>
      <c r="N60" s="741"/>
    </row>
    <row r="61" spans="1:14" ht="15.75">
      <c r="A61" s="743"/>
      <c r="B61" s="743"/>
      <c r="C61" s="743"/>
      <c r="D61" s="747"/>
      <c r="E61" s="743"/>
      <c r="F61" s="743"/>
      <c r="G61" s="741"/>
      <c r="H61" s="741"/>
      <c r="I61" s="741"/>
      <c r="J61" s="741"/>
      <c r="K61" s="741"/>
      <c r="L61" s="741"/>
      <c r="M61" s="741"/>
      <c r="N61" s="741"/>
    </row>
    <row r="62" spans="1:14" ht="15.75">
      <c r="A62" s="743"/>
      <c r="B62" s="743"/>
      <c r="C62" s="743"/>
      <c r="D62" s="743"/>
      <c r="E62" s="743"/>
      <c r="F62" s="743"/>
      <c r="G62" s="741"/>
      <c r="H62" s="741"/>
      <c r="I62" s="741"/>
      <c r="J62" s="741"/>
      <c r="K62" s="741"/>
      <c r="L62" s="741"/>
      <c r="M62" s="741"/>
      <c r="N62" s="741"/>
    </row>
    <row r="63" spans="1:14" ht="15.75">
      <c r="A63" s="743"/>
      <c r="B63" s="743"/>
      <c r="C63" s="743"/>
      <c r="D63" s="743"/>
      <c r="E63" s="743"/>
      <c r="F63" s="743"/>
      <c r="G63" s="741"/>
      <c r="H63" s="741"/>
      <c r="I63" s="741"/>
      <c r="J63" s="741"/>
      <c r="K63" s="741"/>
      <c r="L63" s="741"/>
      <c r="M63" s="741"/>
      <c r="N63" s="741"/>
    </row>
    <row r="64" spans="1:14" ht="15.75">
      <c r="A64" s="743"/>
      <c r="B64" s="743"/>
      <c r="C64" s="743"/>
      <c r="D64" s="743"/>
      <c r="E64" s="743"/>
      <c r="F64" s="743"/>
      <c r="G64" s="741"/>
      <c r="H64" s="741"/>
      <c r="I64" s="741"/>
      <c r="J64" s="741"/>
      <c r="K64" s="741"/>
      <c r="L64" s="741"/>
      <c r="M64" s="741"/>
      <c r="N64" s="741"/>
    </row>
    <row r="65" spans="1:14" ht="15.75">
      <c r="A65" s="743"/>
      <c r="B65" s="743"/>
      <c r="C65" s="743"/>
      <c r="D65" s="743"/>
      <c r="E65" s="743"/>
      <c r="F65" s="743"/>
      <c r="G65" s="741"/>
      <c r="H65" s="741"/>
      <c r="I65" s="741"/>
      <c r="J65" s="741"/>
      <c r="K65" s="741"/>
      <c r="L65" s="741"/>
      <c r="M65" s="741"/>
      <c r="N65" s="741"/>
    </row>
  </sheetData>
  <pageMargins left="0.45" right="0.45" top="0.75" bottom="0.75" header="0.3" footer="0.3"/>
  <pageSetup scale="77" fitToHeight="0" orientation="landscape" r:id="rId1"/>
  <headerFooter>
    <oddFooter>&amp;L&amp;"Calibri,Regular"&amp;D&amp;C&amp;"Calibri,Regular"&amp;A&amp;R&amp;"Calibri,Regular"Page &amp;P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F6066-E0CF-4CFB-9A9B-3B88EC6B2FBA}">
  <sheetPr>
    <pageSetUpPr fitToPage="1"/>
  </sheetPr>
  <dimension ref="A1:O104"/>
  <sheetViews>
    <sheetView zoomScaleNormal="100" workbookViewId="0">
      <selection activeCell="B4" sqref="B4"/>
    </sheetView>
  </sheetViews>
  <sheetFormatPr defaultRowHeight="15"/>
  <cols>
    <col min="1" max="1" width="5.44140625" customWidth="1"/>
    <col min="2" max="2" width="17.88671875" bestFit="1" customWidth="1"/>
    <col min="3" max="3" width="12.6640625" customWidth="1"/>
    <col min="4" max="4" width="10.21875" customWidth="1"/>
    <col min="5" max="5" width="10.6640625" customWidth="1"/>
    <col min="6" max="6" width="11.5546875" customWidth="1"/>
    <col min="7" max="7" width="8.21875" customWidth="1"/>
    <col min="8" max="8" width="12.33203125" customWidth="1"/>
    <col min="9" max="9" width="9.21875" customWidth="1"/>
    <col min="10" max="10" width="7.21875" customWidth="1"/>
    <col min="11" max="11" width="8.77734375" customWidth="1"/>
    <col min="12" max="12" width="10.109375" bestFit="1" customWidth="1"/>
    <col min="13" max="13" width="11.21875" customWidth="1"/>
  </cols>
  <sheetData>
    <row r="1" spans="1:15" ht="51">
      <c r="A1" s="699"/>
      <c r="B1" s="701"/>
      <c r="C1" s="718"/>
      <c r="D1" s="729"/>
      <c r="E1" s="729"/>
      <c r="F1" s="701"/>
      <c r="G1" s="701" t="s">
        <v>703</v>
      </c>
      <c r="H1" s="701" t="s">
        <v>668</v>
      </c>
      <c r="I1" s="748" t="s">
        <v>746</v>
      </c>
      <c r="J1" s="749" t="s">
        <v>704</v>
      </c>
      <c r="K1" s="750" t="s">
        <v>705</v>
      </c>
      <c r="L1" s="721" t="s">
        <v>1418</v>
      </c>
      <c r="M1" s="699"/>
      <c r="N1" s="699"/>
      <c r="O1" s="699"/>
    </row>
    <row r="2" spans="1:15">
      <c r="A2" s="699" t="s">
        <v>689</v>
      </c>
      <c r="B2" s="701" t="s">
        <v>690</v>
      </c>
      <c r="C2" s="718" t="s">
        <v>691</v>
      </c>
      <c r="D2" s="729" t="s">
        <v>692</v>
      </c>
      <c r="E2" s="729" t="s">
        <v>693</v>
      </c>
      <c r="F2" s="701" t="s">
        <v>694</v>
      </c>
      <c r="G2" s="701" t="s">
        <v>695</v>
      </c>
      <c r="H2" s="701" t="s">
        <v>706</v>
      </c>
      <c r="I2" s="751"/>
      <c r="J2" s="701"/>
      <c r="K2" s="701"/>
      <c r="L2" s="701"/>
      <c r="M2" s="699"/>
      <c r="N2" s="699"/>
      <c r="O2" s="699"/>
    </row>
    <row r="3" spans="1:15">
      <c r="A3" s="699"/>
      <c r="B3" s="699"/>
      <c r="C3" s="729"/>
      <c r="D3" s="729"/>
      <c r="E3" s="729"/>
      <c r="F3" s="699"/>
      <c r="G3" s="699"/>
      <c r="H3" s="699"/>
      <c r="I3" s="699"/>
      <c r="J3" s="699"/>
      <c r="K3" s="699"/>
      <c r="L3" s="699"/>
      <c r="M3" s="699"/>
      <c r="N3" s="699"/>
      <c r="O3" s="699"/>
    </row>
    <row r="4" spans="1:15">
      <c r="A4" s="699">
        <v>96702</v>
      </c>
      <c r="B4" s="700" t="s">
        <v>1617</v>
      </c>
      <c r="C4" s="718">
        <v>438.81</v>
      </c>
      <c r="D4" s="752">
        <f>52194.84*0.2</f>
        <v>10438.968000000001</v>
      </c>
      <c r="E4" s="722">
        <v>42846</v>
      </c>
      <c r="F4" s="701"/>
      <c r="G4" s="701" t="s">
        <v>699</v>
      </c>
      <c r="H4" s="701" t="s">
        <v>1419</v>
      </c>
      <c r="I4" s="723">
        <v>22.15</v>
      </c>
      <c r="J4" s="723">
        <v>23.2</v>
      </c>
      <c r="K4" s="733">
        <v>24.15</v>
      </c>
      <c r="L4" s="731">
        <f>(324.81*23.79)+(114*35.69)</f>
        <v>11795.889899999998</v>
      </c>
      <c r="M4" s="699"/>
      <c r="N4" s="699"/>
      <c r="O4" s="699"/>
    </row>
    <row r="5" spans="1:15">
      <c r="A5" s="699">
        <v>96677</v>
      </c>
      <c r="B5" s="700" t="s">
        <v>1617</v>
      </c>
      <c r="C5" s="718">
        <v>1174.25</v>
      </c>
      <c r="D5" s="752">
        <f>60755.01*0.5</f>
        <v>30377.505000000001</v>
      </c>
      <c r="E5" s="722">
        <v>41886</v>
      </c>
      <c r="F5" s="701"/>
      <c r="G5" s="701" t="s">
        <v>699</v>
      </c>
      <c r="H5" s="701" t="s">
        <v>710</v>
      </c>
      <c r="I5" s="723">
        <v>23.48</v>
      </c>
      <c r="J5" s="723">
        <v>25.03</v>
      </c>
      <c r="K5" s="730">
        <v>25.48</v>
      </c>
      <c r="L5" s="725">
        <v>29919.89</v>
      </c>
      <c r="M5" s="699"/>
      <c r="N5" s="699"/>
      <c r="O5" s="699"/>
    </row>
    <row r="6" spans="1:15">
      <c r="A6" s="699">
        <v>96689</v>
      </c>
      <c r="B6" s="700" t="s">
        <v>1617</v>
      </c>
      <c r="C6" s="718">
        <v>731.5</v>
      </c>
      <c r="D6" s="752">
        <f>36990.95*0.5</f>
        <v>18495.474999999999</v>
      </c>
      <c r="E6" s="722">
        <v>42587</v>
      </c>
      <c r="F6" s="726">
        <v>43308</v>
      </c>
      <c r="G6" s="701" t="s">
        <v>699</v>
      </c>
      <c r="H6" s="701" t="s">
        <v>710</v>
      </c>
      <c r="I6" s="723">
        <v>22.98</v>
      </c>
      <c r="J6" s="723">
        <v>25.28</v>
      </c>
      <c r="K6" s="723">
        <v>25.73</v>
      </c>
      <c r="L6" s="731">
        <v>0</v>
      </c>
      <c r="M6" s="735"/>
      <c r="N6" s="699"/>
      <c r="O6" s="699"/>
    </row>
    <row r="7" spans="1:15">
      <c r="A7" s="699">
        <v>96691</v>
      </c>
      <c r="B7" s="700" t="s">
        <v>1617</v>
      </c>
      <c r="C7" s="718">
        <v>1018.49</v>
      </c>
      <c r="D7" s="752">
        <f>68569.99*0.4</f>
        <v>27427.996000000003</v>
      </c>
      <c r="E7" s="722">
        <v>42632</v>
      </c>
      <c r="F7" s="701"/>
      <c r="G7" s="701" t="s">
        <v>699</v>
      </c>
      <c r="H7" s="701" t="s">
        <v>710</v>
      </c>
      <c r="I7" s="723">
        <v>23.48</v>
      </c>
      <c r="J7" s="723">
        <v>25.03</v>
      </c>
      <c r="K7" s="730">
        <v>25.48</v>
      </c>
      <c r="L7" s="725">
        <f>C7*K7</f>
        <v>25951.125200000002</v>
      </c>
      <c r="M7" s="699"/>
      <c r="N7" s="699"/>
      <c r="O7" s="699"/>
    </row>
    <row r="8" spans="1:15">
      <c r="A8" s="699">
        <v>96700</v>
      </c>
      <c r="B8" s="700" t="s">
        <v>1617</v>
      </c>
      <c r="C8" s="718">
        <v>2230.5</v>
      </c>
      <c r="D8" s="752">
        <f>56215.09+166.78</f>
        <v>56381.869999999995</v>
      </c>
      <c r="E8" s="722">
        <v>42843</v>
      </c>
      <c r="F8" s="701"/>
      <c r="G8" s="701" t="s">
        <v>699</v>
      </c>
      <c r="H8" s="701" t="s">
        <v>710</v>
      </c>
      <c r="I8" s="723">
        <v>22.73</v>
      </c>
      <c r="J8" s="723">
        <v>24.28</v>
      </c>
      <c r="K8" s="730">
        <v>25.48</v>
      </c>
      <c r="L8" s="731">
        <f>SUM(K8*C8)</f>
        <v>56833.14</v>
      </c>
      <c r="M8" s="699"/>
      <c r="N8" s="699"/>
      <c r="O8" s="699"/>
    </row>
    <row r="9" spans="1:15">
      <c r="A9" s="699">
        <v>96704</v>
      </c>
      <c r="B9" s="700" t="s">
        <v>1617</v>
      </c>
      <c r="C9" s="753">
        <v>1329.36</v>
      </c>
      <c r="D9" s="752">
        <f>32558.34+125.13</f>
        <v>32683.47</v>
      </c>
      <c r="E9" s="722">
        <v>42856</v>
      </c>
      <c r="F9" s="754">
        <v>43306</v>
      </c>
      <c r="G9" s="701" t="s">
        <v>699</v>
      </c>
      <c r="H9" s="701" t="s">
        <v>710</v>
      </c>
      <c r="I9" s="723">
        <v>23.48</v>
      </c>
      <c r="J9" s="723">
        <v>25.03</v>
      </c>
      <c r="K9" s="730">
        <v>0</v>
      </c>
      <c r="L9" s="731">
        <v>0</v>
      </c>
      <c r="M9" s="699"/>
      <c r="N9" s="699"/>
      <c r="O9" s="699"/>
    </row>
    <row r="10" spans="1:15">
      <c r="A10" s="699">
        <v>96715</v>
      </c>
      <c r="B10" s="700" t="s">
        <v>1617</v>
      </c>
      <c r="C10" s="718">
        <v>375</v>
      </c>
      <c r="D10" s="752">
        <v>9578.4599999999991</v>
      </c>
      <c r="E10" s="722">
        <v>43283</v>
      </c>
      <c r="F10" s="726">
        <v>43343</v>
      </c>
      <c r="G10" s="701" t="s">
        <v>699</v>
      </c>
      <c r="H10" s="701" t="s">
        <v>710</v>
      </c>
      <c r="I10" s="723">
        <v>0</v>
      </c>
      <c r="J10" s="723">
        <v>24.28</v>
      </c>
      <c r="K10" s="730">
        <v>0</v>
      </c>
      <c r="L10" s="731">
        <f>SUM(K10*C10)</f>
        <v>0</v>
      </c>
      <c r="M10" s="699"/>
      <c r="N10" s="699"/>
      <c r="O10" s="699"/>
    </row>
    <row r="11" spans="1:15">
      <c r="A11" s="699">
        <v>47820</v>
      </c>
      <c r="B11" s="700" t="s">
        <v>1617</v>
      </c>
      <c r="C11" s="718">
        <v>1908</v>
      </c>
      <c r="D11" s="752">
        <f>52171.99</f>
        <v>52171.99</v>
      </c>
      <c r="E11" s="722">
        <v>35490</v>
      </c>
      <c r="F11" s="726">
        <v>43343</v>
      </c>
      <c r="G11" s="701" t="s">
        <v>699</v>
      </c>
      <c r="H11" s="701" t="s">
        <v>711</v>
      </c>
      <c r="I11" s="723">
        <v>25.23</v>
      </c>
      <c r="J11" s="723">
        <v>26.78</v>
      </c>
      <c r="K11" s="730">
        <v>27.23</v>
      </c>
      <c r="L11" s="725">
        <v>0</v>
      </c>
      <c r="M11" s="699"/>
      <c r="N11" s="699"/>
      <c r="O11" s="699"/>
    </row>
    <row r="12" spans="1:15">
      <c r="A12" s="699">
        <v>96602</v>
      </c>
      <c r="B12" s="700" t="s">
        <v>1617</v>
      </c>
      <c r="C12" s="734">
        <v>2557</v>
      </c>
      <c r="D12" s="752">
        <v>73345.789999999994</v>
      </c>
      <c r="E12" s="722">
        <v>36061</v>
      </c>
      <c r="F12" s="735"/>
      <c r="G12" s="701" t="s">
        <v>699</v>
      </c>
      <c r="H12" s="701" t="s">
        <v>711</v>
      </c>
      <c r="I12" s="723">
        <v>25.23</v>
      </c>
      <c r="J12" s="736">
        <v>26.78</v>
      </c>
      <c r="K12" s="730">
        <v>27.23</v>
      </c>
      <c r="L12" s="725">
        <f>SUM(J12*520)+(C12-2080)*(J12*1.5)+(K12*1560)</f>
        <v>75565.490000000005</v>
      </c>
      <c r="M12" s="699"/>
      <c r="N12" s="699"/>
      <c r="O12" s="699"/>
    </row>
    <row r="13" spans="1:15">
      <c r="A13" s="699">
        <v>96666</v>
      </c>
      <c r="B13" s="700" t="s">
        <v>1617</v>
      </c>
      <c r="C13" s="734">
        <v>311.5</v>
      </c>
      <c r="D13" s="752">
        <v>8210.19</v>
      </c>
      <c r="E13" s="722">
        <v>41673</v>
      </c>
      <c r="F13" s="755">
        <v>43131</v>
      </c>
      <c r="G13" s="701" t="s">
        <v>699</v>
      </c>
      <c r="H13" s="701" t="s">
        <v>711</v>
      </c>
      <c r="I13" s="723">
        <v>22.15</v>
      </c>
      <c r="J13" s="736">
        <v>0</v>
      </c>
      <c r="K13" s="730">
        <v>0</v>
      </c>
      <c r="L13" s="731">
        <f>SUM(K13*C13)</f>
        <v>0</v>
      </c>
      <c r="M13" s="699"/>
      <c r="N13" s="699"/>
      <c r="O13" s="699"/>
    </row>
    <row r="14" spans="1:15">
      <c r="A14" s="699">
        <v>96709</v>
      </c>
      <c r="B14" s="700" t="s">
        <v>1617</v>
      </c>
      <c r="C14" s="734">
        <v>710.1</v>
      </c>
      <c r="D14" s="752">
        <v>19665.5</v>
      </c>
      <c r="E14" s="722">
        <v>42954</v>
      </c>
      <c r="F14" s="735"/>
      <c r="G14" s="701" t="s">
        <v>699</v>
      </c>
      <c r="H14" s="701" t="s">
        <v>711</v>
      </c>
      <c r="I14" s="723">
        <v>25.23</v>
      </c>
      <c r="J14" s="736">
        <v>25.78</v>
      </c>
      <c r="K14" s="730">
        <v>26.23</v>
      </c>
      <c r="L14" s="725">
        <v>18625.919999999998</v>
      </c>
      <c r="M14" s="699"/>
      <c r="N14" s="699"/>
      <c r="O14" s="699"/>
    </row>
    <row r="15" spans="1:15">
      <c r="A15" s="699">
        <v>96647</v>
      </c>
      <c r="B15" s="700" t="s">
        <v>1617</v>
      </c>
      <c r="C15" s="718">
        <v>193.7</v>
      </c>
      <c r="D15" s="702">
        <f>68816.08*0.1</f>
        <v>6881.6080000000002</v>
      </c>
      <c r="E15" s="722">
        <v>39647</v>
      </c>
      <c r="F15" s="701"/>
      <c r="G15" s="701" t="s">
        <v>699</v>
      </c>
      <c r="H15" s="701" t="s">
        <v>1420</v>
      </c>
      <c r="I15" s="723">
        <v>30.8</v>
      </c>
      <c r="J15" s="723">
        <v>30.8</v>
      </c>
      <c r="K15" s="723">
        <v>31.55</v>
      </c>
      <c r="L15" s="723">
        <f>SUM(88.5*K15+(105.2*47.33))</f>
        <v>7771.2910000000002</v>
      </c>
      <c r="M15" s="724"/>
      <c r="N15" s="725"/>
      <c r="O15" s="735"/>
    </row>
    <row r="16" spans="1:15">
      <c r="A16" s="699">
        <v>96716</v>
      </c>
      <c r="B16" s="700" t="s">
        <v>1617</v>
      </c>
      <c r="C16" s="729">
        <v>265</v>
      </c>
      <c r="D16" s="752">
        <f>6087.49+3679.19</f>
        <v>9766.68</v>
      </c>
      <c r="E16" s="727">
        <v>43297</v>
      </c>
      <c r="F16" s="756"/>
      <c r="G16" s="699" t="s">
        <v>699</v>
      </c>
      <c r="H16" s="699" t="s">
        <v>709</v>
      </c>
      <c r="I16" s="730">
        <v>0</v>
      </c>
      <c r="J16" s="730">
        <v>22.95</v>
      </c>
      <c r="K16" s="730">
        <v>24.15</v>
      </c>
      <c r="L16" s="725">
        <f>SUM(J16*520)+(K16*1560)</f>
        <v>49608</v>
      </c>
      <c r="M16" s="699"/>
      <c r="N16" s="699"/>
      <c r="O16" s="699"/>
    </row>
    <row r="17" spans="1:15">
      <c r="A17" s="699">
        <v>96717</v>
      </c>
      <c r="B17" s="700" t="s">
        <v>1617</v>
      </c>
      <c r="C17" s="729">
        <v>925</v>
      </c>
      <c r="D17" s="752">
        <v>21974.639999999999</v>
      </c>
      <c r="E17" s="727">
        <v>43300</v>
      </c>
      <c r="F17" s="756">
        <v>43476</v>
      </c>
      <c r="G17" s="699" t="s">
        <v>699</v>
      </c>
      <c r="H17" s="699" t="s">
        <v>709</v>
      </c>
      <c r="I17" s="730">
        <v>0</v>
      </c>
      <c r="J17" s="730">
        <v>23.7</v>
      </c>
      <c r="K17" s="730">
        <v>24.15</v>
      </c>
      <c r="L17" s="730">
        <v>0</v>
      </c>
      <c r="M17" s="699"/>
      <c r="N17" s="699"/>
      <c r="O17" s="699"/>
    </row>
    <row r="18" spans="1:15">
      <c r="A18" s="699">
        <v>96718</v>
      </c>
      <c r="B18" s="700" t="s">
        <v>1617</v>
      </c>
      <c r="C18" s="729">
        <v>218.5</v>
      </c>
      <c r="D18" s="752">
        <v>5135.0600000000004</v>
      </c>
      <c r="E18" s="727">
        <v>43360</v>
      </c>
      <c r="F18" s="756">
        <v>43395</v>
      </c>
      <c r="G18" s="699" t="s">
        <v>699</v>
      </c>
      <c r="H18" s="699" t="s">
        <v>709</v>
      </c>
      <c r="I18" s="730">
        <v>0</v>
      </c>
      <c r="J18" s="730">
        <v>23.7</v>
      </c>
      <c r="K18" s="730">
        <v>24.15</v>
      </c>
      <c r="L18" s="730">
        <v>0</v>
      </c>
      <c r="M18" s="699"/>
      <c r="N18" s="699"/>
      <c r="O18" s="699"/>
    </row>
    <row r="19" spans="1:15">
      <c r="A19" s="699">
        <v>96664</v>
      </c>
      <c r="B19" s="700" t="s">
        <v>1617</v>
      </c>
      <c r="C19" s="718">
        <v>1679.5</v>
      </c>
      <c r="D19" s="752">
        <v>40524.239999999998</v>
      </c>
      <c r="E19" s="722">
        <v>41505</v>
      </c>
      <c r="F19" s="701"/>
      <c r="G19" s="701" t="s">
        <v>699</v>
      </c>
      <c r="H19" s="701" t="s">
        <v>707</v>
      </c>
      <c r="I19" s="723">
        <v>22.15</v>
      </c>
      <c r="J19" s="723">
        <v>23.7</v>
      </c>
      <c r="K19" s="733">
        <v>24.15</v>
      </c>
      <c r="L19" s="725">
        <f>SUM(J19*520)+(K19*1560)</f>
        <v>49998</v>
      </c>
      <c r="M19" s="699"/>
      <c r="N19" s="699"/>
      <c r="O19" s="699"/>
    </row>
    <row r="20" spans="1:15">
      <c r="A20" s="699">
        <v>96678</v>
      </c>
      <c r="B20" s="700" t="s">
        <v>1617</v>
      </c>
      <c r="C20" s="718">
        <v>2192</v>
      </c>
      <c r="D20" s="752">
        <v>52843.13</v>
      </c>
      <c r="E20" s="722">
        <v>41911</v>
      </c>
      <c r="F20" s="701"/>
      <c r="G20" s="701" t="s">
        <v>699</v>
      </c>
      <c r="H20" s="701" t="s">
        <v>707</v>
      </c>
      <c r="I20" s="723">
        <v>22.15</v>
      </c>
      <c r="J20" s="723">
        <v>23.7</v>
      </c>
      <c r="K20" s="733">
        <v>24.15</v>
      </c>
      <c r="L20" s="725">
        <f>SUM(J20*520)+(C20-2080)*(J20*1.5)+(K20*1560)</f>
        <v>53979.6</v>
      </c>
      <c r="M20" s="699"/>
      <c r="N20" s="699"/>
      <c r="O20" s="699"/>
    </row>
    <row r="21" spans="1:15">
      <c r="A21" s="699">
        <v>96699</v>
      </c>
      <c r="B21" s="700" t="s">
        <v>1617</v>
      </c>
      <c r="C21" s="718">
        <v>1849</v>
      </c>
      <c r="D21" s="752">
        <v>43826.77</v>
      </c>
      <c r="E21" s="722">
        <v>42825</v>
      </c>
      <c r="F21" s="701"/>
      <c r="G21" s="701" t="s">
        <v>699</v>
      </c>
      <c r="H21" s="701" t="s">
        <v>707</v>
      </c>
      <c r="I21" s="723">
        <v>22.15</v>
      </c>
      <c r="J21" s="723">
        <v>23.2</v>
      </c>
      <c r="K21" s="733">
        <v>24.15</v>
      </c>
      <c r="L21" s="731">
        <f>SUM(K21*C21)</f>
        <v>44653.35</v>
      </c>
      <c r="M21" s="699"/>
      <c r="N21" s="699"/>
      <c r="O21" s="699"/>
    </row>
    <row r="22" spans="1:15">
      <c r="A22" s="699">
        <v>96701</v>
      </c>
      <c r="B22" s="700" t="s">
        <v>1617</v>
      </c>
      <c r="C22" s="718">
        <v>33</v>
      </c>
      <c r="D22" s="752">
        <v>725.28</v>
      </c>
      <c r="E22" s="722">
        <v>42846</v>
      </c>
      <c r="F22" s="726">
        <v>43100</v>
      </c>
      <c r="G22" s="701" t="s">
        <v>699</v>
      </c>
      <c r="H22" s="701" t="s">
        <v>707</v>
      </c>
      <c r="I22" s="723">
        <v>21.65</v>
      </c>
      <c r="J22" s="723">
        <v>0</v>
      </c>
      <c r="K22" s="733">
        <v>0</v>
      </c>
      <c r="L22" s="731">
        <f>SUM(K22*C22)</f>
        <v>0</v>
      </c>
      <c r="M22" s="699"/>
      <c r="N22" s="699"/>
      <c r="O22" s="699"/>
    </row>
    <row r="23" spans="1:15">
      <c r="A23" s="699">
        <v>96702</v>
      </c>
      <c r="B23" s="700" t="s">
        <v>1617</v>
      </c>
      <c r="C23" s="718">
        <v>1755.19</v>
      </c>
      <c r="D23" s="752">
        <f>52194.84*0.8</f>
        <v>41755.872000000003</v>
      </c>
      <c r="E23" s="722">
        <v>42846</v>
      </c>
      <c r="F23" s="701"/>
      <c r="G23" s="701" t="s">
        <v>699</v>
      </c>
      <c r="H23" s="701" t="s">
        <v>707</v>
      </c>
      <c r="I23" s="723">
        <v>22.15</v>
      </c>
      <c r="J23" s="723">
        <v>23.2</v>
      </c>
      <c r="K23" s="733">
        <v>24.15</v>
      </c>
      <c r="L23" s="731">
        <f>SUM(K23*C23)</f>
        <v>42387.838499999998</v>
      </c>
      <c r="M23" s="699"/>
      <c r="N23" s="699"/>
      <c r="O23" s="699"/>
    </row>
    <row r="24" spans="1:15">
      <c r="A24" s="699">
        <v>96705</v>
      </c>
      <c r="B24" s="700" t="s">
        <v>1617</v>
      </c>
      <c r="C24" s="718">
        <v>109</v>
      </c>
      <c r="D24" s="752">
        <v>2570.86</v>
      </c>
      <c r="E24" s="722">
        <v>42863</v>
      </c>
      <c r="F24" s="701"/>
      <c r="G24" s="701" t="s">
        <v>699</v>
      </c>
      <c r="H24" s="701" t="s">
        <v>707</v>
      </c>
      <c r="I24" s="723">
        <v>22.95</v>
      </c>
      <c r="J24" s="723">
        <v>23.7</v>
      </c>
      <c r="K24" s="733">
        <v>24.15</v>
      </c>
      <c r="L24" s="731">
        <f>SUM(K24*C24)</f>
        <v>2632.35</v>
      </c>
      <c r="M24" s="699"/>
      <c r="N24" s="699"/>
      <c r="O24" s="699"/>
    </row>
    <row r="25" spans="1:15">
      <c r="A25" s="699">
        <v>96708</v>
      </c>
      <c r="B25" s="700" t="s">
        <v>1617</v>
      </c>
      <c r="C25" s="718">
        <v>2096</v>
      </c>
      <c r="D25" s="752">
        <v>49558.09</v>
      </c>
      <c r="E25" s="722">
        <v>42936</v>
      </c>
      <c r="F25" s="726"/>
      <c r="G25" s="701" t="s">
        <v>699</v>
      </c>
      <c r="H25" s="701" t="s">
        <v>707</v>
      </c>
      <c r="I25" s="723">
        <v>21.4</v>
      </c>
      <c r="J25" s="723">
        <v>23.2</v>
      </c>
      <c r="K25" s="733">
        <v>24.15</v>
      </c>
      <c r="L25" s="725">
        <f>SUM(J25*520)+(C25-2080)*(J25*1.5)+(K25*1560)</f>
        <v>50294.8</v>
      </c>
      <c r="M25" s="699"/>
      <c r="N25" s="699"/>
      <c r="O25" s="699"/>
    </row>
    <row r="26" spans="1:15">
      <c r="A26" s="699">
        <v>96711</v>
      </c>
      <c r="B26" s="700" t="s">
        <v>1617</v>
      </c>
      <c r="C26" s="718">
        <v>2018.5</v>
      </c>
      <c r="D26" s="752">
        <v>47701.45</v>
      </c>
      <c r="E26" s="722">
        <v>43124</v>
      </c>
      <c r="F26" s="726"/>
      <c r="G26" s="701" t="s">
        <v>699</v>
      </c>
      <c r="H26" s="701" t="s">
        <v>707</v>
      </c>
      <c r="I26" s="730">
        <v>22.95</v>
      </c>
      <c r="J26" s="723">
        <v>22.95</v>
      </c>
      <c r="K26" s="733">
        <v>24.15</v>
      </c>
      <c r="L26" s="731">
        <f>SUM(K26*2080)</f>
        <v>50232</v>
      </c>
      <c r="M26" s="699"/>
      <c r="N26" s="699"/>
      <c r="O26" s="699"/>
    </row>
    <row r="27" spans="1:15">
      <c r="A27" s="699">
        <v>96712</v>
      </c>
      <c r="B27" s="700" t="s">
        <v>1617</v>
      </c>
      <c r="C27" s="732">
        <v>985</v>
      </c>
      <c r="D27" s="752">
        <f>47030.65/2</f>
        <v>23515.325000000001</v>
      </c>
      <c r="E27" s="722">
        <v>43136</v>
      </c>
      <c r="F27" s="701"/>
      <c r="G27" s="701" t="s">
        <v>699</v>
      </c>
      <c r="H27" s="701" t="s">
        <v>707</v>
      </c>
      <c r="I27" s="730">
        <v>0</v>
      </c>
      <c r="J27" s="723">
        <v>22.95</v>
      </c>
      <c r="K27" s="733">
        <v>24.15</v>
      </c>
      <c r="L27" s="731">
        <f>1040*K27</f>
        <v>25116</v>
      </c>
      <c r="M27" s="699"/>
      <c r="N27" s="699"/>
      <c r="O27" s="699"/>
    </row>
    <row r="28" spans="1:15">
      <c r="A28" s="699">
        <v>96714</v>
      </c>
      <c r="B28" s="700" t="s">
        <v>1617</v>
      </c>
      <c r="C28" s="729">
        <v>1497</v>
      </c>
      <c r="D28" s="702">
        <f>36533.62*0.5</f>
        <v>18266.810000000001</v>
      </c>
      <c r="E28" s="727">
        <v>43213</v>
      </c>
      <c r="F28" s="699"/>
      <c r="G28" s="699" t="s">
        <v>699</v>
      </c>
      <c r="H28" s="701" t="s">
        <v>707</v>
      </c>
      <c r="I28" s="730">
        <v>0</v>
      </c>
      <c r="J28" s="730">
        <v>23.7</v>
      </c>
      <c r="K28" s="730">
        <v>24.15</v>
      </c>
      <c r="L28" s="731">
        <f>SUM(K28*2080)</f>
        <v>50232</v>
      </c>
      <c r="M28" s="699"/>
      <c r="N28" s="699"/>
      <c r="O28" s="699"/>
    </row>
    <row r="29" spans="1:15">
      <c r="A29" s="699">
        <v>96720</v>
      </c>
      <c r="B29" s="700" t="s">
        <v>1617</v>
      </c>
      <c r="C29" s="718">
        <v>96</v>
      </c>
      <c r="D29" s="752">
        <v>2834.33</v>
      </c>
      <c r="E29" s="722">
        <v>43440</v>
      </c>
      <c r="F29" s="701"/>
      <c r="G29" s="701" t="s">
        <v>699</v>
      </c>
      <c r="H29" s="701" t="s">
        <v>707</v>
      </c>
      <c r="I29" s="723">
        <v>0</v>
      </c>
      <c r="J29" s="723">
        <v>22.95</v>
      </c>
      <c r="K29" s="733">
        <v>23.65</v>
      </c>
      <c r="L29" s="731">
        <f>SUM(K29*2080)</f>
        <v>49192</v>
      </c>
      <c r="M29" s="699"/>
      <c r="N29" s="699"/>
      <c r="O29" s="699"/>
    </row>
    <row r="30" spans="1:15">
      <c r="A30" s="699">
        <v>96721</v>
      </c>
      <c r="B30" s="700" t="s">
        <v>1617</v>
      </c>
      <c r="C30" s="718">
        <v>58.5</v>
      </c>
      <c r="D30" s="752">
        <v>1365.53</v>
      </c>
      <c r="E30" s="722">
        <v>43430</v>
      </c>
      <c r="F30" s="726"/>
      <c r="G30" s="701" t="s">
        <v>699</v>
      </c>
      <c r="H30" s="701" t="s">
        <v>707</v>
      </c>
      <c r="I30" s="723">
        <v>0</v>
      </c>
      <c r="J30" s="723">
        <v>22.95</v>
      </c>
      <c r="K30" s="723">
        <v>23.65</v>
      </c>
      <c r="L30" s="725">
        <f>SUM(J30*520)+(K30*1560)</f>
        <v>48828</v>
      </c>
      <c r="M30" s="735"/>
      <c r="N30" s="699"/>
      <c r="O30" s="699"/>
    </row>
    <row r="31" spans="1:15">
      <c r="A31" s="699">
        <v>96662</v>
      </c>
      <c r="B31" s="700" t="s">
        <v>1617</v>
      </c>
      <c r="C31" s="718">
        <v>2029</v>
      </c>
      <c r="D31" s="752">
        <v>52188.44</v>
      </c>
      <c r="E31" s="722">
        <v>41368</v>
      </c>
      <c r="F31" s="701"/>
      <c r="G31" s="701" t="s">
        <v>699</v>
      </c>
      <c r="H31" s="701" t="s">
        <v>712</v>
      </c>
      <c r="I31" s="723">
        <v>23.73</v>
      </c>
      <c r="J31" s="723">
        <v>25.28</v>
      </c>
      <c r="K31" s="723">
        <v>25.73</v>
      </c>
      <c r="L31" s="731">
        <f>SUM(K31*2080)</f>
        <v>53518.400000000001</v>
      </c>
      <c r="M31" s="735"/>
      <c r="N31" s="699"/>
      <c r="O31" s="699"/>
    </row>
    <row r="32" spans="1:15">
      <c r="A32" s="699">
        <v>96671</v>
      </c>
      <c r="B32" s="700" t="s">
        <v>1617</v>
      </c>
      <c r="C32" s="718">
        <v>2320.5</v>
      </c>
      <c r="D32" s="752">
        <v>60684.45</v>
      </c>
      <c r="E32" s="722">
        <v>41813</v>
      </c>
      <c r="F32" s="701"/>
      <c r="G32" s="701" t="s">
        <v>699</v>
      </c>
      <c r="H32" s="701" t="s">
        <v>712</v>
      </c>
      <c r="I32" s="723">
        <v>23.48</v>
      </c>
      <c r="J32" s="723">
        <v>25.28</v>
      </c>
      <c r="K32" s="723">
        <v>25.73</v>
      </c>
      <c r="L32" s="725">
        <f>SUM(J32*520)+(C32-2080)*(J32*1.5)+(K32*1560)</f>
        <v>62404.160000000003</v>
      </c>
      <c r="M32" s="735"/>
      <c r="N32" s="699"/>
      <c r="O32" s="699"/>
    </row>
    <row r="33" spans="1:15">
      <c r="A33" s="699">
        <v>96689</v>
      </c>
      <c r="B33" s="700" t="s">
        <v>1617</v>
      </c>
      <c r="C33" s="718">
        <v>731.5</v>
      </c>
      <c r="D33" s="752">
        <f>36990.95*0.5</f>
        <v>18495.474999999999</v>
      </c>
      <c r="E33" s="722">
        <v>42587</v>
      </c>
      <c r="F33" s="726">
        <v>43308</v>
      </c>
      <c r="G33" s="701" t="s">
        <v>699</v>
      </c>
      <c r="H33" s="701" t="s">
        <v>712</v>
      </c>
      <c r="I33" s="723">
        <v>22.98</v>
      </c>
      <c r="J33" s="723">
        <v>25.28</v>
      </c>
      <c r="K33" s="723">
        <v>25.73</v>
      </c>
      <c r="L33" s="731">
        <v>0</v>
      </c>
      <c r="M33" s="735"/>
      <c r="N33" s="699"/>
      <c r="O33" s="699"/>
    </row>
    <row r="34" spans="1:15">
      <c r="A34" s="699">
        <v>96709</v>
      </c>
      <c r="B34" s="700" t="s">
        <v>1617</v>
      </c>
      <c r="C34" s="734">
        <v>1420.2</v>
      </c>
      <c r="D34" s="752">
        <v>39331</v>
      </c>
      <c r="E34" s="722">
        <v>42954</v>
      </c>
      <c r="F34" s="735"/>
      <c r="G34" s="701" t="s">
        <v>699</v>
      </c>
      <c r="H34" s="701" t="s">
        <v>712</v>
      </c>
      <c r="I34" s="723">
        <v>25.23</v>
      </c>
      <c r="J34" s="736">
        <v>25.78</v>
      </c>
      <c r="K34" s="730">
        <v>26.23</v>
      </c>
      <c r="L34" s="725">
        <v>45120.85</v>
      </c>
      <c r="M34" s="699"/>
      <c r="N34" s="699"/>
      <c r="O34" s="699"/>
    </row>
    <row r="35" spans="1:15">
      <c r="A35" s="699">
        <v>96719</v>
      </c>
      <c r="B35" s="700" t="s">
        <v>1617</v>
      </c>
      <c r="C35" s="729">
        <v>482</v>
      </c>
      <c r="D35" s="752">
        <v>11612.71</v>
      </c>
      <c r="E35" s="727">
        <v>43387</v>
      </c>
      <c r="F35" s="699"/>
      <c r="G35" s="701" t="s">
        <v>699</v>
      </c>
      <c r="H35" s="701" t="s">
        <v>712</v>
      </c>
      <c r="I35" s="730">
        <v>0</v>
      </c>
      <c r="J35" s="730">
        <v>0</v>
      </c>
      <c r="K35" s="730">
        <v>25.28</v>
      </c>
      <c r="L35" s="725">
        <f>SUM(J35*520)+(K35*1560)</f>
        <v>39436.800000000003</v>
      </c>
      <c r="M35" s="699"/>
      <c r="N35" s="699"/>
      <c r="O35" s="699"/>
    </row>
    <row r="36" spans="1:15">
      <c r="A36" s="699">
        <v>1634</v>
      </c>
      <c r="B36" s="700" t="s">
        <v>1617</v>
      </c>
      <c r="C36" s="729">
        <v>31.86</v>
      </c>
      <c r="D36" s="752">
        <v>1005.49</v>
      </c>
      <c r="E36" s="727">
        <v>35653</v>
      </c>
      <c r="F36" s="699"/>
      <c r="G36" s="701" t="s">
        <v>699</v>
      </c>
      <c r="H36" s="701"/>
      <c r="I36" s="730"/>
      <c r="J36" s="730"/>
      <c r="K36" s="730"/>
      <c r="L36" s="725">
        <v>0</v>
      </c>
      <c r="M36" s="699"/>
      <c r="N36" s="699"/>
      <c r="O36" s="699"/>
    </row>
    <row r="37" spans="1:15">
      <c r="A37" s="699"/>
      <c r="B37" s="700" t="s">
        <v>1617</v>
      </c>
      <c r="C37" s="729"/>
      <c r="D37" s="752">
        <v>401.63</v>
      </c>
      <c r="E37" s="727"/>
      <c r="F37" s="699"/>
      <c r="G37" s="701"/>
      <c r="H37" s="701"/>
      <c r="I37" s="730"/>
      <c r="J37" s="730"/>
      <c r="K37" s="730"/>
      <c r="L37" s="725">
        <v>0</v>
      </c>
      <c r="M37" s="699"/>
      <c r="N37" s="699"/>
      <c r="O37" s="699"/>
    </row>
    <row r="38" spans="1:15">
      <c r="A38" s="699"/>
      <c r="B38" s="700"/>
      <c r="C38" s="718"/>
      <c r="D38" s="702"/>
      <c r="E38" s="722"/>
      <c r="F38" s="701"/>
      <c r="G38" s="701"/>
      <c r="H38" s="701"/>
      <c r="I38" s="723"/>
      <c r="J38" s="723"/>
      <c r="K38" s="723"/>
      <c r="L38" s="723"/>
      <c r="M38" s="724"/>
      <c r="N38" s="725"/>
      <c r="O38" s="757"/>
    </row>
    <row r="39" spans="1:15">
      <c r="A39" s="699"/>
      <c r="B39" s="699"/>
      <c r="C39" s="729">
        <f>SUM(C4:C38)</f>
        <v>35770.459999999992</v>
      </c>
      <c r="D39" s="752">
        <f>SUM(D4:D37)</f>
        <v>891742.0839999998</v>
      </c>
      <c r="E39" s="729"/>
      <c r="F39" s="699"/>
      <c r="G39" s="699"/>
      <c r="H39" s="699"/>
      <c r="I39" s="699"/>
      <c r="J39" s="699"/>
      <c r="K39" s="699"/>
      <c r="L39" s="730">
        <f>SUM(L4:L37)</f>
        <v>944096.8946</v>
      </c>
      <c r="M39" s="699"/>
      <c r="N39" s="699"/>
      <c r="O39" s="699"/>
    </row>
    <row r="40" spans="1:15">
      <c r="A40" s="691"/>
      <c r="B40" s="691"/>
      <c r="C40" s="758">
        <f>-SUM(C32:C36)</f>
        <v>-4986.0599999999995</v>
      </c>
      <c r="D40" s="759"/>
      <c r="E40" s="759"/>
      <c r="F40" s="759"/>
      <c r="G40" s="759"/>
      <c r="H40" s="759"/>
      <c r="I40" s="759"/>
      <c r="J40" s="759"/>
      <c r="K40" s="759"/>
      <c r="L40" s="759"/>
      <c r="M40" s="691"/>
      <c r="N40" s="695"/>
      <c r="O40" s="695"/>
    </row>
    <row r="41" spans="1:15">
      <c r="A41" s="695"/>
      <c r="B41" s="695"/>
      <c r="C41">
        <f>-SUM(C11:C15)</f>
        <v>-5680.3</v>
      </c>
    </row>
    <row r="42" spans="1:15">
      <c r="A42" s="695"/>
      <c r="B42" s="695"/>
      <c r="C42">
        <f>SUM(C39:C41)</f>
        <v>25104.099999999995</v>
      </c>
    </row>
    <row r="43" spans="1:15">
      <c r="A43" s="695"/>
      <c r="B43" s="695"/>
    </row>
    <row r="44" spans="1:15">
      <c r="A44" s="695"/>
      <c r="B44" s="695"/>
    </row>
    <row r="45" spans="1:15">
      <c r="A45" s="695"/>
      <c r="B45" s="695"/>
    </row>
    <row r="46" spans="1:15">
      <c r="A46" s="695"/>
      <c r="B46" s="695"/>
    </row>
    <row r="47" spans="1:15">
      <c r="A47" s="695"/>
      <c r="B47" s="695"/>
    </row>
    <row r="48" spans="1:15">
      <c r="A48" s="695"/>
      <c r="B48" s="695"/>
    </row>
    <row r="49" spans="1:2">
      <c r="A49" s="695"/>
      <c r="B49" s="695"/>
    </row>
    <row r="50" spans="1:2">
      <c r="A50" s="695"/>
      <c r="B50" s="695"/>
    </row>
    <row r="51" spans="1:2">
      <c r="A51" s="695"/>
      <c r="B51" s="695"/>
    </row>
    <row r="52" spans="1:2">
      <c r="A52" s="695"/>
      <c r="B52" s="695"/>
    </row>
    <row r="53" spans="1:2">
      <c r="A53" s="695"/>
      <c r="B53" s="695"/>
    </row>
    <row r="54" spans="1:2">
      <c r="A54" s="695"/>
      <c r="B54" s="695"/>
    </row>
    <row r="55" spans="1:2">
      <c r="A55" s="695"/>
      <c r="B55" s="695"/>
    </row>
    <row r="56" spans="1:2">
      <c r="A56" s="695"/>
      <c r="B56" s="695"/>
    </row>
    <row r="57" spans="1:2">
      <c r="A57" s="695"/>
      <c r="B57" s="695"/>
    </row>
    <row r="58" spans="1:2">
      <c r="A58" s="695"/>
      <c r="B58" s="695"/>
    </row>
    <row r="59" spans="1:2">
      <c r="A59" s="695"/>
      <c r="B59" s="695"/>
    </row>
    <row r="60" spans="1:2">
      <c r="A60" s="695"/>
      <c r="B60" s="695"/>
    </row>
    <row r="61" spans="1:2">
      <c r="A61" s="695"/>
      <c r="B61" s="695"/>
    </row>
    <row r="62" spans="1:2">
      <c r="A62" s="695"/>
      <c r="B62" s="695"/>
    </row>
    <row r="63" spans="1:2">
      <c r="A63" s="695"/>
      <c r="B63" s="695"/>
    </row>
    <row r="64" spans="1:2">
      <c r="A64" s="695"/>
      <c r="B64" s="695"/>
    </row>
    <row r="65" spans="1:2">
      <c r="A65" s="695"/>
      <c r="B65" s="695"/>
    </row>
    <row r="66" spans="1:2">
      <c r="A66" s="695"/>
      <c r="B66" s="695"/>
    </row>
    <row r="67" spans="1:2">
      <c r="A67" s="695"/>
      <c r="B67" s="695"/>
    </row>
    <row r="68" spans="1:2">
      <c r="A68" s="695"/>
      <c r="B68" s="695"/>
    </row>
    <row r="69" spans="1:2">
      <c r="A69" s="695"/>
      <c r="B69" s="695"/>
    </row>
    <row r="70" spans="1:2">
      <c r="A70" s="695"/>
      <c r="B70" s="695"/>
    </row>
    <row r="71" spans="1:2">
      <c r="A71" s="698"/>
      <c r="B71" s="695"/>
    </row>
    <row r="72" spans="1:2">
      <c r="A72" s="698"/>
      <c r="B72" s="695"/>
    </row>
    <row r="73" spans="1:2">
      <c r="A73" s="698"/>
      <c r="B73" s="695"/>
    </row>
    <row r="74" spans="1:2">
      <c r="A74" s="698"/>
      <c r="B74" s="695"/>
    </row>
    <row r="75" spans="1:2">
      <c r="A75" s="695"/>
      <c r="B75" s="695"/>
    </row>
    <row r="76" spans="1:2">
      <c r="A76" s="695"/>
      <c r="B76" s="695"/>
    </row>
    <row r="77" spans="1:2">
      <c r="A77" s="695"/>
      <c r="B77" s="695"/>
    </row>
    <row r="78" spans="1:2">
      <c r="A78" s="695"/>
      <c r="B78" s="695"/>
    </row>
    <row r="79" spans="1:2">
      <c r="A79" s="695"/>
      <c r="B79" s="695"/>
    </row>
    <row r="80" spans="1:2">
      <c r="A80" s="695"/>
      <c r="B80" s="695"/>
    </row>
    <row r="81" spans="1:2">
      <c r="A81" s="695"/>
      <c r="B81" s="695"/>
    </row>
    <row r="82" spans="1:2">
      <c r="A82" s="695"/>
      <c r="B82" s="695"/>
    </row>
    <row r="83" spans="1:2">
      <c r="A83" s="695"/>
      <c r="B83" s="695"/>
    </row>
    <row r="84" spans="1:2">
      <c r="A84" s="695"/>
      <c r="B84" s="695"/>
    </row>
    <row r="85" spans="1:2">
      <c r="A85" s="695"/>
      <c r="B85" s="695"/>
    </row>
    <row r="86" spans="1:2">
      <c r="A86" s="695"/>
      <c r="B86" s="695"/>
    </row>
    <row r="87" spans="1:2">
      <c r="A87" s="695"/>
      <c r="B87" s="695"/>
    </row>
    <row r="88" spans="1:2">
      <c r="A88" s="695"/>
      <c r="B88" s="695"/>
    </row>
    <row r="89" spans="1:2">
      <c r="A89" s="695"/>
      <c r="B89" s="695"/>
    </row>
    <row r="90" spans="1:2">
      <c r="A90" s="695"/>
      <c r="B90" s="695"/>
    </row>
    <row r="91" spans="1:2">
      <c r="A91" s="695"/>
      <c r="B91" s="695"/>
    </row>
    <row r="92" spans="1:2">
      <c r="A92" s="695"/>
      <c r="B92" s="695"/>
    </row>
    <row r="93" spans="1:2">
      <c r="A93" s="695"/>
      <c r="B93" s="695"/>
    </row>
    <row r="94" spans="1:2">
      <c r="A94" s="695"/>
      <c r="B94" s="695"/>
    </row>
    <row r="95" spans="1:2">
      <c r="A95" s="695"/>
      <c r="B95" s="697"/>
    </row>
    <row r="96" spans="1:2">
      <c r="A96" s="695"/>
      <c r="B96" s="695"/>
    </row>
    <row r="97" spans="1:2">
      <c r="A97" s="690"/>
      <c r="B97" s="690"/>
    </row>
    <row r="98" spans="1:2">
      <c r="A98" s="690"/>
      <c r="B98" s="690"/>
    </row>
    <row r="99" spans="1:2">
      <c r="A99" s="690"/>
      <c r="B99" s="690"/>
    </row>
    <row r="100" spans="1:2">
      <c r="A100" s="690"/>
      <c r="B100" s="690"/>
    </row>
    <row r="101" spans="1:2">
      <c r="A101" s="690"/>
      <c r="B101" s="690"/>
    </row>
    <row r="102" spans="1:2">
      <c r="A102" s="690"/>
      <c r="B102" s="690"/>
    </row>
    <row r="103" spans="1:2">
      <c r="A103" s="690"/>
      <c r="B103" s="690"/>
    </row>
    <row r="104" spans="1:2">
      <c r="A104" s="690"/>
      <c r="B104" s="690"/>
    </row>
  </sheetData>
  <pageMargins left="0.2" right="0.45" top="0.75" bottom="0.5" header="0.3" footer="0.3"/>
  <pageSetup scale="74" fitToHeight="0" orientation="landscape" r:id="rId1"/>
  <headerFooter>
    <oddFooter>&amp;L&amp;"Calibri,Regular"&amp;D&amp;C&amp;"Calibri,Regular"&amp;A&amp;R&amp;"Calibri,Regular"Page &amp;P of &amp;N</oddFooter>
  </headerFooter>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6B131-220D-4F23-98C1-5175D915E57A}">
  <sheetPr>
    <pageSetUpPr fitToPage="1"/>
  </sheetPr>
  <dimension ref="A1:R75"/>
  <sheetViews>
    <sheetView tabSelected="1" workbookViewId="0">
      <selection activeCell="B45" sqref="B45"/>
    </sheetView>
  </sheetViews>
  <sheetFormatPr defaultRowHeight="15"/>
  <cols>
    <col min="1" max="1" width="10.33203125" customWidth="1"/>
    <col min="2" max="2" width="19.88671875" bestFit="1" customWidth="1"/>
    <col min="3" max="3" width="10.5546875" customWidth="1"/>
    <col min="4" max="4" width="12.88671875" customWidth="1"/>
    <col min="5" max="5" width="15.21875" customWidth="1"/>
    <col min="6" max="6" width="10" customWidth="1"/>
    <col min="7" max="7" width="11.21875" customWidth="1"/>
    <col min="8" max="8" width="0" hidden="1" customWidth="1"/>
    <col min="9" max="9" width="12.33203125" bestFit="1" customWidth="1"/>
    <col min="10" max="10" width="11.33203125" customWidth="1"/>
    <col min="12" max="12" width="10.88671875" customWidth="1"/>
    <col min="13" max="13" width="14.33203125" customWidth="1"/>
    <col min="14" max="15" width="11.77734375" customWidth="1"/>
    <col min="16" max="16" width="17" customWidth="1"/>
  </cols>
  <sheetData>
    <row r="1" spans="1:18">
      <c r="A1" s="133"/>
      <c r="B1" s="145" t="s">
        <v>16</v>
      </c>
      <c r="C1" s="140"/>
      <c r="D1" s="146"/>
      <c r="E1" s="146"/>
      <c r="F1" s="146"/>
      <c r="G1" s="146"/>
      <c r="H1" s="146"/>
      <c r="I1" s="136"/>
      <c r="J1" s="147"/>
      <c r="K1" s="147"/>
      <c r="L1" s="136"/>
      <c r="M1" s="136"/>
      <c r="N1" s="136"/>
      <c r="O1" s="136"/>
      <c r="P1" s="138"/>
      <c r="Q1" s="133"/>
      <c r="R1" s="133"/>
    </row>
    <row r="2" spans="1:18">
      <c r="A2" s="133"/>
      <c r="B2" s="145" t="s">
        <v>713</v>
      </c>
      <c r="C2" s="140"/>
      <c r="D2" s="146"/>
      <c r="E2" s="146"/>
      <c r="F2" s="146"/>
      <c r="G2" s="146"/>
      <c r="H2" s="146"/>
      <c r="I2" s="136"/>
      <c r="J2" s="147"/>
      <c r="K2" s="147"/>
      <c r="L2" s="136"/>
      <c r="M2" s="136"/>
      <c r="N2" s="136"/>
      <c r="O2" s="136"/>
      <c r="P2" s="138"/>
      <c r="Q2" s="133"/>
      <c r="R2" s="133"/>
    </row>
    <row r="3" spans="1:18">
      <c r="A3" s="133"/>
      <c r="B3" s="145" t="s">
        <v>1438</v>
      </c>
      <c r="C3" s="140"/>
      <c r="D3" s="146"/>
      <c r="E3" s="146"/>
      <c r="F3" s="146"/>
      <c r="G3" s="146"/>
      <c r="H3" s="146"/>
      <c r="I3" s="170"/>
      <c r="J3" s="147"/>
      <c r="K3" s="147"/>
      <c r="L3" s="148"/>
      <c r="M3" s="171"/>
      <c r="N3" s="148"/>
      <c r="O3" s="148"/>
      <c r="P3" s="138"/>
      <c r="Q3" s="133"/>
      <c r="R3" s="133"/>
    </row>
    <row r="4" spans="1:18">
      <c r="A4" s="133"/>
      <c r="B4" s="162"/>
      <c r="C4" s="149"/>
      <c r="D4" s="136"/>
      <c r="E4" s="136"/>
      <c r="F4" s="147"/>
      <c r="G4" s="147"/>
      <c r="H4" s="147"/>
      <c r="I4" s="170"/>
      <c r="J4" s="147"/>
      <c r="K4" s="147"/>
      <c r="L4" s="148"/>
      <c r="M4" s="171"/>
      <c r="N4" s="148"/>
      <c r="O4" s="148"/>
      <c r="P4" s="138"/>
      <c r="Q4" s="133"/>
      <c r="R4" s="133"/>
    </row>
    <row r="5" spans="1:18">
      <c r="A5" s="133"/>
      <c r="B5" s="162"/>
      <c r="C5" s="149"/>
      <c r="D5" s="136"/>
      <c r="E5" s="136"/>
      <c r="F5" s="147"/>
      <c r="G5" s="147"/>
      <c r="H5" s="147"/>
      <c r="I5" s="170"/>
      <c r="J5" s="147"/>
      <c r="K5" s="147"/>
      <c r="L5" s="148"/>
      <c r="M5" s="171"/>
      <c r="N5" s="148"/>
      <c r="O5" s="148"/>
      <c r="P5" s="138"/>
      <c r="Q5" s="133"/>
      <c r="R5" s="133"/>
    </row>
    <row r="6" spans="1:18">
      <c r="A6" s="133"/>
      <c r="B6" s="162"/>
      <c r="C6" s="149"/>
      <c r="D6" s="136"/>
      <c r="E6" s="136"/>
      <c r="F6" s="147"/>
      <c r="G6" s="147"/>
      <c r="H6" s="147"/>
      <c r="I6" s="170"/>
      <c r="J6" s="147"/>
      <c r="K6" s="147"/>
      <c r="L6" s="148"/>
      <c r="M6" s="171"/>
      <c r="N6" s="148"/>
      <c r="O6" s="148"/>
      <c r="P6" s="138"/>
      <c r="Q6" s="133"/>
      <c r="R6" s="133"/>
    </row>
    <row r="7" spans="1:18">
      <c r="A7" s="133"/>
      <c r="B7" s="136"/>
      <c r="C7" s="149"/>
      <c r="D7" s="136"/>
      <c r="E7" s="136"/>
      <c r="F7" s="147"/>
      <c r="G7" s="147"/>
      <c r="H7" s="147"/>
      <c r="I7" s="136"/>
      <c r="J7" s="136"/>
      <c r="K7" s="147" t="s">
        <v>1421</v>
      </c>
      <c r="L7" s="148"/>
      <c r="M7" s="704"/>
      <c r="N7" s="148"/>
      <c r="O7" s="148"/>
      <c r="P7" s="138"/>
      <c r="Q7" s="133"/>
      <c r="R7" s="133"/>
    </row>
    <row r="8" spans="1:18">
      <c r="A8" s="133"/>
      <c r="B8" s="136"/>
      <c r="C8" s="149" t="s">
        <v>1422</v>
      </c>
      <c r="D8" s="150" t="s">
        <v>1422</v>
      </c>
      <c r="E8" s="133"/>
      <c r="F8" s="705"/>
      <c r="G8" s="705"/>
      <c r="H8" s="705"/>
      <c r="I8" s="172" t="s">
        <v>526</v>
      </c>
      <c r="J8" s="147" t="s">
        <v>1421</v>
      </c>
      <c r="K8" s="147" t="s">
        <v>1423</v>
      </c>
      <c r="L8" s="147"/>
      <c r="M8" s="136" t="s">
        <v>526</v>
      </c>
      <c r="N8" s="151" t="s">
        <v>1424</v>
      </c>
      <c r="O8" s="151"/>
      <c r="P8" s="138"/>
      <c r="Q8" s="133"/>
      <c r="R8" s="133"/>
    </row>
    <row r="9" spans="1:18">
      <c r="A9" s="133"/>
      <c r="B9" s="136" t="s">
        <v>1425</v>
      </c>
      <c r="C9" s="149"/>
      <c r="D9" s="136"/>
      <c r="E9" s="136"/>
      <c r="F9" s="173"/>
      <c r="G9" s="173"/>
      <c r="H9" s="173"/>
      <c r="I9" s="172"/>
      <c r="J9" s="147"/>
      <c r="K9" s="147"/>
      <c r="L9" s="147"/>
      <c r="M9" s="136"/>
      <c r="N9" s="151"/>
      <c r="O9" s="151"/>
      <c r="P9" s="138"/>
      <c r="Q9" s="133"/>
      <c r="R9" s="133"/>
    </row>
    <row r="10" spans="1:18">
      <c r="A10" s="133"/>
      <c r="B10" s="147" t="s">
        <v>1426</v>
      </c>
      <c r="C10" s="174">
        <v>28.65</v>
      </c>
      <c r="D10" s="171"/>
      <c r="E10" s="148"/>
      <c r="F10" s="136"/>
      <c r="G10" s="173"/>
      <c r="H10" s="173"/>
      <c r="I10" s="172"/>
      <c r="J10" s="147"/>
      <c r="K10" s="147"/>
      <c r="L10" s="147"/>
      <c r="M10" s="136"/>
      <c r="N10" s="151"/>
      <c r="O10" s="151"/>
      <c r="P10" s="138"/>
      <c r="Q10" s="133"/>
      <c r="R10" s="133"/>
    </row>
    <row r="11" spans="1:18">
      <c r="A11" s="133"/>
      <c r="B11" s="147"/>
      <c r="C11" s="174"/>
      <c r="D11" s="171"/>
      <c r="E11" s="148"/>
      <c r="F11" s="136"/>
      <c r="G11" s="173"/>
      <c r="H11" s="173"/>
      <c r="I11" s="172"/>
      <c r="J11" s="147"/>
      <c r="K11" s="147"/>
      <c r="L11" s="147"/>
      <c r="M11" s="136"/>
      <c r="N11" s="151"/>
      <c r="O11" s="151"/>
      <c r="P11" s="138"/>
      <c r="Q11" s="133"/>
      <c r="R11" s="133"/>
    </row>
    <row r="12" spans="1:18">
      <c r="A12" s="133"/>
      <c r="B12" s="147" t="s">
        <v>1427</v>
      </c>
      <c r="C12" s="174">
        <v>29.15</v>
      </c>
      <c r="D12" s="171">
        <f>C12-C10</f>
        <v>0.5</v>
      </c>
      <c r="E12" s="175">
        <f>D12/C10</f>
        <v>1.7452006980802792E-2</v>
      </c>
      <c r="F12" s="175"/>
      <c r="G12" s="173"/>
      <c r="H12" s="173"/>
      <c r="I12" s="172"/>
      <c r="J12" s="147"/>
      <c r="K12" s="147"/>
      <c r="L12" s="147"/>
      <c r="M12" s="136"/>
      <c r="N12" s="151"/>
      <c r="O12" s="151"/>
      <c r="P12" s="138"/>
      <c r="Q12" s="133"/>
      <c r="R12" s="133"/>
    </row>
    <row r="13" spans="1:18">
      <c r="A13" s="133"/>
      <c r="B13" s="147"/>
      <c r="C13" s="174"/>
      <c r="D13" s="176"/>
      <c r="E13" s="147"/>
      <c r="F13" s="175"/>
      <c r="G13" s="173"/>
      <c r="H13" s="173"/>
      <c r="I13" s="172"/>
      <c r="J13" s="147"/>
      <c r="K13" s="147"/>
      <c r="L13" s="147"/>
      <c r="M13" s="136"/>
      <c r="N13" s="151"/>
      <c r="O13" s="151"/>
      <c r="P13" s="138"/>
      <c r="Q13" s="133"/>
      <c r="R13" s="133"/>
    </row>
    <row r="14" spans="1:18">
      <c r="A14" s="133"/>
      <c r="B14" s="136"/>
      <c r="C14" s="177"/>
      <c r="D14" s="162"/>
      <c r="E14" s="162"/>
      <c r="F14" s="152"/>
      <c r="G14" s="152"/>
      <c r="H14" s="147"/>
      <c r="I14" s="136"/>
      <c r="J14" s="147"/>
      <c r="K14" s="147"/>
      <c r="L14" s="147"/>
      <c r="M14" s="147"/>
      <c r="N14" s="136"/>
      <c r="O14" s="136"/>
      <c r="P14" s="138"/>
      <c r="Q14" s="133"/>
      <c r="R14" s="133"/>
    </row>
    <row r="15" spans="1:18">
      <c r="A15" s="133"/>
      <c r="B15" s="136"/>
      <c r="C15" s="149"/>
      <c r="D15" s="136"/>
      <c r="E15" s="136"/>
      <c r="F15" s="136"/>
      <c r="G15" s="136"/>
      <c r="H15" s="136"/>
      <c r="I15" s="136"/>
      <c r="J15" s="136"/>
      <c r="K15" s="136"/>
      <c r="L15" s="150"/>
      <c r="M15" s="178"/>
      <c r="N15" s="179"/>
      <c r="O15" s="136"/>
      <c r="P15" s="136"/>
      <c r="Q15" s="138"/>
      <c r="R15" s="133"/>
    </row>
    <row r="16" spans="1:18">
      <c r="A16" s="133"/>
      <c r="B16" s="136" t="s">
        <v>714</v>
      </c>
      <c r="C16" s="149"/>
      <c r="D16" s="180" t="s">
        <v>513</v>
      </c>
      <c r="E16" s="180" t="s">
        <v>538</v>
      </c>
      <c r="F16" s="706" t="s">
        <v>485</v>
      </c>
      <c r="G16" s="180" t="s">
        <v>715</v>
      </c>
      <c r="H16" s="180" t="s">
        <v>716</v>
      </c>
      <c r="I16" s="180" t="s">
        <v>701</v>
      </c>
      <c r="J16" s="183" t="s">
        <v>719</v>
      </c>
      <c r="K16" s="517" t="s">
        <v>512</v>
      </c>
      <c r="L16" s="133"/>
      <c r="M16" s="760" t="s">
        <v>717</v>
      </c>
      <c r="N16" s="182" t="s">
        <v>718</v>
      </c>
      <c r="O16" s="183" t="s">
        <v>747</v>
      </c>
      <c r="P16" s="706" t="s">
        <v>1428</v>
      </c>
      <c r="Q16" s="133"/>
      <c r="R16" s="133"/>
    </row>
    <row r="17" spans="1:18">
      <c r="A17" s="157"/>
      <c r="B17" s="162" t="s">
        <v>720</v>
      </c>
      <c r="C17" s="184">
        <f>SUM('[2]Garbage Payroll'!D38+'[2]Recycling Payroll'!D39)</f>
        <v>2614700.2800000003</v>
      </c>
      <c r="D17" s="707">
        <f>SUM('[2]Recycling Payroll'!D31:D35)-26950.18</f>
        <v>155361.89499999999</v>
      </c>
      <c r="E17" s="707">
        <f>SUM('[2]Garbage Payroll'!D4:D21)+7980.38</f>
        <v>996870.50549999985</v>
      </c>
      <c r="F17" s="707">
        <f>SUM('[2]Recycling Payroll'!D4:D10)*0.7-45051.78</f>
        <v>84716.840799999991</v>
      </c>
      <c r="G17" s="707">
        <f>SUM('[2]Recycling Payroll'!D16:D30)-8503.38</f>
        <v>353860.68700000003</v>
      </c>
      <c r="H17" s="707"/>
      <c r="I17" s="707">
        <f>SUM('[2]Garbage Payroll'!D23:D30)+1005.49-3970.12</f>
        <v>449736.72850000003</v>
      </c>
      <c r="J17" s="185">
        <f>SUM('[2]Garbage Payroll'!D31:D36)+5875.73</f>
        <v>280687.27199999994</v>
      </c>
      <c r="K17" s="708">
        <f>SUM(D17:J17)</f>
        <v>2321233.9287999999</v>
      </c>
      <c r="L17" s="157"/>
      <c r="M17" s="709">
        <f>SUM('[2]Recycling Payroll'!D17:D23)*0.3+48065.2</f>
        <v>110100.69759999998</v>
      </c>
      <c r="N17" s="709">
        <f>SUM('[2]Recycling Payroll'!D11:D15)+23090.3</f>
        <v>183365.378</v>
      </c>
      <c r="O17" s="185">
        <f>SUM(M17:N17)</f>
        <v>293466.07559999998</v>
      </c>
      <c r="P17" s="710">
        <f>K17+O17</f>
        <v>2614700.0044</v>
      </c>
      <c r="Q17" s="157"/>
      <c r="R17" s="157"/>
    </row>
    <row r="18" spans="1:18">
      <c r="A18" s="133"/>
      <c r="B18" s="136" t="s">
        <v>721</v>
      </c>
      <c r="C18" s="153">
        <f>D48</f>
        <v>98111.52</v>
      </c>
      <c r="D18" s="186">
        <f>D17/$C$17</f>
        <v>5.9418624837566457E-2</v>
      </c>
      <c r="E18" s="186">
        <f>E17/$C$17</f>
        <v>0.38125612833146588</v>
      </c>
      <c r="F18" s="761">
        <f>F17/$C$17</f>
        <v>3.2400211010035915E-2</v>
      </c>
      <c r="G18" s="186">
        <f>G17/$C$17</f>
        <v>0.1353350859013179</v>
      </c>
      <c r="H18" s="186">
        <f t="shared" ref="H18" si="0">H17/$C$21</f>
        <v>0</v>
      </c>
      <c r="I18" s="186">
        <f>I17/$C$17</f>
        <v>0.1720031668409811</v>
      </c>
      <c r="J18" s="186">
        <f>J17/$C$17</f>
        <v>0.10734969286804831</v>
      </c>
      <c r="K18" s="186">
        <f>K17/$C$17</f>
        <v>0.88776290978941552</v>
      </c>
      <c r="L18" s="133"/>
      <c r="M18" s="761">
        <f>M17/$C$17</f>
        <v>4.2108343523028946E-2</v>
      </c>
      <c r="N18" s="186">
        <f>N17/$C$17</f>
        <v>7.0128641283504961E-2</v>
      </c>
      <c r="O18" s="186">
        <f>O17/$C$17</f>
        <v>0.11223698480653391</v>
      </c>
      <c r="P18" s="186"/>
      <c r="Q18" s="133"/>
      <c r="R18" s="133"/>
    </row>
    <row r="19" spans="1:18">
      <c r="A19" s="133"/>
      <c r="B19" s="136" t="s">
        <v>722</v>
      </c>
      <c r="C19" s="153">
        <f>D44</f>
        <v>139950.79999999999</v>
      </c>
      <c r="D19" s="711">
        <f>D17-155361.82</f>
        <v>7.4999999982537702E-2</v>
      </c>
      <c r="E19" s="711">
        <f>E17-996870.51</f>
        <v>-4.50000015553087E-3</v>
      </c>
      <c r="F19" s="762">
        <f>F17-84717.22</f>
        <v>-0.3792000000103144</v>
      </c>
      <c r="G19" s="711">
        <f>G17-353860.62</f>
        <v>6.7000000039115548E-2</v>
      </c>
      <c r="H19" s="136"/>
      <c r="I19" s="711">
        <f>I17-449736.73</f>
        <v>-1.4999999548308551E-3</v>
      </c>
      <c r="J19" s="712">
        <f>J17-280687.27</f>
        <v>1.9999999203719199E-3</v>
      </c>
      <c r="K19" s="133"/>
      <c r="L19" s="136"/>
      <c r="M19" s="763">
        <f>M17-110100.7</f>
        <v>-2.4000000121304765E-3</v>
      </c>
      <c r="N19" s="713">
        <f>N17-183365.38</f>
        <v>-2.0000000076834112E-3</v>
      </c>
      <c r="O19" s="138"/>
      <c r="P19" s="136"/>
      <c r="Q19" s="133"/>
      <c r="R19" s="133"/>
    </row>
    <row r="20" spans="1:18">
      <c r="A20" s="133"/>
      <c r="B20" s="136" t="s">
        <v>723</v>
      </c>
      <c r="C20" s="154">
        <f>SUM(D46:D47,D49:D54)</f>
        <v>353917.98000000004</v>
      </c>
      <c r="D20" s="136"/>
      <c r="E20" s="136"/>
      <c r="F20" s="136"/>
      <c r="G20" s="136"/>
      <c r="H20" s="136"/>
      <c r="I20" s="136"/>
      <c r="J20" s="136"/>
      <c r="K20" s="133"/>
      <c r="L20" s="136"/>
      <c r="M20" s="136"/>
      <c r="N20" s="136"/>
      <c r="O20" s="138"/>
      <c r="P20" s="136"/>
      <c r="Q20" s="133"/>
      <c r="R20" s="133"/>
    </row>
    <row r="21" spans="1:18">
      <c r="A21" s="133"/>
      <c r="B21" s="136"/>
      <c r="C21" s="153">
        <f>SUM(C17:C20)</f>
        <v>3206680.58</v>
      </c>
      <c r="D21" s="136"/>
      <c r="E21" s="136"/>
      <c r="F21" s="136"/>
      <c r="G21" s="136"/>
      <c r="H21" s="136"/>
      <c r="I21" s="136"/>
      <c r="J21" s="136"/>
      <c r="K21" s="133"/>
      <c r="L21" s="136"/>
      <c r="M21" s="136"/>
      <c r="N21" s="136"/>
      <c r="O21" s="138"/>
      <c r="P21" s="138"/>
      <c r="Q21" s="136"/>
      <c r="R21" s="133"/>
    </row>
    <row r="22" spans="1:18">
      <c r="A22" s="133"/>
      <c r="B22" s="136"/>
      <c r="C22" s="149"/>
      <c r="D22" s="187"/>
      <c r="E22" s="187"/>
      <c r="F22" s="187"/>
      <c r="G22" s="187"/>
      <c r="H22" s="187"/>
      <c r="I22" s="187"/>
      <c r="J22" s="187"/>
      <c r="K22" s="133"/>
      <c r="L22" s="187"/>
      <c r="M22" s="187"/>
      <c r="N22" s="136"/>
      <c r="O22" s="136"/>
      <c r="P22" s="136"/>
      <c r="Q22" s="138"/>
      <c r="R22" s="187"/>
    </row>
    <row r="23" spans="1:18">
      <c r="A23" s="133"/>
      <c r="B23" s="136" t="s">
        <v>724</v>
      </c>
      <c r="C23" s="149"/>
      <c r="D23" s="136"/>
      <c r="E23" s="136"/>
      <c r="F23" s="136"/>
      <c r="G23" s="136"/>
      <c r="H23" s="136"/>
      <c r="I23" s="136"/>
      <c r="J23" s="133"/>
      <c r="K23" s="136"/>
      <c r="L23" s="136"/>
      <c r="M23" s="136"/>
      <c r="N23" s="136"/>
      <c r="O23" s="136"/>
      <c r="P23" s="138"/>
      <c r="Q23" s="136"/>
      <c r="R23" s="133"/>
    </row>
    <row r="24" spans="1:18">
      <c r="A24" s="133"/>
      <c r="B24" s="136" t="s">
        <v>725</v>
      </c>
      <c r="C24" s="149"/>
      <c r="D24" s="136"/>
      <c r="E24" s="136"/>
      <c r="F24" s="136"/>
      <c r="G24" s="136"/>
      <c r="H24" s="136"/>
      <c r="I24" s="136"/>
      <c r="J24" s="133"/>
      <c r="K24" s="141"/>
      <c r="L24" s="136"/>
      <c r="M24" s="136"/>
      <c r="N24" s="136"/>
      <c r="O24" s="136"/>
      <c r="P24" s="138"/>
      <c r="Q24" s="136"/>
      <c r="R24" s="133"/>
    </row>
    <row r="25" spans="1:18">
      <c r="A25" s="133"/>
      <c r="B25" s="136"/>
      <c r="C25" s="149" t="s">
        <v>726</v>
      </c>
      <c r="D25" s="136" t="s">
        <v>727</v>
      </c>
      <c r="E25" s="136" t="s">
        <v>728</v>
      </c>
      <c r="F25" s="136" t="s">
        <v>748</v>
      </c>
      <c r="G25" s="138"/>
      <c r="H25" s="138"/>
      <c r="I25" s="138"/>
      <c r="J25" s="133"/>
      <c r="K25" s="138"/>
      <c r="L25" s="138"/>
      <c r="M25" s="138"/>
      <c r="N25" s="138"/>
      <c r="O25" s="138"/>
      <c r="P25" s="138"/>
      <c r="Q25" s="138"/>
      <c r="R25" s="133"/>
    </row>
    <row r="26" spans="1:18">
      <c r="A26" s="133"/>
      <c r="B26" s="136" t="s">
        <v>1429</v>
      </c>
      <c r="C26" s="153">
        <v>766886.76</v>
      </c>
      <c r="D26" s="139">
        <v>95093.96</v>
      </c>
      <c r="E26" s="139">
        <v>22239.72</v>
      </c>
      <c r="F26" s="141">
        <v>101443.97</v>
      </c>
      <c r="G26" s="138"/>
      <c r="H26" s="138"/>
      <c r="I26" s="764">
        <f>+E18+I18+J18</f>
        <v>0.66060898804049528</v>
      </c>
      <c r="J26" s="133"/>
      <c r="K26" s="138"/>
      <c r="L26" s="138"/>
      <c r="M26" s="138"/>
      <c r="N26" s="138"/>
      <c r="O26" s="138"/>
      <c r="P26" s="138"/>
      <c r="Q26" s="138"/>
      <c r="R26" s="133"/>
    </row>
    <row r="27" spans="1:18">
      <c r="A27" s="133"/>
      <c r="B27" s="136" t="s">
        <v>1430</v>
      </c>
      <c r="C27" s="188">
        <v>792909.55</v>
      </c>
      <c r="D27" s="187">
        <v>98320.78</v>
      </c>
      <c r="E27" s="187">
        <v>22994.38</v>
      </c>
      <c r="F27" s="141">
        <v>101602.16</v>
      </c>
      <c r="G27" s="138"/>
      <c r="H27" s="138"/>
      <c r="I27" s="138"/>
      <c r="J27" s="133"/>
      <c r="K27" s="138"/>
      <c r="L27" s="138"/>
      <c r="M27" s="138"/>
      <c r="N27" s="138"/>
      <c r="O27" s="138"/>
      <c r="P27" s="138"/>
      <c r="Q27" s="138"/>
      <c r="R27" s="133"/>
    </row>
    <row r="28" spans="1:18">
      <c r="A28" s="133"/>
      <c r="B28" s="136" t="s">
        <v>1431</v>
      </c>
      <c r="C28" s="189">
        <v>836631.3</v>
      </c>
      <c r="D28" s="190">
        <v>103742.28</v>
      </c>
      <c r="E28" s="190">
        <v>24262.3</v>
      </c>
      <c r="F28" s="141">
        <v>116124.78</v>
      </c>
      <c r="G28" s="138"/>
      <c r="H28" s="138"/>
      <c r="I28" s="138"/>
      <c r="J28" s="133"/>
      <c r="K28" s="138"/>
      <c r="L28" s="138"/>
      <c r="M28" s="138"/>
      <c r="N28" s="138"/>
      <c r="O28" s="138"/>
      <c r="P28" s="138"/>
      <c r="Q28" s="138"/>
      <c r="R28" s="133"/>
    </row>
    <row r="29" spans="1:18">
      <c r="A29" s="133"/>
      <c r="B29" s="136" t="s">
        <v>1432</v>
      </c>
      <c r="C29" s="191">
        <v>804874.74</v>
      </c>
      <c r="D29" s="192">
        <v>98372.160000000003</v>
      </c>
      <c r="E29" s="192">
        <v>23341.360000000001</v>
      </c>
      <c r="F29" s="181">
        <v>103891.92</v>
      </c>
      <c r="G29" s="138"/>
      <c r="H29" s="138"/>
      <c r="I29" s="138"/>
      <c r="J29" s="133"/>
      <c r="K29" s="138"/>
      <c r="L29" s="138"/>
      <c r="M29" s="138"/>
      <c r="N29" s="138"/>
      <c r="O29" s="138"/>
      <c r="P29" s="138"/>
      <c r="Q29" s="138"/>
      <c r="R29" s="133"/>
    </row>
    <row r="30" spans="1:18">
      <c r="A30" s="133"/>
      <c r="B30" s="136"/>
      <c r="C30" s="765">
        <f>SUM(C26:C29)</f>
        <v>3201302.3500000006</v>
      </c>
      <c r="D30" s="153">
        <f t="shared" ref="D30:F30" si="1">SUM(D26:D29)</f>
        <v>395529.18000000005</v>
      </c>
      <c r="E30" s="153">
        <f t="shared" si="1"/>
        <v>92837.760000000009</v>
      </c>
      <c r="F30" s="153">
        <f t="shared" si="1"/>
        <v>423062.83</v>
      </c>
      <c r="G30" s="138"/>
      <c r="H30" s="138"/>
      <c r="I30" s="138"/>
      <c r="J30" s="133"/>
      <c r="K30" s="138"/>
      <c r="L30" s="138"/>
      <c r="M30" s="138"/>
      <c r="N30" s="138"/>
      <c r="O30" s="138"/>
      <c r="P30" s="138"/>
      <c r="Q30" s="138"/>
      <c r="R30" s="133"/>
    </row>
    <row r="31" spans="1:18">
      <c r="A31" s="133"/>
      <c r="B31" s="136" t="s">
        <v>729</v>
      </c>
      <c r="C31" s="149"/>
      <c r="D31" s="193">
        <v>6.2E-2</v>
      </c>
      <c r="E31" s="193">
        <v>1.4500000000000001E-2</v>
      </c>
      <c r="F31" s="193"/>
      <c r="G31" s="138"/>
      <c r="H31" s="138"/>
      <c r="I31" s="138"/>
      <c r="J31" s="133"/>
      <c r="K31" s="138"/>
      <c r="L31" s="138"/>
      <c r="M31" s="138"/>
      <c r="N31" s="138"/>
      <c r="O31" s="138"/>
      <c r="P31" s="138"/>
      <c r="Q31" s="138"/>
      <c r="R31" s="133"/>
    </row>
    <row r="32" spans="1:18">
      <c r="A32" s="133"/>
      <c r="B32" s="136"/>
      <c r="C32" s="149"/>
      <c r="D32" s="155">
        <f>D30*D31</f>
        <v>24522.809160000004</v>
      </c>
      <c r="E32" s="155">
        <f>E30*E31</f>
        <v>1346.1475200000002</v>
      </c>
      <c r="F32" s="155">
        <f>F30*F31</f>
        <v>0</v>
      </c>
      <c r="G32" s="138"/>
      <c r="H32" s="138"/>
      <c r="I32" s="138"/>
      <c r="J32" s="133"/>
      <c r="K32" s="138"/>
      <c r="L32" s="138"/>
      <c r="M32" s="138"/>
      <c r="N32" s="138"/>
      <c r="O32" s="138"/>
      <c r="P32" s="138"/>
      <c r="Q32" s="138"/>
      <c r="R32" s="133"/>
    </row>
    <row r="33" spans="1:18">
      <c r="A33" s="133"/>
      <c r="B33" s="136"/>
      <c r="C33" s="149"/>
      <c r="D33" s="139">
        <f>D32+E32</f>
        <v>25868.956680000003</v>
      </c>
      <c r="E33" s="139"/>
      <c r="F33" s="136"/>
      <c r="G33" s="138"/>
      <c r="H33" s="138"/>
      <c r="I33" s="138"/>
      <c r="J33" s="133"/>
      <c r="K33" s="138"/>
      <c r="L33" s="138"/>
      <c r="M33" s="138"/>
      <c r="N33" s="138"/>
      <c r="O33" s="138"/>
      <c r="P33" s="138"/>
      <c r="Q33" s="138"/>
      <c r="R33" s="133"/>
    </row>
    <row r="34" spans="1:18">
      <c r="A34" s="133"/>
      <c r="B34" s="138"/>
      <c r="C34" s="144"/>
      <c r="D34" s="138"/>
      <c r="E34" s="138"/>
      <c r="F34" s="138"/>
      <c r="G34" s="138"/>
      <c r="H34" s="138"/>
      <c r="I34" s="138"/>
      <c r="J34" s="133"/>
      <c r="K34" s="138"/>
      <c r="L34" s="138"/>
      <c r="M34" s="138"/>
      <c r="N34" s="138"/>
      <c r="O34" s="138"/>
      <c r="P34" s="138"/>
      <c r="Q34" s="138"/>
      <c r="R34" s="133"/>
    </row>
    <row r="35" spans="1:18">
      <c r="A35" s="133"/>
      <c r="B35" s="138"/>
      <c r="C35" s="144"/>
      <c r="D35" s="138"/>
      <c r="E35" s="138"/>
      <c r="F35" s="138"/>
      <c r="G35" s="138"/>
      <c r="H35" s="138"/>
      <c r="I35" s="138"/>
      <c r="J35" s="133"/>
      <c r="K35" s="138"/>
      <c r="L35" s="138"/>
      <c r="M35" s="138"/>
      <c r="N35" s="138"/>
      <c r="O35" s="138"/>
      <c r="P35" s="138"/>
      <c r="Q35" s="138"/>
      <c r="R35" s="133"/>
    </row>
    <row r="36" spans="1:18">
      <c r="A36" s="133"/>
      <c r="B36" s="138"/>
      <c r="C36" s="144"/>
      <c r="D36" s="138"/>
      <c r="E36" s="138"/>
      <c r="F36" s="138"/>
      <c r="G36" s="138"/>
      <c r="H36" s="138"/>
      <c r="I36" s="138"/>
      <c r="J36" s="133"/>
      <c r="K36" s="138"/>
      <c r="L36" s="138"/>
      <c r="M36" s="138"/>
      <c r="N36" s="138"/>
      <c r="O36" s="138"/>
      <c r="P36" s="138"/>
      <c r="Q36" s="138"/>
      <c r="R36" s="133"/>
    </row>
    <row r="37" spans="1:18">
      <c r="A37" s="133"/>
      <c r="B37" s="143" t="s">
        <v>482</v>
      </c>
      <c r="C37" s="142"/>
      <c r="D37" s="143"/>
      <c r="E37" s="143"/>
      <c r="F37" s="143"/>
      <c r="G37" s="143"/>
      <c r="H37" s="143"/>
      <c r="I37" s="143"/>
      <c r="J37" s="133"/>
      <c r="K37" s="138"/>
      <c r="L37" s="138"/>
      <c r="M37" s="138"/>
      <c r="N37" s="138"/>
      <c r="O37" s="138"/>
      <c r="P37" s="136"/>
      <c r="Q37" s="143"/>
      <c r="R37" s="133"/>
    </row>
    <row r="38" spans="1:18">
      <c r="A38" s="133"/>
      <c r="B38" s="143" t="s">
        <v>730</v>
      </c>
      <c r="C38" s="142"/>
      <c r="D38" s="143"/>
      <c r="E38" s="143"/>
      <c r="F38" s="143"/>
      <c r="G38" s="143"/>
      <c r="H38" s="143"/>
      <c r="I38" s="143"/>
      <c r="J38" s="133"/>
      <c r="K38" s="138"/>
      <c r="L38" s="138"/>
      <c r="M38" s="138"/>
      <c r="N38" s="138"/>
      <c r="O38" s="138"/>
      <c r="P38" s="136"/>
      <c r="Q38" s="143"/>
      <c r="R38" s="133"/>
    </row>
    <row r="39" spans="1:18">
      <c r="A39" s="133"/>
      <c r="B39" s="156"/>
      <c r="C39" s="142"/>
      <c r="D39" s="133"/>
      <c r="E39" s="133"/>
      <c r="F39" s="143"/>
      <c r="G39" s="143"/>
      <c r="H39" s="143"/>
      <c r="I39" s="143" t="s">
        <v>731</v>
      </c>
      <c r="J39" s="143"/>
      <c r="K39" s="143"/>
      <c r="L39" s="143"/>
      <c r="M39" s="138"/>
      <c r="N39" s="138"/>
      <c r="O39" s="138"/>
      <c r="P39" s="138"/>
      <c r="Q39" s="138"/>
      <c r="R39" s="148"/>
    </row>
    <row r="40" spans="1:18" ht="38.25">
      <c r="A40" s="133"/>
      <c r="B40" s="136"/>
      <c r="C40" s="149"/>
      <c r="D40" s="133"/>
      <c r="E40" s="133"/>
      <c r="F40" s="136"/>
      <c r="G40" s="136"/>
      <c r="H40" s="134" t="s">
        <v>732</v>
      </c>
      <c r="I40" s="147" t="s">
        <v>733</v>
      </c>
      <c r="J40" s="147"/>
      <c r="K40" s="149" t="s">
        <v>749</v>
      </c>
      <c r="L40" s="149" t="s">
        <v>734</v>
      </c>
      <c r="M40" s="161" t="s">
        <v>1433</v>
      </c>
      <c r="N40" s="148"/>
      <c r="O40" s="148"/>
      <c r="P40" s="704"/>
      <c r="Q40" s="148"/>
      <c r="R40" s="136"/>
    </row>
    <row r="41" spans="1:18">
      <c r="A41" s="133"/>
      <c r="B41" s="134"/>
      <c r="C41" s="135"/>
      <c r="D41" s="133"/>
      <c r="E41" s="133"/>
      <c r="F41" s="134"/>
      <c r="G41" s="134" t="s">
        <v>703</v>
      </c>
      <c r="H41" s="134" t="s">
        <v>735</v>
      </c>
      <c r="I41" s="134" t="s">
        <v>668</v>
      </c>
      <c r="J41" s="134"/>
      <c r="K41" s="194">
        <v>43313</v>
      </c>
      <c r="L41" s="137">
        <v>43678</v>
      </c>
      <c r="M41" s="134"/>
      <c r="N41" s="134"/>
      <c r="O41" s="134"/>
      <c r="P41" s="134"/>
      <c r="Q41" s="766"/>
      <c r="R41" s="136"/>
    </row>
    <row r="42" spans="1:18">
      <c r="A42" s="133" t="s">
        <v>689</v>
      </c>
      <c r="B42" s="134" t="s">
        <v>690</v>
      </c>
      <c r="C42" s="135" t="s">
        <v>691</v>
      </c>
      <c r="D42" s="133" t="s">
        <v>692</v>
      </c>
      <c r="E42" s="133" t="s">
        <v>693</v>
      </c>
      <c r="F42" s="134" t="s">
        <v>736</v>
      </c>
      <c r="G42" s="134" t="s">
        <v>695</v>
      </c>
      <c r="H42" s="134" t="s">
        <v>737</v>
      </c>
      <c r="I42" s="134" t="s">
        <v>696</v>
      </c>
      <c r="J42" s="134" t="s">
        <v>525</v>
      </c>
      <c r="K42" s="134"/>
      <c r="L42" s="134"/>
      <c r="M42" s="134"/>
      <c r="N42" s="134"/>
      <c r="O42" s="134"/>
      <c r="P42" s="134"/>
      <c r="Q42" s="766"/>
      <c r="R42" s="136"/>
    </row>
    <row r="43" spans="1:18" ht="25.5">
      <c r="A43" s="133"/>
      <c r="B43" s="195"/>
      <c r="C43" s="160" t="s">
        <v>738</v>
      </c>
      <c r="D43" s="133"/>
      <c r="E43" s="133"/>
      <c r="F43" s="134"/>
      <c r="G43" s="134"/>
      <c r="H43" s="134"/>
      <c r="I43" s="134"/>
      <c r="J43" s="134"/>
      <c r="K43" s="134"/>
      <c r="L43" s="134"/>
      <c r="M43" s="134"/>
      <c r="N43" s="134"/>
      <c r="O43" s="134"/>
      <c r="P43" s="134"/>
      <c r="Q43" s="766"/>
      <c r="R43" s="136"/>
    </row>
    <row r="44" spans="1:18">
      <c r="A44" s="157">
        <v>96649</v>
      </c>
      <c r="B44" s="700" t="s">
        <v>1617</v>
      </c>
      <c r="C44" s="159">
        <v>2040</v>
      </c>
      <c r="D44" s="163">
        <v>139950.79999999999</v>
      </c>
      <c r="E44" s="157"/>
      <c r="F44" s="158"/>
      <c r="G44" s="158" t="s">
        <v>740</v>
      </c>
      <c r="H44" s="196"/>
      <c r="I44" s="158" t="s">
        <v>741</v>
      </c>
      <c r="J44" s="165">
        <v>66.66</v>
      </c>
      <c r="K44" s="163">
        <v>68.260000000000005</v>
      </c>
      <c r="L44" s="165">
        <f>SUM(68.26+0.7)</f>
        <v>68.960000000000008</v>
      </c>
      <c r="M44" s="693">
        <f>SUM(K44*1120)+(K44*960)</f>
        <v>141980.80000000002</v>
      </c>
      <c r="N44" s="158"/>
      <c r="O44" s="158"/>
      <c r="P44" s="197"/>
      <c r="Q44" s="767"/>
      <c r="R44" s="162"/>
    </row>
    <row r="45" spans="1:18">
      <c r="A45" s="157"/>
      <c r="B45" s="700"/>
      <c r="C45" s="159"/>
      <c r="D45" s="163"/>
      <c r="E45" s="157"/>
      <c r="F45" s="158"/>
      <c r="G45" s="158"/>
      <c r="H45" s="158"/>
      <c r="I45" s="158"/>
      <c r="J45" s="165"/>
      <c r="K45" s="157"/>
      <c r="L45" s="158"/>
      <c r="M45" s="158"/>
      <c r="N45" s="158"/>
      <c r="O45" s="158"/>
      <c r="P45" s="197"/>
      <c r="Q45" s="767"/>
      <c r="R45" s="162"/>
    </row>
    <row r="46" spans="1:18">
      <c r="A46" s="157">
        <v>37817</v>
      </c>
      <c r="B46" s="700" t="s">
        <v>1617</v>
      </c>
      <c r="C46" s="159">
        <v>1044</v>
      </c>
      <c r="D46" s="163">
        <v>41672.559999999998</v>
      </c>
      <c r="E46" s="164">
        <v>27589</v>
      </c>
      <c r="F46" s="166"/>
      <c r="G46" s="158" t="s">
        <v>699</v>
      </c>
      <c r="H46" s="196"/>
      <c r="I46" s="158" t="s">
        <v>741</v>
      </c>
      <c r="J46" s="165">
        <v>39.54</v>
      </c>
      <c r="K46" s="165">
        <v>40.49</v>
      </c>
      <c r="L46" s="163">
        <f>K46+0.7</f>
        <v>41.190000000000005</v>
      </c>
      <c r="M46" s="693">
        <f>SUM(K46*560)+(K46*480)</f>
        <v>42109.600000000006</v>
      </c>
      <c r="N46" s="158"/>
      <c r="O46" s="158"/>
      <c r="P46" s="197"/>
      <c r="Q46" s="162"/>
      <c r="R46" s="768"/>
    </row>
    <row r="47" spans="1:18">
      <c r="A47" s="157">
        <v>37900</v>
      </c>
      <c r="B47" s="700" t="s">
        <v>1617</v>
      </c>
      <c r="C47" s="159">
        <v>312</v>
      </c>
      <c r="D47" s="163">
        <v>5866.5</v>
      </c>
      <c r="E47" s="164">
        <v>31719</v>
      </c>
      <c r="F47" s="166"/>
      <c r="G47" s="158" t="s">
        <v>740</v>
      </c>
      <c r="H47" s="196"/>
      <c r="I47" s="158" t="s">
        <v>741</v>
      </c>
      <c r="J47" s="165">
        <v>18.5</v>
      </c>
      <c r="K47" s="165">
        <v>19.25</v>
      </c>
      <c r="L47" s="163">
        <f t="shared" ref="L47:L54" si="2">K47+0.7</f>
        <v>19.95</v>
      </c>
      <c r="M47" s="165">
        <f>SUM(K47*168)+(L47*144)</f>
        <v>6106.7999999999993</v>
      </c>
      <c r="N47" s="158"/>
      <c r="O47" s="158"/>
      <c r="P47" s="158"/>
      <c r="Q47" s="769"/>
      <c r="R47" s="767"/>
    </row>
    <row r="48" spans="1:18">
      <c r="A48" s="157">
        <v>81536</v>
      </c>
      <c r="B48" s="700" t="s">
        <v>1617</v>
      </c>
      <c r="C48" s="159">
        <v>2168</v>
      </c>
      <c r="D48" s="163">
        <v>98111.52</v>
      </c>
      <c r="E48" s="164">
        <v>28936</v>
      </c>
      <c r="F48" s="158"/>
      <c r="G48" s="158" t="s">
        <v>699</v>
      </c>
      <c r="H48" s="196"/>
      <c r="I48" s="158" t="s">
        <v>741</v>
      </c>
      <c r="J48" s="165">
        <v>44.62</v>
      </c>
      <c r="K48" s="165">
        <v>45.69</v>
      </c>
      <c r="L48" s="163">
        <f t="shared" si="2"/>
        <v>46.39</v>
      </c>
      <c r="M48" s="693">
        <f>SUM(K48*1120)+(K48*960)+(88*K48)</f>
        <v>99055.919999999984</v>
      </c>
      <c r="N48" s="198"/>
      <c r="O48" s="198"/>
      <c r="P48" s="714"/>
      <c r="Q48" s="169"/>
      <c r="R48" s="767"/>
    </row>
    <row r="49" spans="1:18">
      <c r="A49" s="157">
        <v>85000</v>
      </c>
      <c r="B49" s="700" t="s">
        <v>1617</v>
      </c>
      <c r="C49" s="159">
        <v>2368</v>
      </c>
      <c r="D49" s="163">
        <v>106878.32</v>
      </c>
      <c r="E49" s="164">
        <v>33063</v>
      </c>
      <c r="F49" s="158"/>
      <c r="G49" s="158" t="s">
        <v>699</v>
      </c>
      <c r="H49" s="158"/>
      <c r="I49" s="158" t="s">
        <v>741</v>
      </c>
      <c r="J49" s="165">
        <v>44.62</v>
      </c>
      <c r="K49" s="165">
        <v>45.69</v>
      </c>
      <c r="L49" s="163">
        <f t="shared" si="2"/>
        <v>46.39</v>
      </c>
      <c r="M49" s="693">
        <f>SUM(K49*1120)+(K49*960)+(288*K49)</f>
        <v>108193.91999999998</v>
      </c>
      <c r="N49" s="198"/>
      <c r="O49" s="198"/>
      <c r="P49" s="714"/>
      <c r="Q49" s="169"/>
      <c r="R49" s="767"/>
    </row>
    <row r="50" spans="1:18">
      <c r="A50" s="157">
        <v>96625</v>
      </c>
      <c r="B50" s="700" t="s">
        <v>1617</v>
      </c>
      <c r="C50" s="159">
        <v>2129</v>
      </c>
      <c r="D50" s="163">
        <v>43456.95</v>
      </c>
      <c r="E50" s="164">
        <v>38467</v>
      </c>
      <c r="F50" s="158"/>
      <c r="G50" s="158" t="s">
        <v>699</v>
      </c>
      <c r="H50" s="158"/>
      <c r="I50" s="158" t="s">
        <v>741</v>
      </c>
      <c r="J50" s="165">
        <v>20.100000000000001</v>
      </c>
      <c r="K50" s="165">
        <v>20.85</v>
      </c>
      <c r="L50" s="163">
        <f t="shared" si="2"/>
        <v>21.55</v>
      </c>
      <c r="M50" s="693">
        <f>SUM(K50*1120)+(C50-2080)*(L50*1.5)+(K50*960)+(49*K50)</f>
        <v>45973.575000000004</v>
      </c>
      <c r="N50" s="198"/>
      <c r="O50" s="198"/>
      <c r="P50" s="715"/>
      <c r="Q50" s="169"/>
      <c r="R50" s="770"/>
    </row>
    <row r="51" spans="1:18">
      <c r="A51" s="157">
        <v>96638</v>
      </c>
      <c r="B51" s="700" t="s">
        <v>1617</v>
      </c>
      <c r="C51" s="159">
        <v>2089</v>
      </c>
      <c r="D51" s="163">
        <v>43668.83</v>
      </c>
      <c r="E51" s="164">
        <v>39104</v>
      </c>
      <c r="F51" s="158"/>
      <c r="G51" s="158" t="s">
        <v>699</v>
      </c>
      <c r="H51" s="158"/>
      <c r="I51" s="158" t="s">
        <v>741</v>
      </c>
      <c r="J51" s="165">
        <v>20.6</v>
      </c>
      <c r="K51" s="165">
        <v>21.35</v>
      </c>
      <c r="L51" s="163">
        <f t="shared" si="2"/>
        <v>22.05</v>
      </c>
      <c r="M51" s="693">
        <f>SUM(K51*1120)+(C51-2080)*(L51*1.5)+(K51*960)+(9*K51)</f>
        <v>44897.825000000004</v>
      </c>
      <c r="N51" s="198"/>
      <c r="O51" s="198"/>
      <c r="P51" s="715"/>
      <c r="Q51" s="169"/>
      <c r="R51" s="770"/>
    </row>
    <row r="52" spans="1:18">
      <c r="A52" s="157">
        <v>96697</v>
      </c>
      <c r="B52" s="700" t="s">
        <v>1617</v>
      </c>
      <c r="C52" s="159">
        <v>2088</v>
      </c>
      <c r="D52" s="163">
        <v>39565.199999999997</v>
      </c>
      <c r="E52" s="164">
        <v>42710</v>
      </c>
      <c r="F52" s="158"/>
      <c r="G52" s="158" t="s">
        <v>699</v>
      </c>
      <c r="H52" s="158"/>
      <c r="I52" s="158" t="s">
        <v>741</v>
      </c>
      <c r="J52" s="165">
        <v>18.649999999999999</v>
      </c>
      <c r="K52" s="165">
        <v>19.399999999999999</v>
      </c>
      <c r="L52" s="163">
        <f t="shared" si="2"/>
        <v>20.099999999999998</v>
      </c>
      <c r="M52" s="693">
        <f>SUM(K52*1120)+(C52-2080)*(L52*1.5)+(K52*960)+(8*K52)</f>
        <v>40748.399999999994</v>
      </c>
      <c r="N52" s="198"/>
      <c r="O52" s="198"/>
      <c r="P52" s="715"/>
      <c r="Q52" s="169"/>
      <c r="R52" s="162"/>
    </row>
    <row r="53" spans="1:18">
      <c r="A53" s="157">
        <v>96692</v>
      </c>
      <c r="B53" s="700" t="s">
        <v>1617</v>
      </c>
      <c r="C53" s="159">
        <v>849.8</v>
      </c>
      <c r="D53" s="163">
        <v>31442.6</v>
      </c>
      <c r="E53" s="164">
        <v>42653</v>
      </c>
      <c r="F53" s="166">
        <v>43237</v>
      </c>
      <c r="G53" s="158" t="s">
        <v>699</v>
      </c>
      <c r="H53" s="158"/>
      <c r="I53" s="158" t="s">
        <v>741</v>
      </c>
      <c r="J53" s="165">
        <v>37</v>
      </c>
      <c r="K53" s="165">
        <v>0</v>
      </c>
      <c r="L53" s="163">
        <v>0</v>
      </c>
      <c r="M53" s="693">
        <f t="shared" ref="M53" si="3">SUM(K53*1120)+(C53-2080)*(L53*1.5)+(K53*960)</f>
        <v>0</v>
      </c>
      <c r="N53" s="198"/>
      <c r="O53" s="198"/>
      <c r="P53" s="694"/>
      <c r="Q53" s="169"/>
      <c r="R53" s="162"/>
    </row>
    <row r="54" spans="1:18">
      <c r="A54" s="157">
        <v>96713</v>
      </c>
      <c r="B54" s="700" t="s">
        <v>1617</v>
      </c>
      <c r="C54" s="168">
        <v>1354.5</v>
      </c>
      <c r="D54" s="163">
        <v>41367.019999999997</v>
      </c>
      <c r="E54" s="167">
        <v>43201</v>
      </c>
      <c r="F54" s="157"/>
      <c r="G54" s="157" t="s">
        <v>699</v>
      </c>
      <c r="H54" s="157"/>
      <c r="I54" s="157" t="s">
        <v>741</v>
      </c>
      <c r="J54" s="163">
        <v>30</v>
      </c>
      <c r="K54" s="163">
        <v>30.75</v>
      </c>
      <c r="L54" s="163">
        <f t="shared" si="2"/>
        <v>31.45</v>
      </c>
      <c r="M54" s="693">
        <f>SUM(K54*1120)+(K54*960)</f>
        <v>63960</v>
      </c>
      <c r="N54" s="198"/>
      <c r="O54" s="198"/>
      <c r="P54" s="694"/>
      <c r="Q54" s="169"/>
      <c r="R54" s="162"/>
    </row>
    <row r="55" spans="1:18">
      <c r="A55" s="157"/>
      <c r="B55" s="157"/>
      <c r="C55" s="168"/>
      <c r="D55" s="157"/>
      <c r="E55" s="157"/>
      <c r="F55" s="157"/>
      <c r="G55" s="157"/>
      <c r="H55" s="157"/>
      <c r="I55" s="157"/>
      <c r="J55" s="157"/>
      <c r="K55" s="157"/>
      <c r="L55" s="157"/>
      <c r="M55" s="692"/>
      <c r="N55" s="198"/>
      <c r="O55" s="198"/>
      <c r="P55" s="694"/>
      <c r="Q55" s="169"/>
      <c r="R55" s="162"/>
    </row>
    <row r="56" spans="1:18">
      <c r="A56" s="133"/>
      <c r="B56" s="133"/>
      <c r="C56" s="140">
        <f>SUM(C44:C54)</f>
        <v>16442.3</v>
      </c>
      <c r="D56" s="716">
        <f>SUM(D46:D54)</f>
        <v>452029.50000000006</v>
      </c>
      <c r="E56" s="133"/>
      <c r="F56" s="133"/>
      <c r="G56" s="133"/>
      <c r="H56" s="133"/>
      <c r="I56" s="133"/>
      <c r="J56" s="133"/>
      <c r="K56" s="133"/>
      <c r="L56" s="133"/>
      <c r="M56" s="716">
        <f>SUM(M46:M54)</f>
        <v>451046.04000000004</v>
      </c>
      <c r="N56" s="133"/>
      <c r="O56" s="133"/>
      <c r="P56" s="133"/>
      <c r="Q56" s="133"/>
      <c r="R56" s="133"/>
    </row>
    <row r="57" spans="1:18">
      <c r="A57" s="133"/>
      <c r="B57" s="133"/>
      <c r="C57" s="140"/>
      <c r="D57" s="716">
        <f>+D44</f>
        <v>139950.79999999999</v>
      </c>
      <c r="E57" s="133"/>
      <c r="F57" s="133"/>
      <c r="G57" s="133"/>
      <c r="H57" s="133"/>
      <c r="I57" s="133"/>
      <c r="J57" s="133"/>
      <c r="K57" s="133"/>
      <c r="L57" s="133"/>
      <c r="M57" s="716">
        <f>+M44</f>
        <v>141980.80000000002</v>
      </c>
      <c r="N57" s="133"/>
      <c r="O57" s="133"/>
      <c r="P57" s="133"/>
      <c r="Q57" s="133"/>
      <c r="R57" s="133"/>
    </row>
    <row r="58" spans="1:18">
      <c r="A58" s="133"/>
      <c r="B58" s="133"/>
      <c r="C58" s="140"/>
      <c r="D58" s="716">
        <f>SUM(D56:D57)</f>
        <v>591980.30000000005</v>
      </c>
      <c r="E58" s="133"/>
      <c r="F58" s="133"/>
      <c r="G58" s="133"/>
      <c r="H58" s="133"/>
      <c r="I58" s="133"/>
      <c r="J58" s="133"/>
      <c r="K58" s="133"/>
      <c r="L58" s="133"/>
      <c r="M58" s="716">
        <f>SUM(M56:M57)</f>
        <v>593026.84000000008</v>
      </c>
      <c r="N58" s="133"/>
      <c r="O58" s="133"/>
      <c r="P58" s="133"/>
      <c r="Q58" s="133"/>
      <c r="R58" s="133"/>
    </row>
    <row r="59" spans="1:18">
      <c r="A59" s="133"/>
      <c r="B59" s="133"/>
      <c r="C59" s="140"/>
      <c r="D59" s="133"/>
      <c r="E59" s="133"/>
      <c r="F59" s="133"/>
      <c r="G59" s="133"/>
      <c r="H59" s="133"/>
      <c r="I59" s="133"/>
      <c r="J59" s="133"/>
      <c r="K59" s="133"/>
      <c r="L59" s="133"/>
      <c r="M59" s="771"/>
      <c r="N59" s="133"/>
      <c r="O59" s="133"/>
      <c r="P59" s="133"/>
      <c r="Q59" s="133"/>
      <c r="R59" s="133"/>
    </row>
    <row r="60" spans="1:18">
      <c r="A60" s="133"/>
      <c r="B60" s="133"/>
      <c r="C60" s="140"/>
      <c r="D60" s="133"/>
      <c r="E60" s="133"/>
      <c r="F60" s="133"/>
      <c r="G60" s="133"/>
      <c r="H60" s="133"/>
      <c r="I60" s="133"/>
      <c r="J60" s="133"/>
      <c r="K60" s="133"/>
      <c r="L60" s="133"/>
      <c r="M60" s="771"/>
      <c r="N60" s="133"/>
      <c r="O60" s="133"/>
      <c r="P60" s="133"/>
      <c r="Q60" s="133"/>
      <c r="R60" s="133"/>
    </row>
    <row r="61" spans="1:18">
      <c r="A61" s="133"/>
      <c r="B61" s="133"/>
      <c r="C61" s="140"/>
      <c r="D61" s="133"/>
      <c r="E61" s="133"/>
      <c r="F61" s="133"/>
      <c r="G61" s="133"/>
      <c r="H61" s="133"/>
      <c r="I61" s="133"/>
      <c r="J61" s="133"/>
      <c r="K61" s="133"/>
      <c r="L61" s="133"/>
      <c r="M61" s="133"/>
      <c r="N61" s="772"/>
      <c r="O61" s="772"/>
      <c r="P61" s="773"/>
      <c r="Q61" s="696"/>
      <c r="R61" s="138"/>
    </row>
    <row r="62" spans="1:18">
      <c r="A62" s="133"/>
      <c r="B62" s="133"/>
      <c r="C62" s="140"/>
      <c r="D62" s="133"/>
      <c r="E62" s="133"/>
      <c r="F62" s="133"/>
      <c r="G62" s="133"/>
      <c r="H62" s="133"/>
      <c r="I62" s="133"/>
      <c r="J62" s="133"/>
      <c r="K62" s="133"/>
      <c r="L62" s="133"/>
      <c r="M62" s="133"/>
      <c r="N62" s="772"/>
      <c r="O62" s="772"/>
      <c r="P62" s="773"/>
      <c r="Q62" s="696"/>
      <c r="R62" s="138"/>
    </row>
    <row r="63" spans="1:18">
      <c r="A63" s="133"/>
      <c r="B63" s="133"/>
      <c r="C63" s="140"/>
      <c r="D63" s="133"/>
      <c r="E63" s="133"/>
      <c r="F63" s="133"/>
      <c r="G63" s="133"/>
      <c r="H63" s="133"/>
      <c r="I63" s="133"/>
      <c r="J63" s="133"/>
      <c r="K63" s="133"/>
      <c r="L63" s="133"/>
      <c r="M63" s="133"/>
      <c r="N63" s="133"/>
      <c r="O63" s="133"/>
      <c r="P63" s="133"/>
      <c r="Q63" s="133"/>
      <c r="R63" s="133"/>
    </row>
    <row r="64" spans="1:18">
      <c r="A64" s="133"/>
      <c r="B64" s="133"/>
      <c r="C64" s="140"/>
      <c r="D64" s="133"/>
      <c r="E64" s="133"/>
      <c r="F64" s="133"/>
      <c r="G64" s="133"/>
      <c r="H64" s="133"/>
      <c r="I64" s="133"/>
      <c r="J64" s="133"/>
      <c r="K64" s="133"/>
      <c r="L64" s="133"/>
      <c r="M64" s="133"/>
      <c r="N64" s="133"/>
      <c r="O64" s="133"/>
      <c r="P64" s="133"/>
      <c r="Q64" s="133"/>
      <c r="R64" s="133"/>
    </row>
    <row r="65" spans="1:18">
      <c r="A65" s="133"/>
      <c r="B65" s="133"/>
      <c r="C65" s="140"/>
      <c r="D65" s="133"/>
      <c r="E65" s="133"/>
      <c r="F65" s="133"/>
      <c r="G65" s="133"/>
      <c r="H65" s="133"/>
      <c r="I65" s="133"/>
      <c r="J65" s="133"/>
      <c r="K65" s="133"/>
      <c r="L65" s="133"/>
      <c r="M65" s="133"/>
      <c r="N65" s="133"/>
      <c r="O65" s="133"/>
      <c r="P65" s="133"/>
      <c r="Q65" s="133"/>
      <c r="R65" s="133"/>
    </row>
    <row r="66" spans="1:18">
      <c r="A66" s="133"/>
      <c r="B66" s="133"/>
      <c r="C66" s="140"/>
      <c r="D66" s="133"/>
      <c r="E66" s="133"/>
      <c r="F66" s="133"/>
      <c r="G66" s="133"/>
      <c r="H66" s="133"/>
      <c r="I66" s="133"/>
      <c r="J66" s="133"/>
      <c r="K66" s="133"/>
      <c r="L66" s="133"/>
      <c r="M66" s="771"/>
      <c r="N66" s="133"/>
      <c r="O66" s="133"/>
      <c r="P66" s="133"/>
      <c r="Q66" s="133"/>
      <c r="R66" s="133"/>
    </row>
    <row r="67" spans="1:18">
      <c r="A67" s="133"/>
      <c r="B67" s="133"/>
      <c r="C67" s="140"/>
      <c r="D67" s="133"/>
      <c r="E67" s="133"/>
      <c r="F67" s="133"/>
      <c r="G67" s="133"/>
      <c r="H67" s="133"/>
      <c r="I67" s="133"/>
      <c r="J67" s="133"/>
      <c r="K67" s="133"/>
      <c r="L67" s="133"/>
      <c r="M67" s="771"/>
      <c r="N67" s="133"/>
      <c r="O67" s="133"/>
      <c r="P67" s="133"/>
      <c r="Q67" s="133"/>
      <c r="R67" s="133"/>
    </row>
    <row r="68" spans="1:18">
      <c r="A68" s="774"/>
      <c r="B68" s="774"/>
      <c r="C68" s="774"/>
      <c r="D68" s="774"/>
      <c r="E68" s="774"/>
      <c r="F68" s="774"/>
      <c r="G68" s="774"/>
      <c r="H68" s="774"/>
      <c r="I68" s="774"/>
      <c r="J68" s="774"/>
      <c r="K68" s="774"/>
      <c r="L68" s="774"/>
      <c r="M68" s="774"/>
      <c r="N68" s="741"/>
      <c r="O68" s="741"/>
      <c r="P68" s="741"/>
    </row>
    <row r="69" spans="1:18">
      <c r="A69" s="774"/>
      <c r="B69" s="774"/>
      <c r="C69" s="774"/>
      <c r="D69" s="774"/>
      <c r="E69" s="774"/>
      <c r="F69" s="774"/>
      <c r="G69" s="774"/>
      <c r="H69" s="774"/>
      <c r="I69" s="774"/>
      <c r="J69" s="774"/>
      <c r="K69" s="774"/>
      <c r="L69" s="774"/>
      <c r="M69" s="774"/>
      <c r="N69" s="741"/>
      <c r="O69" s="741"/>
      <c r="P69" s="741"/>
    </row>
    <row r="70" spans="1:18">
      <c r="A70" s="774"/>
      <c r="B70" s="774"/>
      <c r="C70" s="774"/>
      <c r="D70" s="774"/>
      <c r="E70" s="774"/>
      <c r="F70" s="774"/>
      <c r="G70" s="774"/>
      <c r="H70" s="774"/>
      <c r="I70" s="774"/>
      <c r="J70" s="774"/>
      <c r="K70" s="774"/>
      <c r="L70" s="774"/>
      <c r="M70" s="774"/>
      <c r="N70" s="741"/>
      <c r="O70" s="741"/>
      <c r="P70" s="741"/>
    </row>
    <row r="71" spans="1:18">
      <c r="A71" s="774"/>
      <c r="B71" s="774"/>
      <c r="C71" s="774"/>
      <c r="D71" s="774"/>
      <c r="E71" s="774"/>
      <c r="F71" s="774"/>
      <c r="G71" s="774"/>
      <c r="H71" s="774"/>
      <c r="I71" s="774"/>
      <c r="J71" s="774"/>
      <c r="K71" s="774"/>
      <c r="L71" s="774"/>
      <c r="M71" s="774"/>
      <c r="N71" s="741"/>
      <c r="O71" s="741"/>
      <c r="P71" s="741"/>
    </row>
    <row r="72" spans="1:18">
      <c r="A72" s="774"/>
      <c r="B72" s="774"/>
      <c r="C72" s="774"/>
      <c r="D72" s="774"/>
      <c r="E72" s="774"/>
      <c r="F72" s="774"/>
      <c r="G72" s="774"/>
      <c r="H72" s="774"/>
      <c r="I72" s="774"/>
      <c r="J72" s="774"/>
      <c r="K72" s="774"/>
      <c r="L72" s="774"/>
      <c r="M72" s="774"/>
      <c r="N72" s="741"/>
      <c r="O72" s="741"/>
      <c r="P72" s="741"/>
    </row>
    <row r="73" spans="1:18">
      <c r="A73" s="774"/>
      <c r="B73" s="774"/>
      <c r="C73" s="774"/>
      <c r="D73" s="774"/>
      <c r="E73" s="774"/>
      <c r="F73" s="774"/>
      <c r="G73" s="774"/>
      <c r="H73" s="774"/>
      <c r="I73" s="774"/>
      <c r="J73" s="774"/>
      <c r="K73" s="774"/>
      <c r="L73" s="774"/>
      <c r="M73" s="774"/>
      <c r="N73" s="741"/>
      <c r="O73" s="741"/>
      <c r="P73" s="741"/>
    </row>
    <row r="74" spans="1:18">
      <c r="A74" s="774"/>
      <c r="B74" s="774"/>
      <c r="C74" s="774"/>
      <c r="D74" s="774"/>
      <c r="E74" s="774"/>
      <c r="F74" s="774"/>
      <c r="G74" s="774"/>
      <c r="H74" s="774"/>
      <c r="I74" s="774"/>
      <c r="J74" s="774"/>
      <c r="K74" s="774"/>
      <c r="L74" s="774"/>
      <c r="M74" s="774"/>
      <c r="N74" s="741"/>
      <c r="O74" s="741"/>
      <c r="P74" s="741"/>
    </row>
    <row r="75" spans="1:18">
      <c r="A75" s="774"/>
      <c r="B75" s="774"/>
      <c r="C75" s="774"/>
      <c r="D75" s="774"/>
      <c r="E75" s="774"/>
      <c r="F75" s="774"/>
      <c r="G75" s="774"/>
      <c r="H75" s="774"/>
      <c r="I75" s="774"/>
      <c r="J75" s="774"/>
      <c r="K75" s="774"/>
      <c r="L75" s="774"/>
      <c r="M75" s="774"/>
      <c r="N75" s="741"/>
      <c r="O75" s="741"/>
      <c r="P75" s="741"/>
    </row>
  </sheetData>
  <pageMargins left="0.2" right="0.2" top="0.75" bottom="0.75" header="0.3" footer="0.3"/>
  <pageSetup scale="55" fitToHeight="0" orientation="landscape" r:id="rId1"/>
  <headerFooter>
    <oddFooter>&amp;L&amp;D&amp;C&amp;A&amp;RPage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7913-160E-405E-977A-59128441DEC0}">
  <sheetPr>
    <pageSetUpPr fitToPage="1"/>
  </sheetPr>
  <dimension ref="A1:AT113"/>
  <sheetViews>
    <sheetView workbookViewId="0">
      <selection activeCell="C5" sqref="C5"/>
    </sheetView>
  </sheetViews>
  <sheetFormatPr defaultRowHeight="15"/>
  <cols>
    <col min="1" max="1" width="3.77734375" customWidth="1"/>
    <col min="2" max="2" width="26.109375" bestFit="1" customWidth="1"/>
    <col min="3" max="3" width="16.5546875" customWidth="1"/>
    <col min="4" max="4" width="0" hidden="1" customWidth="1"/>
    <col min="5" max="5" width="5.6640625" customWidth="1"/>
    <col min="6" max="6" width="4.44140625" customWidth="1"/>
    <col min="7" max="7" width="6.6640625" customWidth="1"/>
    <col min="8" max="8" width="11.6640625" customWidth="1"/>
    <col min="9" max="9" width="13.77734375" customWidth="1"/>
    <col min="10" max="10" width="10.33203125" customWidth="1"/>
    <col min="11" max="11" width="11.77734375" bestFit="1" customWidth="1"/>
    <col min="12" max="13" width="14.33203125" customWidth="1"/>
    <col min="14" max="14" width="4.77734375" customWidth="1"/>
    <col min="15" max="15" width="4.88671875" customWidth="1"/>
    <col min="16" max="16" width="31.44140625" customWidth="1"/>
    <col min="17" max="17" width="13"/>
    <col min="18" max="18" width="10.77734375" customWidth="1"/>
    <col min="19" max="19" width="13"/>
    <col min="20" max="20" width="10.44140625" customWidth="1"/>
    <col min="21" max="21" width="12.21875" customWidth="1"/>
    <col min="22" max="22" width="13"/>
    <col min="23" max="24" width="13.77734375" customWidth="1"/>
    <col min="25" max="25" width="12.44140625" customWidth="1"/>
    <col min="26" max="26" width="13"/>
    <col min="27" max="27" width="12.33203125" customWidth="1"/>
    <col min="28" max="29" width="13"/>
    <col min="30" max="30" width="12.77734375" customWidth="1"/>
    <col min="31" max="31" width="13.44140625" customWidth="1"/>
    <col min="32" max="32" width="16.109375" customWidth="1"/>
    <col min="33" max="33" width="14.109375" customWidth="1"/>
    <col min="34" max="34" width="12.77734375" customWidth="1"/>
    <col min="35" max="35" width="13"/>
    <col min="36" max="36" width="10.77734375" customWidth="1"/>
    <col min="37" max="37" width="12.77734375" customWidth="1"/>
    <col min="38" max="46" width="11.77734375" customWidth="1"/>
  </cols>
  <sheetData>
    <row r="1" spans="1:46" ht="15.75" thickBot="1">
      <c r="A1" s="312"/>
      <c r="B1" s="313"/>
      <c r="C1" s="313"/>
      <c r="D1" s="313"/>
      <c r="E1" s="313"/>
      <c r="F1" s="313"/>
      <c r="G1" s="313"/>
      <c r="H1" s="313"/>
      <c r="I1" s="314"/>
      <c r="J1" s="314"/>
      <c r="K1" s="314"/>
      <c r="L1" s="314"/>
      <c r="M1" s="314"/>
      <c r="N1" s="314"/>
      <c r="O1" s="313"/>
      <c r="P1" s="313"/>
      <c r="Q1" s="315"/>
      <c r="R1" s="316"/>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row>
    <row r="2" spans="1:46" ht="19.5" thickBot="1">
      <c r="A2" s="312"/>
      <c r="B2" s="862" t="s">
        <v>1019</v>
      </c>
      <c r="C2" s="862"/>
      <c r="D2" s="312"/>
      <c r="E2" s="312"/>
      <c r="F2" s="318" t="s">
        <v>1020</v>
      </c>
      <c r="G2" s="319"/>
      <c r="H2" s="319"/>
      <c r="I2" s="320" t="s">
        <v>1021</v>
      </c>
      <c r="J2" s="319"/>
      <c r="K2" s="319"/>
      <c r="L2" s="319"/>
      <c r="M2" s="318" t="s">
        <v>1020</v>
      </c>
      <c r="N2" s="26"/>
      <c r="O2" s="312"/>
      <c r="P2" s="312"/>
      <c r="Q2" s="321"/>
      <c r="R2" s="322" t="s">
        <v>1022</v>
      </c>
      <c r="S2" s="323"/>
      <c r="T2" s="324"/>
      <c r="U2" s="26"/>
      <c r="V2" s="26"/>
      <c r="W2" s="26"/>
      <c r="X2" s="26"/>
      <c r="Y2" s="26"/>
      <c r="Z2" s="26"/>
      <c r="AA2" s="26"/>
      <c r="AB2" s="26"/>
      <c r="AC2" s="26"/>
      <c r="AD2" s="26"/>
      <c r="AE2" s="26"/>
      <c r="AF2" s="863" t="s">
        <v>1023</v>
      </c>
      <c r="AG2" s="864"/>
      <c r="AH2" s="864"/>
      <c r="AI2" s="865"/>
      <c r="AJ2" s="26"/>
      <c r="AK2" s="26"/>
      <c r="AL2" s="26"/>
      <c r="AM2" s="26"/>
      <c r="AN2" s="26"/>
      <c r="AO2" s="26"/>
      <c r="AP2" s="26"/>
      <c r="AQ2" s="26"/>
      <c r="AR2" s="26"/>
      <c r="AS2" s="26"/>
      <c r="AT2" s="26"/>
    </row>
    <row r="3" spans="1:46" ht="15.75">
      <c r="A3" s="312"/>
      <c r="B3" s="312"/>
      <c r="C3" s="312"/>
      <c r="D3" s="312"/>
      <c r="E3" s="312"/>
      <c r="F3" s="325"/>
      <c r="G3" s="326"/>
      <c r="H3" s="26"/>
      <c r="I3" s="26"/>
      <c r="J3" s="26"/>
      <c r="K3" s="327" t="s">
        <v>1024</v>
      </c>
      <c r="L3" s="26"/>
      <c r="M3" s="327" t="s">
        <v>1025</v>
      </c>
      <c r="N3" s="26"/>
      <c r="O3" s="312"/>
      <c r="P3" s="312"/>
      <c r="Q3" s="321"/>
      <c r="R3" s="26"/>
      <c r="S3" s="26"/>
      <c r="T3" s="26" t="s">
        <v>1026</v>
      </c>
      <c r="U3" s="26"/>
      <c r="V3" s="328" t="s">
        <v>1026</v>
      </c>
      <c r="W3" s="328" t="s">
        <v>1026</v>
      </c>
      <c r="X3" s="328" t="s">
        <v>1026</v>
      </c>
      <c r="Y3" s="328" t="s">
        <v>1027</v>
      </c>
      <c r="Z3" s="328" t="s">
        <v>1027</v>
      </c>
      <c r="AA3" s="328" t="s">
        <v>1027</v>
      </c>
      <c r="AB3" s="328" t="s">
        <v>1027</v>
      </c>
      <c r="AC3" s="328" t="s">
        <v>1027</v>
      </c>
      <c r="AD3" s="328" t="s">
        <v>1027</v>
      </c>
      <c r="AE3" s="328" t="s">
        <v>1028</v>
      </c>
      <c r="AF3" s="328" t="s">
        <v>1</v>
      </c>
      <c r="AG3" s="328" t="s">
        <v>1029</v>
      </c>
      <c r="AH3" s="328"/>
      <c r="AI3" s="26"/>
      <c r="AJ3" s="26"/>
      <c r="AK3" s="26"/>
      <c r="AL3" s="26"/>
      <c r="AM3" s="26"/>
      <c r="AN3" s="26"/>
      <c r="AO3" s="26"/>
      <c r="AP3" s="26"/>
      <c r="AQ3" s="26"/>
      <c r="AR3" s="26"/>
      <c r="AS3" s="26"/>
      <c r="AT3" s="26"/>
    </row>
    <row r="4" spans="1:46" ht="19.5" thickBot="1">
      <c r="A4" s="312"/>
      <c r="B4" s="329" t="s">
        <v>1030</v>
      </c>
      <c r="C4" s="330"/>
      <c r="D4" s="331"/>
      <c r="E4" s="312"/>
      <c r="F4" s="332"/>
      <c r="G4" s="326"/>
      <c r="H4" s="333" t="s">
        <v>1031</v>
      </c>
      <c r="I4" s="333" t="s">
        <v>1032</v>
      </c>
      <c r="J4" s="333" t="s">
        <v>1033</v>
      </c>
      <c r="K4" s="333" t="s">
        <v>1034</v>
      </c>
      <c r="L4" s="333" t="s">
        <v>1035</v>
      </c>
      <c r="M4" s="333" t="s">
        <v>1036</v>
      </c>
      <c r="N4" s="26"/>
      <c r="O4" s="334"/>
      <c r="P4" s="312"/>
      <c r="Q4" s="321"/>
      <c r="R4" s="26"/>
      <c r="S4" s="26"/>
      <c r="T4" s="328" t="s">
        <v>1037</v>
      </c>
      <c r="U4" s="26"/>
      <c r="V4" s="328" t="s">
        <v>938</v>
      </c>
      <c r="W4" s="328" t="s">
        <v>1038</v>
      </c>
      <c r="X4" s="328" t="s">
        <v>1039</v>
      </c>
      <c r="Y4" s="328" t="s">
        <v>1040</v>
      </c>
      <c r="Z4" s="328" t="s">
        <v>1040</v>
      </c>
      <c r="AA4" s="328" t="s">
        <v>1040</v>
      </c>
      <c r="AB4" s="328" t="s">
        <v>1038</v>
      </c>
      <c r="AC4" s="328" t="s">
        <v>1037</v>
      </c>
      <c r="AD4" s="328" t="s">
        <v>1037</v>
      </c>
      <c r="AE4" s="328" t="s">
        <v>1041</v>
      </c>
      <c r="AF4" s="328" t="s">
        <v>1042</v>
      </c>
      <c r="AG4" s="328" t="s">
        <v>1043</v>
      </c>
      <c r="AH4" s="328" t="s">
        <v>1044</v>
      </c>
      <c r="AI4" s="328" t="s">
        <v>1045</v>
      </c>
      <c r="AJ4" s="26"/>
      <c r="AK4" s="26"/>
      <c r="AL4" s="26"/>
      <c r="AM4" s="26"/>
      <c r="AN4" s="26"/>
      <c r="AO4" s="26"/>
      <c r="AP4" s="26"/>
      <c r="AQ4" s="26"/>
      <c r="AR4" s="26"/>
      <c r="AS4" s="26"/>
      <c r="AT4" s="26"/>
    </row>
    <row r="5" spans="1:46" ht="15.75">
      <c r="A5" s="312"/>
      <c r="B5" s="335" t="s">
        <v>1046</v>
      </c>
      <c r="C5" s="336">
        <f>+Allocations!D21+Allocations!E21+Allocations!F21+Allocations!G21</f>
        <v>17197419.107930001</v>
      </c>
      <c r="D5" s="331"/>
      <c r="E5" s="312"/>
      <c r="F5" s="337" t="s">
        <v>1047</v>
      </c>
      <c r="G5" s="338"/>
      <c r="H5" s="338"/>
      <c r="I5" s="333" t="s">
        <v>1048</v>
      </c>
      <c r="J5" s="333" t="s">
        <v>1</v>
      </c>
      <c r="K5" s="339" t="s">
        <v>1049</v>
      </c>
      <c r="L5" s="339" t="s">
        <v>1050</v>
      </c>
      <c r="M5" s="339" t="s">
        <v>1</v>
      </c>
      <c r="N5" s="26"/>
      <c r="O5" s="340"/>
      <c r="P5" s="312"/>
      <c r="Q5" s="321"/>
      <c r="R5" s="341"/>
      <c r="S5" s="26"/>
      <c r="T5" s="328" t="s">
        <v>1051</v>
      </c>
      <c r="U5" s="328" t="s">
        <v>1052</v>
      </c>
      <c r="V5" s="328" t="s">
        <v>1053</v>
      </c>
      <c r="W5" s="328" t="s">
        <v>1054</v>
      </c>
      <c r="X5" s="328" t="s">
        <v>14</v>
      </c>
      <c r="Y5" s="328" t="s">
        <v>107</v>
      </c>
      <c r="Z5" s="328" t="s">
        <v>1055</v>
      </c>
      <c r="AA5" s="328" t="s">
        <v>1056</v>
      </c>
      <c r="AB5" s="328" t="s">
        <v>1057</v>
      </c>
      <c r="AC5" s="328" t="s">
        <v>1051</v>
      </c>
      <c r="AD5" s="328" t="s">
        <v>478</v>
      </c>
      <c r="AE5" s="328" t="s">
        <v>1058</v>
      </c>
      <c r="AF5" s="328" t="s">
        <v>1059</v>
      </c>
      <c r="AG5" s="328" t="s">
        <v>1059</v>
      </c>
      <c r="AH5" s="328" t="s">
        <v>1058</v>
      </c>
      <c r="AI5" s="328" t="s">
        <v>1028</v>
      </c>
      <c r="AJ5" s="26"/>
      <c r="AK5" s="26"/>
      <c r="AL5" s="26"/>
      <c r="AM5" s="26"/>
      <c r="AN5" s="26"/>
      <c r="AO5" s="26"/>
      <c r="AP5" s="26"/>
      <c r="AQ5" s="26"/>
      <c r="AR5" s="26"/>
      <c r="AS5" s="26"/>
      <c r="AT5" s="26"/>
    </row>
    <row r="6" spans="1:46" ht="15.75">
      <c r="A6" s="312"/>
      <c r="B6" s="335" t="s">
        <v>1060</v>
      </c>
      <c r="C6" s="342">
        <f>+Allocations!D69+Allocations!E69+Allocations!F69+Allocations!G69</f>
        <v>17419822.549618259</v>
      </c>
      <c r="D6" s="331"/>
      <c r="E6" s="312"/>
      <c r="F6" s="343" t="s">
        <v>1061</v>
      </c>
      <c r="G6" s="338"/>
      <c r="H6" s="338"/>
      <c r="I6" s="344"/>
      <c r="J6" s="345" t="s">
        <v>1062</v>
      </c>
      <c r="K6" s="346"/>
      <c r="L6" s="345" t="s">
        <v>1063</v>
      </c>
      <c r="M6" s="345" t="s">
        <v>1064</v>
      </c>
      <c r="N6" s="26"/>
      <c r="O6" s="340"/>
      <c r="P6" s="312"/>
      <c r="Q6" s="321"/>
      <c r="R6" s="347">
        <v>1</v>
      </c>
      <c r="S6" s="348">
        <f>Revenue/Investment*100</f>
        <v>1081.6005872160365</v>
      </c>
      <c r="T6" s="349">
        <f>EXP(y_inter1-(slope*LN(+S6)))</f>
        <v>2.5762800755722468</v>
      </c>
      <c r="U6" s="350">
        <f>(+S6*T6/100)/100</f>
        <v>0.27865060425719174</v>
      </c>
      <c r="V6" s="350">
        <f>regDebt_weighted</f>
        <v>3.5860000000000003E-2</v>
      </c>
      <c r="W6" s="350">
        <f>+U6-V6</f>
        <v>0.24279060425719173</v>
      </c>
      <c r="X6" s="350">
        <f>+((W6*(1-0.34))-Pfd_weighted)/Equity_percent</f>
        <v>0.44782499653996088</v>
      </c>
      <c r="Y6" s="350">
        <f>X6*equityP</f>
        <v>0.2686949979239765</v>
      </c>
      <c r="Z6" s="350">
        <f>+Y6/(1-taxrate)</f>
        <v>0.3401202505366791</v>
      </c>
      <c r="AA6" s="350">
        <f>debtP*Debt_Rate</f>
        <v>1.5959999999999998E-2</v>
      </c>
      <c r="AB6" s="350">
        <f>AA6+Z6</f>
        <v>0.35608025053667908</v>
      </c>
      <c r="AC6" s="350">
        <f>AB6/(S6/100)</f>
        <v>3.2921602923053551E-2</v>
      </c>
      <c r="AD6" s="350">
        <f>1-AC6</f>
        <v>0.96707839707694643</v>
      </c>
      <c r="AE6" s="351">
        <f>expenses/(AD6)</f>
        <v>18012833.915296566</v>
      </c>
      <c r="AF6" s="352">
        <f>+AE6-Revenue</f>
        <v>815414.80736656487</v>
      </c>
      <c r="AG6" s="353">
        <f ca="1">+AF6/$J$49</f>
        <v>859201.17903754453</v>
      </c>
      <c r="AH6" s="353">
        <f ca="1">+AG6*$J$47</f>
        <v>17269.943698654646</v>
      </c>
      <c r="AI6" s="351">
        <f ca="1">ROUND(+AH6+AE6,5)</f>
        <v>18030103.859000001</v>
      </c>
      <c r="AJ6" s="26"/>
      <c r="AK6" s="26"/>
      <c r="AL6" s="26"/>
      <c r="AM6" s="26"/>
      <c r="AN6" s="26"/>
      <c r="AO6" s="26"/>
      <c r="AP6" s="26"/>
      <c r="AQ6" s="26"/>
      <c r="AR6" s="26"/>
      <c r="AS6" s="26"/>
      <c r="AT6" s="26"/>
    </row>
    <row r="7" spans="1:46" ht="15.75">
      <c r="A7" s="312"/>
      <c r="B7" s="335" t="s">
        <v>1065</v>
      </c>
      <c r="C7" s="342">
        <f>+'Regulatory Depreciation '!G219+'Regulatory Depreciation '!K219+'Regulatory Depreciation '!L219</f>
        <v>1589997.2051785719</v>
      </c>
      <c r="D7" s="331"/>
      <c r="E7" s="312"/>
      <c r="F7" s="354">
        <v>1</v>
      </c>
      <c r="G7" s="338"/>
      <c r="H7" s="355" t="s">
        <v>1046</v>
      </c>
      <c r="I7" s="356">
        <f>IF(A65=TRUE,C5,0)</f>
        <v>17197419.107930001</v>
      </c>
      <c r="J7" s="356">
        <f ca="1">(+$I8/($R51))-I7</f>
        <v>777653.43246093392</v>
      </c>
      <c r="K7" s="356">
        <f ca="1">+I7+J7</f>
        <v>17975072.540390935</v>
      </c>
      <c r="L7" s="356">
        <f ca="1">((+J7/J49*K35)-J7)</f>
        <v>16470.18287420983</v>
      </c>
      <c r="M7" s="356">
        <f ca="1">IFERROR(+K7+L7,0.00001)</f>
        <v>17991542.723265145</v>
      </c>
      <c r="N7" s="26"/>
      <c r="O7" s="340"/>
      <c r="P7" s="312"/>
      <c r="Q7" s="321"/>
      <c r="R7" s="357">
        <v>2</v>
      </c>
      <c r="S7" s="358">
        <f>Revenue/Investment*100</f>
        <v>1081.6005872160365</v>
      </c>
      <c r="T7" s="359">
        <f>EXP(y_inter1-(slope*LN(+S7)))</f>
        <v>2.5762800755722468</v>
      </c>
      <c r="U7" s="360">
        <f t="shared" ref="U7:U9" si="0">(+S7*T7/100)/100</f>
        <v>0.27865060425719174</v>
      </c>
      <c r="V7" s="360">
        <f>regDebt_weighted</f>
        <v>3.5860000000000003E-2</v>
      </c>
      <c r="W7" s="360">
        <f t="shared" ref="W7:W9" si="1">+U7-V7</f>
        <v>0.24279060425719173</v>
      </c>
      <c r="X7" s="360">
        <f>+((W7*(1-0.34))-Pfd_weighted)/Equity_percent</f>
        <v>0.44782499653996088</v>
      </c>
      <c r="Y7" s="360">
        <f>X7*equityP</f>
        <v>0.2686949979239765</v>
      </c>
      <c r="Z7" s="360">
        <f>+Y7/(1-taxrate)</f>
        <v>0.3401202505366791</v>
      </c>
      <c r="AA7" s="360">
        <f>debtP*Debt_Rate</f>
        <v>1.5959999999999998E-2</v>
      </c>
      <c r="AB7" s="360">
        <f t="shared" ref="AB7:AB9" si="2">AA7+Z7</f>
        <v>0.35608025053667908</v>
      </c>
      <c r="AC7" s="360">
        <f t="shared" ref="AC7:AC9" si="3">AB7/(S7/100)</f>
        <v>3.2921602923053551E-2</v>
      </c>
      <c r="AD7" s="360">
        <f t="shared" ref="AD7:AD9" si="4">1-AC7</f>
        <v>0.96707839707694643</v>
      </c>
      <c r="AE7" s="361">
        <f>expenses/(AD7)</f>
        <v>18012833.915296566</v>
      </c>
      <c r="AF7" s="362">
        <f>+AE7-Revenue</f>
        <v>815414.80736656487</v>
      </c>
      <c r="AG7" s="363">
        <f ca="1">+AF7/$J$49</f>
        <v>859201.17903754453</v>
      </c>
      <c r="AH7" s="363">
        <f ca="1">+AG7*$J$47</f>
        <v>17269.943698654646</v>
      </c>
      <c r="AI7" s="361">
        <f t="shared" ref="AI7:AI9" ca="1" si="5">ROUND(+AH7+AE7,5)</f>
        <v>18030103.859000001</v>
      </c>
      <c r="AJ7" s="26"/>
      <c r="AK7" s="26"/>
      <c r="AL7" s="26"/>
      <c r="AM7" s="26"/>
      <c r="AN7" s="26"/>
      <c r="AO7" s="26"/>
      <c r="AP7" s="26"/>
      <c r="AQ7" s="26"/>
      <c r="AR7" s="26"/>
      <c r="AS7" s="26"/>
      <c r="AT7" s="26"/>
    </row>
    <row r="8" spans="1:46" ht="15.75">
      <c r="A8" s="312"/>
      <c r="B8" s="335" t="s">
        <v>1066</v>
      </c>
      <c r="C8" s="364">
        <v>0.4</v>
      </c>
      <c r="D8" s="331"/>
      <c r="E8" s="312"/>
      <c r="F8" s="365">
        <f>+F7+1</f>
        <v>2</v>
      </c>
      <c r="G8" s="338"/>
      <c r="H8" s="355" t="s">
        <v>1060</v>
      </c>
      <c r="I8" s="356">
        <f>IF(A65=TRUE,C6,0)</f>
        <v>17419822.549618259</v>
      </c>
      <c r="J8" s="326"/>
      <c r="K8" s="356">
        <f>+I8</f>
        <v>17419822.549618259</v>
      </c>
      <c r="L8" s="356">
        <f ca="1">+L7</f>
        <v>16470.18287420983</v>
      </c>
      <c r="M8" s="356">
        <f ca="1">IFERROR(+K8+L8,0.00001)</f>
        <v>17436292.732492469</v>
      </c>
      <c r="N8" s="26"/>
      <c r="O8" s="340"/>
      <c r="P8" s="312"/>
      <c r="Q8" s="321"/>
      <c r="R8" s="366">
        <v>3</v>
      </c>
      <c r="S8" s="358">
        <f>Revenue/Investment*100</f>
        <v>1081.6005872160365</v>
      </c>
      <c r="T8" s="359">
        <f>EXP(y_inter1-(slope*LN(+S8)))</f>
        <v>2.5762800755722468</v>
      </c>
      <c r="U8" s="360">
        <f t="shared" si="0"/>
        <v>0.27865060425719174</v>
      </c>
      <c r="V8" s="360">
        <f>regDebt_weighted</f>
        <v>3.5860000000000003E-2</v>
      </c>
      <c r="W8" s="360">
        <f t="shared" si="1"/>
        <v>0.24279060425719173</v>
      </c>
      <c r="X8" s="360">
        <f>+((W8*(1-0.34))-Pfd_weighted)/Equity_percent</f>
        <v>0.44782499653996088</v>
      </c>
      <c r="Y8" s="360">
        <f>X8*equityP</f>
        <v>0.2686949979239765</v>
      </c>
      <c r="Z8" s="360">
        <f>+Y8/(1-taxrate)</f>
        <v>0.3401202505366791</v>
      </c>
      <c r="AA8" s="360">
        <f>debtP*Debt_Rate</f>
        <v>1.5959999999999998E-2</v>
      </c>
      <c r="AB8" s="360">
        <f t="shared" si="2"/>
        <v>0.35608025053667908</v>
      </c>
      <c r="AC8" s="360">
        <f t="shared" si="3"/>
        <v>3.2921602923053551E-2</v>
      </c>
      <c r="AD8" s="360">
        <f t="shared" si="4"/>
        <v>0.96707839707694643</v>
      </c>
      <c r="AE8" s="361">
        <f>expenses/(AD8)</f>
        <v>18012833.915296566</v>
      </c>
      <c r="AF8" s="362">
        <f>+AE8-Revenue</f>
        <v>815414.80736656487</v>
      </c>
      <c r="AG8" s="363">
        <f ca="1">+AF8/$J$49</f>
        <v>859201.17903754453</v>
      </c>
      <c r="AH8" s="363">
        <f ca="1">+AG8*$J$47</f>
        <v>17269.943698654646</v>
      </c>
      <c r="AI8" s="361">
        <f t="shared" ca="1" si="5"/>
        <v>18030103.859000001</v>
      </c>
      <c r="AJ8" s="26"/>
      <c r="AK8" s="26"/>
      <c r="AL8" s="26"/>
      <c r="AM8" s="26"/>
      <c r="AN8" s="26"/>
      <c r="AO8" s="26"/>
      <c r="AP8" s="26"/>
      <c r="AQ8" s="26"/>
      <c r="AR8" s="26"/>
      <c r="AS8" s="26"/>
      <c r="AT8" s="26"/>
    </row>
    <row r="9" spans="1:46" ht="15.75">
      <c r="A9" s="312"/>
      <c r="B9" s="335" t="s">
        <v>1067</v>
      </c>
      <c r="C9" s="515">
        <v>3.9899999999999998E-2</v>
      </c>
      <c r="D9" s="331"/>
      <c r="E9" s="312"/>
      <c r="F9" s="365">
        <f t="shared" ref="F9:F49" si="6">+F8+1</f>
        <v>3</v>
      </c>
      <c r="G9" s="338"/>
      <c r="H9" s="355" t="s">
        <v>470</v>
      </c>
      <c r="I9" s="367">
        <f>+I7-I8</f>
        <v>-222403.4416882582</v>
      </c>
      <c r="J9" s="326"/>
      <c r="K9" s="367">
        <f ca="1">+K7-K8</f>
        <v>555249.99077267572</v>
      </c>
      <c r="L9" s="338"/>
      <c r="M9" s="368">
        <f ca="1">+M7-M8</f>
        <v>555249.99077267572</v>
      </c>
      <c r="N9" s="26"/>
      <c r="O9" s="340"/>
      <c r="P9" s="312"/>
      <c r="Q9" s="321"/>
      <c r="R9" s="369">
        <v>4</v>
      </c>
      <c r="S9" s="358">
        <f>Revenue/Investment*100</f>
        <v>1081.6005872160365</v>
      </c>
      <c r="T9" s="359">
        <f>EXP(y_inter1-(slope*LN(+S9)))</f>
        <v>2.5762800755722468</v>
      </c>
      <c r="U9" s="360">
        <f t="shared" si="0"/>
        <v>0.27865060425719174</v>
      </c>
      <c r="V9" s="360">
        <f>regDebt_weighted</f>
        <v>3.5860000000000003E-2</v>
      </c>
      <c r="W9" s="360">
        <f t="shared" si="1"/>
        <v>0.24279060425719173</v>
      </c>
      <c r="X9" s="360">
        <f>+((W9*(1-0.34))-Pfd_weighted)/Equity_percent</f>
        <v>0.44782499653996088</v>
      </c>
      <c r="Y9" s="360">
        <f>X9*equityP</f>
        <v>0.2686949979239765</v>
      </c>
      <c r="Z9" s="360">
        <f>+Y9/(1-taxrate)</f>
        <v>0.3401202505366791</v>
      </c>
      <c r="AA9" s="360">
        <f>debtP*Debt_Rate</f>
        <v>1.5959999999999998E-2</v>
      </c>
      <c r="AB9" s="360">
        <f t="shared" si="2"/>
        <v>0.35608025053667908</v>
      </c>
      <c r="AC9" s="360">
        <f t="shared" si="3"/>
        <v>3.2921602923053551E-2</v>
      </c>
      <c r="AD9" s="360">
        <f t="shared" si="4"/>
        <v>0.96707839707694643</v>
      </c>
      <c r="AE9" s="361">
        <f>expenses/(AD9)</f>
        <v>18012833.915296566</v>
      </c>
      <c r="AF9" s="362">
        <f>+AE9-Revenue</f>
        <v>815414.80736656487</v>
      </c>
      <c r="AG9" s="363">
        <f ca="1">+AF9/$J$49</f>
        <v>859201.17903754453</v>
      </c>
      <c r="AH9" s="363">
        <f ca="1">+AG9*$J$47</f>
        <v>17269.943698654646</v>
      </c>
      <c r="AI9" s="361">
        <f t="shared" ca="1" si="5"/>
        <v>18030103.859000001</v>
      </c>
      <c r="AJ9" s="26"/>
      <c r="AK9" s="26"/>
      <c r="AL9" s="26"/>
      <c r="AM9" s="26"/>
      <c r="AN9" s="26"/>
      <c r="AO9" s="26"/>
      <c r="AP9" s="26"/>
      <c r="AQ9" s="26"/>
      <c r="AR9" s="26"/>
      <c r="AS9" s="26"/>
      <c r="AT9" s="26"/>
    </row>
    <row r="10" spans="1:46" ht="15.75">
      <c r="A10" s="312"/>
      <c r="B10" s="370" t="s">
        <v>1068</v>
      </c>
      <c r="C10" s="364">
        <v>0.21</v>
      </c>
      <c r="D10" s="331"/>
      <c r="E10" s="312"/>
      <c r="F10" s="365">
        <f t="shared" si="6"/>
        <v>4</v>
      </c>
      <c r="G10" s="338"/>
      <c r="H10" s="338"/>
      <c r="I10" s="326"/>
      <c r="J10" s="326"/>
      <c r="K10" s="356"/>
      <c r="L10" s="338"/>
      <c r="M10" s="338"/>
      <c r="N10" s="338"/>
      <c r="O10" s="340"/>
      <c r="P10" s="312"/>
      <c r="Q10" s="321"/>
      <c r="R10" s="328" t="s">
        <v>1069</v>
      </c>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row>
    <row r="11" spans="1:46" ht="15.75">
      <c r="A11" s="312"/>
      <c r="B11" s="335" t="s">
        <v>1070</v>
      </c>
      <c r="C11" s="371">
        <v>1.4999999999999999E-2</v>
      </c>
      <c r="D11" s="331"/>
      <c r="E11" s="312"/>
      <c r="F11" s="365">
        <v>11</v>
      </c>
      <c r="G11" s="338"/>
      <c r="H11" s="355" t="s">
        <v>476</v>
      </c>
      <c r="I11" s="356">
        <f>+K11</f>
        <v>25376.355394650007</v>
      </c>
      <c r="J11" s="326"/>
      <c r="K11" s="356">
        <f>+M27</f>
        <v>25376.355394650007</v>
      </c>
      <c r="L11" s="338"/>
      <c r="M11" s="356">
        <f>+K11</f>
        <v>25376.355394650007</v>
      </c>
      <c r="N11" s="26"/>
      <c r="O11" s="340"/>
      <c r="P11" s="312"/>
      <c r="Q11" s="321"/>
      <c r="R11" s="347">
        <v>1</v>
      </c>
      <c r="S11" s="348">
        <f ca="1">IF((AI6/Investment*100)&gt;0,(AI6/Investment*100),0)</f>
        <v>1133.9707893999127</v>
      </c>
      <c r="T11" s="349">
        <f ca="1">EXP(y_inter1-(slope*LN(S11)))</f>
        <v>2.4943301911622844</v>
      </c>
      <c r="U11" s="350">
        <f ca="1">(+S11*T11/100)/100</f>
        <v>0.2828497575896331</v>
      </c>
      <c r="V11" s="350">
        <f>regDebt_weighted</f>
        <v>3.5860000000000003E-2</v>
      </c>
      <c r="W11" s="350">
        <f ca="1">+U11-V11</f>
        <v>0.2469897575896331</v>
      </c>
      <c r="X11" s="350">
        <f ca="1">+((W11*(1-0.34))-Pfd_weighted)/Equity_percent</f>
        <v>0.45588151165452856</v>
      </c>
      <c r="Y11" s="350">
        <f ca="1">+X11*equityP</f>
        <v>0.27352890699271715</v>
      </c>
      <c r="Z11" s="350">
        <f ca="1">+Y11/(1-taxrate)</f>
        <v>0.34623912277559132</v>
      </c>
      <c r="AA11" s="350">
        <f>debtP*Debt_Rate</f>
        <v>1.5959999999999998E-2</v>
      </c>
      <c r="AB11" s="350">
        <f ca="1">+AA11+Z11</f>
        <v>0.3621991227755913</v>
      </c>
      <c r="AC11" s="350">
        <f ca="1">+AB11/(S11/100)</f>
        <v>3.1940780676305063E-2</v>
      </c>
      <c r="AD11" s="350">
        <f ca="1">1-AC11</f>
        <v>0.96805921932369499</v>
      </c>
      <c r="AE11" s="351">
        <f ca="1">expenses/(AD11)</f>
        <v>17994583.597672965</v>
      </c>
      <c r="AF11" s="352">
        <f ca="1">+AE11-Revenue</f>
        <v>797164.48974296451</v>
      </c>
      <c r="AG11" s="353">
        <f ca="1">+AF11/$J$49</f>
        <v>839970.85076983878</v>
      </c>
      <c r="AH11" s="353">
        <f ca="1">+AG11*$J$47</f>
        <v>16883.414100473761</v>
      </c>
      <c r="AI11" s="351">
        <f ca="1">ROUND(+AH11+AE11,5)</f>
        <v>18011467.011769999</v>
      </c>
      <c r="AJ11" s="26"/>
      <c r="AK11" s="26"/>
      <c r="AL11" s="26"/>
      <c r="AM11" s="26"/>
      <c r="AN11" s="26"/>
      <c r="AO11" s="26"/>
      <c r="AP11" s="26"/>
      <c r="AQ11" s="26"/>
      <c r="AR11" s="26"/>
      <c r="AS11" s="26"/>
      <c r="AT11" s="26"/>
    </row>
    <row r="12" spans="1:46" ht="15.75">
      <c r="A12" s="312"/>
      <c r="B12" s="335" t="s">
        <v>1071</v>
      </c>
      <c r="C12" s="371">
        <v>5.1000000000000004E-3</v>
      </c>
      <c r="D12" s="331"/>
      <c r="E12" s="312"/>
      <c r="F12" s="365">
        <f t="shared" si="6"/>
        <v>12</v>
      </c>
      <c r="G12" s="338"/>
      <c r="H12" s="355" t="s">
        <v>1072</v>
      </c>
      <c r="I12" s="356">
        <f ca="1">IF(I14&lt;0,0,+J38*I14)</f>
        <v>0</v>
      </c>
      <c r="J12" s="356">
        <f ca="1">+K12-I12</f>
        <v>111273.46342938539</v>
      </c>
      <c r="K12" s="356">
        <f ca="1">+(K9-K11)*taxrate</f>
        <v>111273.46342938539</v>
      </c>
      <c r="L12" s="338"/>
      <c r="M12" s="356">
        <f ca="1">+K12</f>
        <v>111273.46342938539</v>
      </c>
      <c r="N12" s="26"/>
      <c r="O12" s="340"/>
      <c r="P12" s="312"/>
      <c r="Q12" s="321"/>
      <c r="R12" s="357">
        <v>2</v>
      </c>
      <c r="S12" s="358">
        <f ca="1">IF((AI7/Investment*100)&gt;0,(AI7/Investment*100),0)</f>
        <v>1133.9707893999127</v>
      </c>
      <c r="T12" s="372">
        <f ca="1">EXP(y_inter2-(slope*LN(+S12)))</f>
        <v>2.4588413245501033</v>
      </c>
      <c r="U12" s="360">
        <f ca="1">(+S12*T12/100)/100</f>
        <v>0.27882542378092073</v>
      </c>
      <c r="V12" s="360">
        <f>regDebt_weighted</f>
        <v>3.5860000000000003E-2</v>
      </c>
      <c r="W12" s="360">
        <f ca="1">+U12-V12</f>
        <v>0.24296542378092073</v>
      </c>
      <c r="X12" s="360">
        <f ca="1">+((W12*(1-0.34))-Pfd_weighted)/Equity_percent</f>
        <v>0.44816040609130137</v>
      </c>
      <c r="Y12" s="360">
        <f ca="1">+X12*equityP</f>
        <v>0.26889624365478082</v>
      </c>
      <c r="Z12" s="360">
        <f ca="1">+Y12/(1-taxrate)</f>
        <v>0.34037499196807697</v>
      </c>
      <c r="AA12" s="360">
        <f>debtP*Debt_Rate</f>
        <v>1.5959999999999998E-2</v>
      </c>
      <c r="AB12" s="360">
        <f ca="1">+AA12+Z12</f>
        <v>0.35633499196807694</v>
      </c>
      <c r="AC12" s="360">
        <f ca="1">+AB12/(S12/100)</f>
        <v>3.1423648236710421E-2</v>
      </c>
      <c r="AD12" s="360">
        <f ca="1">1-AC12</f>
        <v>0.9685763517632896</v>
      </c>
      <c r="AE12" s="361">
        <f ca="1">expenses/(AD12)</f>
        <v>17984976.112523846</v>
      </c>
      <c r="AF12" s="362">
        <f ca="1">+AE12-Revenue</f>
        <v>787557.00459384546</v>
      </c>
      <c r="AG12" s="363">
        <f ca="1">+AF12/$J$49</f>
        <v>829847.46020452876</v>
      </c>
      <c r="AH12" s="363">
        <f ca="1">+AG12*$J$47</f>
        <v>16679.933950111026</v>
      </c>
      <c r="AI12" s="361">
        <f t="shared" ref="AI12:AI14" ca="1" si="7">ROUND(+AH12+AE12,5)</f>
        <v>18001656.046470001</v>
      </c>
      <c r="AJ12" s="26"/>
      <c r="AK12" s="26"/>
      <c r="AL12" s="26"/>
      <c r="AM12" s="26"/>
      <c r="AN12" s="26"/>
      <c r="AO12" s="26"/>
      <c r="AP12" s="26"/>
      <c r="AQ12" s="26"/>
      <c r="AR12" s="26"/>
      <c r="AS12" s="26"/>
      <c r="AT12" s="26"/>
    </row>
    <row r="13" spans="1:46" ht="15.75">
      <c r="A13" s="312"/>
      <c r="B13" s="335" t="s">
        <v>1073</v>
      </c>
      <c r="C13" s="371">
        <v>0</v>
      </c>
      <c r="D13" s="331"/>
      <c r="E13" s="312"/>
      <c r="F13" s="365">
        <f t="shared" si="6"/>
        <v>13</v>
      </c>
      <c r="G13" s="338"/>
      <c r="H13" s="338"/>
      <c r="I13" s="326"/>
      <c r="J13" s="326"/>
      <c r="K13" s="356"/>
      <c r="L13" s="338"/>
      <c r="M13" s="338"/>
      <c r="N13" s="26"/>
      <c r="O13" s="340"/>
      <c r="P13" s="312"/>
      <c r="Q13" s="321"/>
      <c r="R13" s="366">
        <v>3</v>
      </c>
      <c r="S13" s="358">
        <f ca="1">IF((AI8/Investment*100)&gt;0,(AI8/Investment*100),0)</f>
        <v>1133.9707893999127</v>
      </c>
      <c r="T13" s="359">
        <f ca="1">EXP(y_inter3-(slope*LN(S13)))</f>
        <v>2.4349354153328369</v>
      </c>
      <c r="U13" s="360">
        <f ca="1">(+S13*T13/100)/100</f>
        <v>0.27611456350627817</v>
      </c>
      <c r="V13" s="360">
        <f>regDebt_weighted</f>
        <v>3.5860000000000003E-2</v>
      </c>
      <c r="W13" s="360">
        <f ca="1">+U13-V13</f>
        <v>0.24025456350627816</v>
      </c>
      <c r="X13" s="360">
        <f ca="1">+((W13*(1-0.34))-Pfd_weighted)/Equity_percent</f>
        <v>0.44295933695971973</v>
      </c>
      <c r="Y13" s="360">
        <f ca="1">+X13*equityP</f>
        <v>0.26577560217583185</v>
      </c>
      <c r="Z13" s="360">
        <f ca="1">+Y13/(1-taxrate)</f>
        <v>0.33642481288079978</v>
      </c>
      <c r="AA13" s="360">
        <f>debtP*Debt_Rate</f>
        <v>1.5959999999999998E-2</v>
      </c>
      <c r="AB13" s="360">
        <f ca="1">+AA13+Z13</f>
        <v>0.35238481288079976</v>
      </c>
      <c r="AC13" s="360">
        <f ca="1">+AB13/(S13/100)</f>
        <v>3.1075298956093803E-2</v>
      </c>
      <c r="AD13" s="360">
        <f ca="1">1-AC13</f>
        <v>0.96892470104390616</v>
      </c>
      <c r="AE13" s="361">
        <f ca="1">expenses/(AD13)</f>
        <v>17978510.126587115</v>
      </c>
      <c r="AF13" s="362">
        <f ca="1">+AE13-Revenue</f>
        <v>781091.01865711436</v>
      </c>
      <c r="AG13" s="363">
        <f ca="1">+AF13/$J$49</f>
        <v>823034.26195219182</v>
      </c>
      <c r="AH13" s="363">
        <f ca="1">+AG13*$J$47</f>
        <v>16542.988665239056</v>
      </c>
      <c r="AI13" s="361">
        <f t="shared" ca="1" si="7"/>
        <v>17995053.115249999</v>
      </c>
      <c r="AJ13" s="26"/>
      <c r="AK13" s="26"/>
      <c r="AL13" s="26"/>
      <c r="AM13" s="26"/>
      <c r="AN13" s="26"/>
      <c r="AO13" s="26"/>
      <c r="AP13" s="26"/>
      <c r="AQ13" s="26"/>
      <c r="AR13" s="26"/>
      <c r="AS13" s="26"/>
      <c r="AT13" s="26"/>
    </row>
    <row r="14" spans="1:46" ht="16.5" thickBot="1">
      <c r="A14" s="312"/>
      <c r="B14" s="373" t="s">
        <v>1074</v>
      </c>
      <c r="C14" s="371">
        <v>0</v>
      </c>
      <c r="D14" s="331"/>
      <c r="E14" s="312"/>
      <c r="F14" s="365">
        <f t="shared" si="6"/>
        <v>14</v>
      </c>
      <c r="G14" s="338"/>
      <c r="H14" s="338" t="s">
        <v>112</v>
      </c>
      <c r="I14" s="374">
        <f ca="1">+I9-SUM(I11:I13)</f>
        <v>-247779.79708290822</v>
      </c>
      <c r="J14" s="326"/>
      <c r="K14" s="374">
        <f ca="1">+K9-SUM(K11:K13)</f>
        <v>418600.17194864032</v>
      </c>
      <c r="L14" s="338"/>
      <c r="M14" s="374">
        <f ca="1">+M9-SUM(M11:M13)</f>
        <v>418600.17194864032</v>
      </c>
      <c r="N14" s="26"/>
      <c r="O14" s="340"/>
      <c r="P14" s="312"/>
      <c r="Q14" s="321"/>
      <c r="R14" s="369">
        <v>4</v>
      </c>
      <c r="S14" s="358">
        <f ca="1">IF((AI9/Investment*100)&gt;0,(AI9/Investment*100),0)</f>
        <v>1133.9707893999127</v>
      </c>
      <c r="T14" s="375">
        <f ca="1">EXP(y_inter4-(slope*LN(S14)))</f>
        <v>2.419643542194462</v>
      </c>
      <c r="U14" s="360">
        <f ca="1">(+S14*T14/100)/100</f>
        <v>0.27438050976086553</v>
      </c>
      <c r="V14" s="360">
        <f>regDebt_weighted</f>
        <v>3.5860000000000003E-2</v>
      </c>
      <c r="W14" s="360">
        <f ca="1">+U14-V14</f>
        <v>0.23852050976086553</v>
      </c>
      <c r="X14" s="360">
        <f ca="1">+((W14*(1-0.34))-Pfd_weighted)/Equity_percent</f>
        <v>0.43963237337840472</v>
      </c>
      <c r="Y14" s="360">
        <f ca="1">+X14*equityP</f>
        <v>0.2637794240270428</v>
      </c>
      <c r="Z14" s="360">
        <f ca="1">+Y14/(1-taxrate)</f>
        <v>0.33389800509752249</v>
      </c>
      <c r="AA14" s="360">
        <f>debtP*Debt_Rate</f>
        <v>1.5959999999999998E-2</v>
      </c>
      <c r="AB14" s="360">
        <f ca="1">+AA14+Z14</f>
        <v>0.34985800509752246</v>
      </c>
      <c r="AC14" s="360">
        <f ca="1">+AB14/(S14/100)</f>
        <v>3.0852470660435987E-2</v>
      </c>
      <c r="AD14" s="360">
        <f ca="1">1-AC14</f>
        <v>0.96914752933956405</v>
      </c>
      <c r="AE14" s="361">
        <f ca="1">expenses/(AD14)</f>
        <v>17974376.472371738</v>
      </c>
      <c r="AF14" s="362">
        <f ca="1">+AE14-Revenue</f>
        <v>776957.36444173753</v>
      </c>
      <c r="AG14" s="363">
        <f ca="1">+AF14/$J$49</f>
        <v>818678.63762025756</v>
      </c>
      <c r="AH14" s="363">
        <f ca="1">+AG14*$J$47</f>
        <v>16455.440616167176</v>
      </c>
      <c r="AI14" s="361">
        <f t="shared" ca="1" si="7"/>
        <v>17990831.91299</v>
      </c>
      <c r="AJ14" s="26"/>
      <c r="AK14" s="26"/>
      <c r="AL14" s="26"/>
      <c r="AM14" s="26"/>
      <c r="AN14" s="26"/>
      <c r="AO14" s="26"/>
      <c r="AP14" s="26"/>
      <c r="AQ14" s="26"/>
      <c r="AR14" s="26"/>
      <c r="AS14" s="26"/>
      <c r="AT14" s="26"/>
    </row>
    <row r="15" spans="1:46" ht="16.5" thickTop="1">
      <c r="A15" s="312"/>
      <c r="B15" s="866"/>
      <c r="C15" s="866"/>
      <c r="D15" s="312"/>
      <c r="E15" s="312"/>
      <c r="F15" s="365">
        <f t="shared" si="6"/>
        <v>15</v>
      </c>
      <c r="G15" s="326"/>
      <c r="H15" s="326"/>
      <c r="I15" s="326"/>
      <c r="J15" s="326"/>
      <c r="K15" s="376"/>
      <c r="L15" s="326"/>
      <c r="M15" s="326"/>
      <c r="N15" s="26"/>
      <c r="O15" s="340"/>
      <c r="P15" s="312"/>
      <c r="Q15" s="321"/>
      <c r="R15" s="328" t="s">
        <v>1075</v>
      </c>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row>
    <row r="16" spans="1:46" ht="15.75">
      <c r="A16" s="312"/>
      <c r="B16" s="377" t="s">
        <v>1076</v>
      </c>
      <c r="C16" s="867"/>
      <c r="D16" s="867"/>
      <c r="E16" s="312"/>
      <c r="F16" s="365">
        <f t="shared" si="6"/>
        <v>16</v>
      </c>
      <c r="G16" s="326"/>
      <c r="H16" s="378" t="s">
        <v>1077</v>
      </c>
      <c r="I16" s="379">
        <f>+I8/I7</f>
        <v>1.0129323731830031</v>
      </c>
      <c r="J16" s="380"/>
      <c r="K16" s="379">
        <f ca="1">+K8/K7</f>
        <v>0.96911000000000003</v>
      </c>
      <c r="L16" s="381"/>
      <c r="M16" s="379">
        <f ca="1">+M8/M7</f>
        <v>0.96913827795019081</v>
      </c>
      <c r="N16" s="26"/>
      <c r="O16" s="340"/>
      <c r="P16" s="312"/>
      <c r="Q16" s="321"/>
      <c r="R16" s="382">
        <v>1</v>
      </c>
      <c r="S16" s="383">
        <f ca="1">AI11/Investment*100</f>
        <v>1132.7986585829967</v>
      </c>
      <c r="T16" s="384">
        <f ca="1">EXP(y_inter1-(slope*LN(+S16)))</f>
        <v>2.4960944113039139</v>
      </c>
      <c r="U16" s="385">
        <f ca="1">(+S16*T16/100)/100</f>
        <v>0.28275724008215886</v>
      </c>
      <c r="V16" s="385">
        <f>regDebt_weighted</f>
        <v>3.5860000000000003E-2</v>
      </c>
      <c r="W16" s="385">
        <f ca="1">+U16-V16</f>
        <v>0.24689724008215885</v>
      </c>
      <c r="X16" s="385">
        <f ca="1">+((W16*(1-0.34))-Pfd_weighted)/Equity_percent</f>
        <v>0.45570400713437453</v>
      </c>
      <c r="Y16" s="385">
        <f ca="1">+X16*equityP</f>
        <v>0.2734224042806247</v>
      </c>
      <c r="Z16" s="385">
        <f ca="1">+Y16/(1-taxrate)</f>
        <v>0.34610430921598062</v>
      </c>
      <c r="AA16" s="385">
        <f>debtP*Debt_Rate</f>
        <v>1.5959999999999998E-2</v>
      </c>
      <c r="AB16" s="385">
        <f ca="1">+AA16+Z16</f>
        <v>0.3620643092159806</v>
      </c>
      <c r="AC16" s="385">
        <f ca="1">+AB16/(S16/100)</f>
        <v>3.1961929551442281E-2</v>
      </c>
      <c r="AD16" s="385">
        <f ca="1">1-AC16</f>
        <v>0.96803807044855772</v>
      </c>
      <c r="AE16" s="386">
        <f ca="1">expenses/(AD16)</f>
        <v>17994976.728081029</v>
      </c>
      <c r="AF16" s="387">
        <f ca="1">+AE16-Revenue</f>
        <v>797557.62015102804</v>
      </c>
      <c r="AG16" s="388">
        <f ca="1">+AF16/$J$49</f>
        <v>840385.09160416282</v>
      </c>
      <c r="AH16" s="388">
        <f ca="1">+AG16*$J$47</f>
        <v>16891.740341243672</v>
      </c>
      <c r="AI16" s="386">
        <f ca="1">ROUND(+AH16+AE16,5)</f>
        <v>18011868.468419999</v>
      </c>
      <c r="AJ16" s="26"/>
      <c r="AK16" s="26"/>
      <c r="AL16" s="26"/>
      <c r="AM16" s="26"/>
      <c r="AN16" s="26"/>
      <c r="AO16" s="26"/>
      <c r="AP16" s="26"/>
      <c r="AQ16" s="26"/>
      <c r="AR16" s="26"/>
      <c r="AS16" s="26"/>
      <c r="AT16" s="26"/>
    </row>
    <row r="17" spans="1:46" ht="15.75">
      <c r="A17" s="312"/>
      <c r="B17" s="868"/>
      <c r="C17" s="867"/>
      <c r="D17" s="312" t="s">
        <v>1078</v>
      </c>
      <c r="E17" s="312"/>
      <c r="F17" s="365">
        <f t="shared" si="6"/>
        <v>17</v>
      </c>
      <c r="G17" s="326"/>
      <c r="H17" s="389"/>
      <c r="I17" s="389"/>
      <c r="J17" s="390"/>
      <c r="K17" s="389"/>
      <c r="L17" s="378"/>
      <c r="M17" s="378"/>
      <c r="N17" s="391"/>
      <c r="O17" s="312"/>
      <c r="P17" s="312"/>
      <c r="Q17" s="321"/>
      <c r="R17" s="357">
        <v>2</v>
      </c>
      <c r="S17" s="358">
        <f ca="1">AI12/Investment*100</f>
        <v>1132.1816156556229</v>
      </c>
      <c r="T17" s="372">
        <f ca="1">EXP(y_inter2-(slope*LN(+S17)))</f>
        <v>2.4614971831907071</v>
      </c>
      <c r="U17" s="360">
        <f ca="1">(+S17*T17/100)/100</f>
        <v>0.27868618577966198</v>
      </c>
      <c r="V17" s="360">
        <f>regDebt_weighted</f>
        <v>3.5860000000000003E-2</v>
      </c>
      <c r="W17" s="360">
        <f ca="1">+U17-V17</f>
        <v>0.24282618577966197</v>
      </c>
      <c r="X17" s="360">
        <f ca="1">+((W17*(1-0.34))-Pfd_weighted)/Equity_percent</f>
        <v>0.44789326341446767</v>
      </c>
      <c r="Y17" s="360">
        <f ca="1">+X17*equityP</f>
        <v>0.26873595804868061</v>
      </c>
      <c r="Z17" s="360">
        <f ca="1">+Y17/(1-taxrate)</f>
        <v>0.34017209879579824</v>
      </c>
      <c r="AA17" s="360">
        <f>debtP*Debt_Rate</f>
        <v>1.5959999999999998E-2</v>
      </c>
      <c r="AB17" s="360">
        <f ca="1">+AA17+Z17</f>
        <v>0.35613209879579821</v>
      </c>
      <c r="AC17" s="360">
        <f ca="1">+AB17/(S17/100)</f>
        <v>3.1455386121030549E-2</v>
      </c>
      <c r="AD17" s="360">
        <f ca="1">1-AC17</f>
        <v>0.96854461387896951</v>
      </c>
      <c r="AE17" s="361">
        <f ca="1">expenses/(AD17)</f>
        <v>17985565.455630176</v>
      </c>
      <c r="AF17" s="362">
        <f ca="1">+AE17-Revenue</f>
        <v>788146.3477001749</v>
      </c>
      <c r="AG17" s="363">
        <f ca="1">+AF17/$J$49</f>
        <v>830468.45002129604</v>
      </c>
      <c r="AH17" s="363">
        <f ca="1">+AG17*$J$47</f>
        <v>16692.415845428051</v>
      </c>
      <c r="AI17" s="361">
        <f t="shared" ref="AI17:AI19" ca="1" si="8">ROUND(+AH17+AE17,5)</f>
        <v>18002257.871479999</v>
      </c>
      <c r="AJ17" s="26"/>
      <c r="AK17" s="26"/>
      <c r="AL17" s="26"/>
      <c r="AM17" s="26"/>
      <c r="AN17" s="26"/>
      <c r="AO17" s="26"/>
      <c r="AP17" s="26"/>
      <c r="AQ17" s="26"/>
      <c r="AR17" s="26"/>
      <c r="AS17" s="26"/>
      <c r="AT17" s="26"/>
    </row>
    <row r="18" spans="1:46" ht="15.75">
      <c r="A18" s="312"/>
      <c r="B18" s="861" t="s">
        <v>1079</v>
      </c>
      <c r="C18" s="861"/>
      <c r="D18" s="312"/>
      <c r="E18" s="312"/>
      <c r="F18" s="365">
        <f t="shared" si="6"/>
        <v>18</v>
      </c>
      <c r="G18" s="326"/>
      <c r="H18" s="392" t="s">
        <v>0</v>
      </c>
      <c r="I18" s="393"/>
      <c r="J18" s="393"/>
      <c r="K18" s="393"/>
      <c r="L18" s="393"/>
      <c r="M18" s="394"/>
      <c r="N18" s="390"/>
      <c r="O18" s="312"/>
      <c r="P18" s="312"/>
      <c r="Q18" s="321"/>
      <c r="R18" s="366">
        <v>3</v>
      </c>
      <c r="S18" s="358">
        <f ca="1">AI13/Investment*100</f>
        <v>1131.7663362325836</v>
      </c>
      <c r="T18" s="359">
        <f ca="1">EXP(y_inter3-(slope*LN(S18)))</f>
        <v>2.438176902998666</v>
      </c>
      <c r="U18" s="360">
        <f ca="1">(+S18*T18/100)/100</f>
        <v>0.27594465405937074</v>
      </c>
      <c r="V18" s="360">
        <f>regDebt_weighted</f>
        <v>3.5860000000000003E-2</v>
      </c>
      <c r="W18" s="360">
        <f ca="1">+U18-V18</f>
        <v>0.24008465405937074</v>
      </c>
      <c r="X18" s="360">
        <f ca="1">+((W18*(1-0.34))-Pfd_weighted)/Equity_percent</f>
        <v>0.44263334790460668</v>
      </c>
      <c r="Y18" s="360">
        <f ca="1">+X18*equityP</f>
        <v>0.265580008742764</v>
      </c>
      <c r="Z18" s="360">
        <f ca="1">+Y18/(1-taxrate)</f>
        <v>0.3361772262566633</v>
      </c>
      <c r="AA18" s="360">
        <f>debtP*Debt_Rate</f>
        <v>1.5959999999999998E-2</v>
      </c>
      <c r="AB18" s="360">
        <f ca="1">+AA18+Z18</f>
        <v>0.35213722625666327</v>
      </c>
      <c r="AC18" s="360">
        <f ca="1">+AB18/(S18/100)</f>
        <v>3.1113951262135554E-2</v>
      </c>
      <c r="AD18" s="360">
        <f ca="1">1-AC18</f>
        <v>0.96888604873786444</v>
      </c>
      <c r="AE18" s="361">
        <f ca="1">expenses/(AD18)</f>
        <v>17979227.35321711</v>
      </c>
      <c r="AF18" s="362">
        <f ca="1">+AE18-Revenue</f>
        <v>781808.24528710917</v>
      </c>
      <c r="AG18" s="363">
        <f ca="1">+AF18/$J$49</f>
        <v>823790.00241773331</v>
      </c>
      <c r="AH18" s="363">
        <f ca="1">+AG18*$J$47</f>
        <v>16558.179048596441</v>
      </c>
      <c r="AI18" s="361">
        <f t="shared" ca="1" si="8"/>
        <v>17995785.532269999</v>
      </c>
      <c r="AJ18" s="26"/>
      <c r="AK18" s="26"/>
      <c r="AL18" s="26"/>
      <c r="AM18" s="26"/>
      <c r="AN18" s="26"/>
      <c r="AO18" s="26"/>
      <c r="AP18" s="26"/>
      <c r="AQ18" s="26"/>
      <c r="AR18" s="26"/>
      <c r="AS18" s="26"/>
      <c r="AT18" s="26"/>
    </row>
    <row r="19" spans="1:46" ht="15.75">
      <c r="A19" s="312"/>
      <c r="B19" s="312"/>
      <c r="C19" s="312"/>
      <c r="D19" s="312"/>
      <c r="E19" s="312"/>
      <c r="F19" s="365">
        <f t="shared" si="6"/>
        <v>19</v>
      </c>
      <c r="G19" s="326"/>
      <c r="H19" s="395"/>
      <c r="I19" s="396" t="s">
        <v>1080</v>
      </c>
      <c r="J19" s="397">
        <f>+Revenue</f>
        <v>17197419.107930001</v>
      </c>
      <c r="K19" s="398"/>
      <c r="L19" s="396" t="s">
        <v>1081</v>
      </c>
      <c r="M19" s="399">
        <f ca="1">+J7</f>
        <v>777653.43246093392</v>
      </c>
      <c r="N19" s="26"/>
      <c r="O19" s="312"/>
      <c r="P19" s="312"/>
      <c r="Q19" s="321"/>
      <c r="R19" s="369">
        <v>4</v>
      </c>
      <c r="S19" s="358">
        <f ca="1">AI14/Investment*100</f>
        <v>1131.50085134706</v>
      </c>
      <c r="T19" s="375">
        <f ca="1">EXP(y_inter4-(slope*LN(S19)))</f>
        <v>2.4232533099813223</v>
      </c>
      <c r="U19" s="360">
        <f ca="1">(+S19*T19/100)/100</f>
        <v>0.27419131832734478</v>
      </c>
      <c r="V19" s="360">
        <f>regDebt_weighted</f>
        <v>3.5860000000000003E-2</v>
      </c>
      <c r="W19" s="360">
        <f ca="1">+U19-V19</f>
        <v>0.23833131832734478</v>
      </c>
      <c r="X19" s="360">
        <f ca="1">+((W19*(1-0.34))-Pfd_weighted)/Equity_percent</f>
        <v>0.43926938981409169</v>
      </c>
      <c r="Y19" s="360">
        <f ca="1">+X19*equityP</f>
        <v>0.26356163388845499</v>
      </c>
      <c r="Z19" s="360">
        <f ca="1">+Y19/(1-taxrate)</f>
        <v>0.33362232137779113</v>
      </c>
      <c r="AA19" s="360">
        <f>debtP*Debt_Rate</f>
        <v>1.5959999999999998E-2</v>
      </c>
      <c r="AB19" s="360">
        <f ca="1">+AA19+Z19</f>
        <v>0.34958232137779111</v>
      </c>
      <c r="AC19" s="360">
        <f ca="1">+AB19/(S19/100)</f>
        <v>3.089545367655807E-2</v>
      </c>
      <c r="AD19" s="360">
        <f ca="1">1-AC19</f>
        <v>0.9691045463234419</v>
      </c>
      <c r="AE19" s="361">
        <f ca="1">expenses/(AD19)</f>
        <v>17975173.695867002</v>
      </c>
      <c r="AF19" s="362">
        <f ca="1">+AE19-Revenue</f>
        <v>777754.58793700114</v>
      </c>
      <c r="AG19" s="363">
        <f ca="1">+AF19/$J$49</f>
        <v>819518.6706450429</v>
      </c>
      <c r="AH19" s="363">
        <f ca="1">+AG19*$J$47</f>
        <v>16472.325279965364</v>
      </c>
      <c r="AI19" s="361">
        <f t="shared" ca="1" si="8"/>
        <v>17991646.02115</v>
      </c>
      <c r="AJ19" s="26"/>
      <c r="AK19" s="26"/>
      <c r="AL19" s="26"/>
      <c r="AM19" s="26"/>
      <c r="AN19" s="26"/>
      <c r="AO19" s="26"/>
      <c r="AP19" s="26"/>
      <c r="AQ19" s="26"/>
      <c r="AR19" s="26"/>
      <c r="AS19" s="26"/>
      <c r="AT19" s="26"/>
    </row>
    <row r="20" spans="1:46" ht="15.75">
      <c r="A20" s="312"/>
      <c r="B20" s="400"/>
      <c r="C20" s="312"/>
      <c r="D20" s="312"/>
      <c r="E20" s="312"/>
      <c r="F20" s="365">
        <f t="shared" si="6"/>
        <v>20</v>
      </c>
      <c r="G20" s="326"/>
      <c r="H20" s="395"/>
      <c r="I20" s="396" t="s">
        <v>1082</v>
      </c>
      <c r="J20" s="397">
        <f ca="1">+J21-J19</f>
        <v>794123.6153351441</v>
      </c>
      <c r="K20" s="398"/>
      <c r="L20" s="396" t="s">
        <v>1083</v>
      </c>
      <c r="M20" s="399">
        <f ca="1">+L8</f>
        <v>16470.18287420983</v>
      </c>
      <c r="N20" s="26"/>
      <c r="O20" s="312"/>
      <c r="P20" s="312"/>
      <c r="Q20" s="321"/>
      <c r="R20" s="328" t="s">
        <v>1084</v>
      </c>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row>
    <row r="21" spans="1:46" ht="16.5" thickBot="1">
      <c r="A21" s="312"/>
      <c r="B21" s="400" t="s">
        <v>1085</v>
      </c>
      <c r="C21" s="312"/>
      <c r="D21" s="312"/>
      <c r="E21" s="312"/>
      <c r="F21" s="365">
        <f t="shared" si="6"/>
        <v>21</v>
      </c>
      <c r="G21" s="326"/>
      <c r="H21" s="395"/>
      <c r="I21" s="401" t="s">
        <v>0</v>
      </c>
      <c r="J21" s="402">
        <f ca="1">+M7</f>
        <v>17991542.723265145</v>
      </c>
      <c r="K21" s="403"/>
      <c r="L21" s="401" t="s">
        <v>1082</v>
      </c>
      <c r="M21" s="404">
        <f ca="1">+M19+M20</f>
        <v>794123.61533514375</v>
      </c>
      <c r="N21" s="26"/>
      <c r="O21" s="312"/>
      <c r="P21" s="312"/>
      <c r="Q21" s="321"/>
      <c r="R21" s="347">
        <v>1</v>
      </c>
      <c r="S21" s="348">
        <f ca="1">AI16/Investment*100</f>
        <v>1132.8239074732899</v>
      </c>
      <c r="T21" s="384">
        <f ca="1">EXP(y_inter1-(slope*LN(+S21)))</f>
        <v>2.4960563758195264</v>
      </c>
      <c r="U21" s="385">
        <f ca="1">(+S21*T21/100)/100</f>
        <v>0.28275923369294947</v>
      </c>
      <c r="V21" s="385">
        <f>regDebt_weighted</f>
        <v>3.5860000000000003E-2</v>
      </c>
      <c r="W21" s="385">
        <f ca="1">+U21-V21</f>
        <v>0.24689923369294947</v>
      </c>
      <c r="X21" s="385">
        <f ca="1">+((W21*(1-0.34))-Pfd_weighted)/Equity_percent</f>
        <v>0.45570783208530996</v>
      </c>
      <c r="Y21" s="385">
        <f ca="1">+X21*equityP</f>
        <v>0.27342469925118595</v>
      </c>
      <c r="Z21" s="385">
        <f ca="1">+Y21/(1-taxrate)</f>
        <v>0.34610721424200752</v>
      </c>
      <c r="AA21" s="385">
        <f>debtP*Debt_Rate</f>
        <v>1.5959999999999998E-2</v>
      </c>
      <c r="AB21" s="385">
        <f ca="1">+AA21+Z21</f>
        <v>0.3620672142420075</v>
      </c>
      <c r="AC21" s="385">
        <f ca="1">+AB21/(S21/100)</f>
        <v>3.1961473610632146E-2</v>
      </c>
      <c r="AD21" s="385">
        <f ca="1">1-AC21</f>
        <v>0.96803852638936783</v>
      </c>
      <c r="AE21" s="386">
        <f ca="1">expenses/(AD21)</f>
        <v>17994968.252546176</v>
      </c>
      <c r="AF21" s="352">
        <f ca="1">+AE21-Revenue</f>
        <v>797549.14461617544</v>
      </c>
      <c r="AG21" s="388">
        <f ca="1">+AF21/$J$49</f>
        <v>840376.16094767663</v>
      </c>
      <c r="AH21" s="388">
        <f ca="1">+AG21*$J$47</f>
        <v>16891.560835048302</v>
      </c>
      <c r="AI21" s="386">
        <f ca="1">ROUND(+AH21+AE21,5)</f>
        <v>18011859.813379999</v>
      </c>
      <c r="AJ21" s="26"/>
      <c r="AK21" s="26"/>
      <c r="AL21" s="26"/>
      <c r="AM21" s="26"/>
      <c r="AN21" s="26"/>
      <c r="AO21" s="26"/>
      <c r="AP21" s="26"/>
      <c r="AQ21" s="26"/>
      <c r="AR21" s="26"/>
      <c r="AS21" s="26"/>
      <c r="AT21" s="26"/>
    </row>
    <row r="22" spans="1:46" ht="16.5" thickTop="1">
      <c r="A22" s="312"/>
      <c r="B22" s="312" t="s">
        <v>1086</v>
      </c>
      <c r="C22" s="312"/>
      <c r="D22" s="312"/>
      <c r="E22" s="312"/>
      <c r="F22" s="365">
        <f t="shared" si="6"/>
        <v>22</v>
      </c>
      <c r="G22" s="326"/>
      <c r="H22" s="405"/>
      <c r="I22" s="406"/>
      <c r="J22" s="406"/>
      <c r="K22" s="406"/>
      <c r="L22" s="406"/>
      <c r="M22" s="407"/>
      <c r="N22" s="26"/>
      <c r="O22" s="312"/>
      <c r="P22" s="312"/>
      <c r="Q22" s="321"/>
      <c r="R22" s="357">
        <v>2</v>
      </c>
      <c r="S22" s="358">
        <f ca="1">AI17/Investment*100</f>
        <v>1132.2194663517143</v>
      </c>
      <c r="T22" s="372">
        <f ca="1">EXP(y_inter2-(slope*LN(+S22)))</f>
        <v>2.4614409242674493</v>
      </c>
      <c r="U22" s="360">
        <f ca="1">(+S22*T22/100)/100</f>
        <v>0.27868913297303621</v>
      </c>
      <c r="V22" s="360">
        <f>regDebt_weighted</f>
        <v>3.5860000000000003E-2</v>
      </c>
      <c r="W22" s="360">
        <f ca="1">+U22-V22</f>
        <v>0.24282913297303621</v>
      </c>
      <c r="X22" s="360">
        <f ca="1">+((W22*(1-0.34))-Pfd_weighted)/Equity_percent</f>
        <v>0.44789891791338338</v>
      </c>
      <c r="Y22" s="360">
        <f ca="1">+X22*equityP</f>
        <v>0.26873935074803001</v>
      </c>
      <c r="Z22" s="360">
        <f ca="1">+Y22/(1-taxrate)</f>
        <v>0.34017639335193672</v>
      </c>
      <c r="AA22" s="360">
        <f>debtP*Debt_Rate</f>
        <v>1.5959999999999998E-2</v>
      </c>
      <c r="AB22" s="360">
        <f ca="1">+AA22+Z22</f>
        <v>0.3561363933519367</v>
      </c>
      <c r="AC22" s="360">
        <f ca="1">+AB22/(S22/100)</f>
        <v>3.1454713855035059E-2</v>
      </c>
      <c r="AD22" s="360">
        <f ca="1">1-AC22</f>
        <v>0.96854528614496493</v>
      </c>
      <c r="AE22" s="361">
        <f ca="1">expenses/(AD22)</f>
        <v>17985552.971873105</v>
      </c>
      <c r="AF22" s="362">
        <f ca="1">+AE22-Revenue</f>
        <v>788133.8639431037</v>
      </c>
      <c r="AG22" s="363">
        <f ca="1">+AF22/$J$49</f>
        <v>830455.29590795701</v>
      </c>
      <c r="AH22" s="363">
        <f ca="1">+AG22*$J$47</f>
        <v>16692.151447749937</v>
      </c>
      <c r="AI22" s="361">
        <f t="shared" ref="AI22:AI24" ca="1" si="9">ROUND(+AH22+AE22,5)</f>
        <v>18002245.123319998</v>
      </c>
      <c r="AJ22" s="26"/>
      <c r="AK22" s="26"/>
      <c r="AL22" s="26"/>
      <c r="AM22" s="26"/>
      <c r="AN22" s="26"/>
      <c r="AO22" s="26"/>
      <c r="AP22" s="26"/>
      <c r="AQ22" s="26"/>
      <c r="AR22" s="26"/>
      <c r="AS22" s="26"/>
      <c r="AT22" s="26"/>
    </row>
    <row r="23" spans="1:46" ht="15.75">
      <c r="A23" s="312"/>
      <c r="B23" s="312" t="s">
        <v>1087</v>
      </c>
      <c r="C23" s="312"/>
      <c r="D23" s="312"/>
      <c r="E23" s="312"/>
      <c r="F23" s="365">
        <f t="shared" si="6"/>
        <v>23</v>
      </c>
      <c r="G23" s="26"/>
      <c r="H23" s="326"/>
      <c r="I23" s="326"/>
      <c r="J23" s="326"/>
      <c r="K23" s="326"/>
      <c r="L23" s="326"/>
      <c r="M23" s="326"/>
      <c r="N23" s="326"/>
      <c r="O23" s="312"/>
      <c r="P23" s="312"/>
      <c r="Q23" s="321"/>
      <c r="R23" s="366">
        <v>3</v>
      </c>
      <c r="S23" s="358">
        <f ca="1">AI18/Investment*100</f>
        <v>1131.8124002770749</v>
      </c>
      <c r="T23" s="359">
        <f ca="1">EXP(y_inter3-(slope*LN(S23)))</f>
        <v>2.4381090604506253</v>
      </c>
      <c r="U23" s="360">
        <f ca="1">(+S23*T23/100)/100</f>
        <v>0.27594820678459059</v>
      </c>
      <c r="V23" s="360">
        <f>regDebt_weighted</f>
        <v>3.5860000000000003E-2</v>
      </c>
      <c r="W23" s="360">
        <f ca="1">+U23-V23</f>
        <v>0.24008820678459059</v>
      </c>
      <c r="X23" s="360">
        <f ca="1">+((W23*(1-0.34))-Pfd_weighted)/Equity_percent</f>
        <v>0.44264016417973773</v>
      </c>
      <c r="Y23" s="360">
        <f ca="1">+X23*equityP</f>
        <v>0.26558409850784265</v>
      </c>
      <c r="Z23" s="360">
        <f ca="1">+Y23/(1-taxrate)</f>
        <v>0.33618240317448433</v>
      </c>
      <c r="AA23" s="360">
        <f>debtP*Debt_Rate</f>
        <v>1.5959999999999998E-2</v>
      </c>
      <c r="AB23" s="360">
        <f ca="1">+AA23+Z23</f>
        <v>0.35214240317448431</v>
      </c>
      <c r="AC23" s="360">
        <f ca="1">+AB23/(S23/100)</f>
        <v>3.1113142344815947E-2</v>
      </c>
      <c r="AD23" s="360">
        <f ca="1">1-AC23</f>
        <v>0.96888685765518401</v>
      </c>
      <c r="AE23" s="361">
        <f ca="1">expenses/(AD23)</f>
        <v>17979212.342477433</v>
      </c>
      <c r="AF23" s="362">
        <f ca="1">+AE23-Revenue</f>
        <v>781793.23454743251</v>
      </c>
      <c r="AG23" s="363">
        <f ca="1">+AF23/$J$49</f>
        <v>823774.18562717235</v>
      </c>
      <c r="AH23" s="363">
        <f ca="1">+AG23*$J$47</f>
        <v>16557.861131106165</v>
      </c>
      <c r="AI23" s="361">
        <f t="shared" ca="1" si="9"/>
        <v>17995770.203609999</v>
      </c>
      <c r="AJ23" s="26"/>
      <c r="AK23" s="26"/>
      <c r="AL23" s="26"/>
      <c r="AM23" s="26"/>
      <c r="AN23" s="26"/>
      <c r="AO23" s="26"/>
      <c r="AP23" s="26"/>
      <c r="AQ23" s="26"/>
      <c r="AR23" s="26"/>
      <c r="AS23" s="26"/>
      <c r="AT23" s="26"/>
    </row>
    <row r="24" spans="1:46" ht="15.75">
      <c r="A24" s="312"/>
      <c r="B24" s="312" t="s">
        <v>1088</v>
      </c>
      <c r="C24" s="312"/>
      <c r="D24" s="312"/>
      <c r="E24" s="312"/>
      <c r="F24" s="365">
        <f t="shared" si="6"/>
        <v>24</v>
      </c>
      <c r="G24" s="26"/>
      <c r="H24" s="408"/>
      <c r="I24" s="26"/>
      <c r="J24" s="409" t="s">
        <v>1089</v>
      </c>
      <c r="K24" s="410" t="s">
        <v>1090</v>
      </c>
      <c r="L24" s="410"/>
      <c r="M24" s="410"/>
      <c r="N24" s="410"/>
      <c r="O24" s="312"/>
      <c r="P24" s="312"/>
      <c r="Q24" s="321"/>
      <c r="R24" s="369">
        <v>4</v>
      </c>
      <c r="S24" s="358">
        <f ca="1">AI19/Investment*100</f>
        <v>1131.5520532081291</v>
      </c>
      <c r="T24" s="375">
        <f ca="1">EXP(y_inter4-(slope*LN(S24)))</f>
        <v>2.4231783447896325</v>
      </c>
      <c r="U24" s="360">
        <f ca="1">(+S24*T24/100)/100</f>
        <v>0.27419524313361843</v>
      </c>
      <c r="V24" s="360">
        <f>regDebt_weighted</f>
        <v>3.5860000000000003E-2</v>
      </c>
      <c r="W24" s="360">
        <f ca="1">+U24-V24</f>
        <v>0.23833524313361842</v>
      </c>
      <c r="X24" s="360">
        <f ca="1">+((W24*(1-0.34))-Pfd_weighted)/Equity_percent</f>
        <v>0.43927691996566326</v>
      </c>
      <c r="Y24" s="360">
        <f ca="1">+X24*equityP</f>
        <v>0.26356615197939792</v>
      </c>
      <c r="Z24" s="360">
        <f ca="1">+Y24/(1-taxrate)</f>
        <v>0.33362804048025052</v>
      </c>
      <c r="AA24" s="360">
        <f>debtP*Debt_Rate</f>
        <v>1.5959999999999998E-2</v>
      </c>
      <c r="AB24" s="360">
        <f ca="1">+AA24+Z24</f>
        <v>0.34958804048025049</v>
      </c>
      <c r="AC24" s="360">
        <f ca="1">+AB24/(S24/100)</f>
        <v>3.0894561102082146E-2</v>
      </c>
      <c r="AD24" s="360">
        <f ca="1">1-AC24</f>
        <v>0.96910543889791789</v>
      </c>
      <c r="AE24" s="361">
        <f ca="1">expenses/(AD24)</f>
        <v>17975157.140205879</v>
      </c>
      <c r="AF24" s="362">
        <f ca="1">+AE24-Revenue</f>
        <v>777738.03227587789</v>
      </c>
      <c r="AG24" s="363">
        <f ca="1">+AF24/$J$49</f>
        <v>819501.22597341286</v>
      </c>
      <c r="AH24" s="363">
        <f ca="1">+AG24*$J$47</f>
        <v>16471.974642065597</v>
      </c>
      <c r="AI24" s="361">
        <f t="shared" ca="1" si="9"/>
        <v>17991629.11485</v>
      </c>
      <c r="AJ24" s="26"/>
      <c r="AK24" s="26"/>
      <c r="AL24" s="26"/>
      <c r="AM24" s="26"/>
      <c r="AN24" s="26"/>
      <c r="AO24" s="26"/>
      <c r="AP24" s="26"/>
      <c r="AQ24" s="26"/>
      <c r="AR24" s="26"/>
      <c r="AS24" s="26"/>
      <c r="AT24" s="26"/>
    </row>
    <row r="25" spans="1:46" ht="15.75">
      <c r="A25" s="312"/>
      <c r="B25" s="312" t="s">
        <v>1091</v>
      </c>
      <c r="C25" s="312"/>
      <c r="D25" s="312"/>
      <c r="E25" s="312"/>
      <c r="F25" s="365">
        <f t="shared" si="6"/>
        <v>25</v>
      </c>
      <c r="G25" s="26"/>
      <c r="H25" s="411" t="s">
        <v>1092</v>
      </c>
      <c r="I25" s="412" t="s">
        <v>1093</v>
      </c>
      <c r="J25" s="413" t="s">
        <v>1094</v>
      </c>
      <c r="K25" s="411" t="s">
        <v>1095</v>
      </c>
      <c r="L25" s="413" t="s">
        <v>1096</v>
      </c>
      <c r="M25" s="413" t="s">
        <v>1094</v>
      </c>
      <c r="N25" s="26"/>
      <c r="O25" s="312"/>
      <c r="P25" s="312"/>
      <c r="Q25" s="321"/>
      <c r="R25" s="328" t="s">
        <v>1097</v>
      </c>
      <c r="S25" s="26"/>
      <c r="T25" s="26"/>
      <c r="U25" s="26"/>
      <c r="V25" s="26"/>
      <c r="W25" s="414"/>
      <c r="X25" s="30"/>
      <c r="Y25" s="415"/>
      <c r="Z25" s="415"/>
      <c r="AA25" s="30"/>
      <c r="AB25" s="26"/>
      <c r="AC25" s="30"/>
      <c r="AD25" s="30"/>
      <c r="AE25" s="415"/>
      <c r="AF25" s="414"/>
      <c r="AG25" s="26"/>
      <c r="AH25" s="26"/>
      <c r="AI25" s="26"/>
      <c r="AJ25" s="26"/>
      <c r="AK25" s="26"/>
      <c r="AL25" s="26"/>
      <c r="AM25" s="26"/>
      <c r="AN25" s="26"/>
      <c r="AO25" s="26"/>
      <c r="AP25" s="26"/>
      <c r="AQ25" s="26"/>
      <c r="AR25" s="26"/>
      <c r="AS25" s="26"/>
      <c r="AT25" s="26"/>
    </row>
    <row r="26" spans="1:46" ht="15.75">
      <c r="A26" s="312"/>
      <c r="B26" s="312"/>
      <c r="C26" s="312"/>
      <c r="D26" s="312"/>
      <c r="E26" s="312"/>
      <c r="F26" s="365">
        <f t="shared" si="6"/>
        <v>26</v>
      </c>
      <c r="G26" s="26"/>
      <c r="H26" s="355" t="s">
        <v>107</v>
      </c>
      <c r="I26" s="416">
        <f>1-I27</f>
        <v>0.6</v>
      </c>
      <c r="J26" s="417">
        <f>+I26*J28</f>
        <v>953998.32310714305</v>
      </c>
      <c r="K26" s="391">
        <f ca="1">+K34</f>
        <v>0.43878501859968944</v>
      </c>
      <c r="L26" s="416">
        <f ca="1">+K26*I26</f>
        <v>0.26327101115981366</v>
      </c>
      <c r="M26" s="356">
        <f ca="1">+J26*K26</f>
        <v>418600.17194864032</v>
      </c>
      <c r="N26" s="26"/>
      <c r="O26" s="312"/>
      <c r="P26" s="312"/>
      <c r="Q26" s="321"/>
      <c r="R26" s="347">
        <v>1</v>
      </c>
      <c r="S26" s="348">
        <f ca="1">AI21/Investment*100</f>
        <v>1132.8233631301946</v>
      </c>
      <c r="T26" s="384">
        <f ca="1">EXP(y_inter1-(slope*LN(+S26)))</f>
        <v>2.4960571958148985</v>
      </c>
      <c r="U26" s="385">
        <f ca="1">(+S26*T26/100)/100</f>
        <v>0.28275919071283562</v>
      </c>
      <c r="V26" s="385">
        <f>regDebt_weighted</f>
        <v>3.5860000000000003E-2</v>
      </c>
      <c r="W26" s="385">
        <f ca="1">+U26-V26</f>
        <v>0.24689919071283561</v>
      </c>
      <c r="X26" s="385">
        <f ca="1">+((W26*(1-0.34))-Pfd_weighted)/Equity_percent</f>
        <v>0.45570774962346366</v>
      </c>
      <c r="Y26" s="385">
        <f ca="1">+X26*equityP</f>
        <v>0.27342464977407821</v>
      </c>
      <c r="Z26" s="385">
        <f ca="1">+Y26/(1-taxrate)</f>
        <v>0.34610715161275724</v>
      </c>
      <c r="AA26" s="385">
        <f>debtP*Debt_Rate</f>
        <v>1.5959999999999998E-2</v>
      </c>
      <c r="AB26" s="385">
        <f ca="1">+AA26+Z26</f>
        <v>0.36206715161275721</v>
      </c>
      <c r="AC26" s="385">
        <f ca="1">+AB26/(S26/100)</f>
        <v>3.1961483440127905E-2</v>
      </c>
      <c r="AD26" s="385">
        <f ca="1">1-AC26</f>
        <v>0.96803851655987205</v>
      </c>
      <c r="AE26" s="386">
        <f ca="1">expenses/(AD26)</f>
        <v>17994968.435267694</v>
      </c>
      <c r="AF26" s="352">
        <f ca="1">+AE26-Revenue</f>
        <v>797549.32733769342</v>
      </c>
      <c r="AG26" s="388">
        <f ca="1">+AF26/$J$49</f>
        <v>840376.35348102567</v>
      </c>
      <c r="AH26" s="388">
        <f ca="1">+AG26*$J$47</f>
        <v>16891.564704968616</v>
      </c>
      <c r="AI26" s="386">
        <f ca="1">ROUND(+AH26+AE26,5)</f>
        <v>18011859.99997</v>
      </c>
      <c r="AJ26" s="26"/>
      <c r="AK26" s="26"/>
      <c r="AL26" s="26"/>
      <c r="AM26" s="26"/>
      <c r="AN26" s="26"/>
      <c r="AO26" s="26"/>
      <c r="AP26" s="26"/>
      <c r="AQ26" s="26"/>
      <c r="AR26" s="26"/>
      <c r="AS26" s="26"/>
      <c r="AT26" s="26"/>
    </row>
    <row r="27" spans="1:46" ht="15.75">
      <c r="A27" s="312"/>
      <c r="B27" s="312"/>
      <c r="C27" s="312"/>
      <c r="D27" s="312"/>
      <c r="E27" s="312"/>
      <c r="F27" s="365">
        <f t="shared" si="6"/>
        <v>27</v>
      </c>
      <c r="G27" s="26"/>
      <c r="H27" s="355" t="s">
        <v>1056</v>
      </c>
      <c r="I27" s="416">
        <f>IF(A65=TRUE,C8,0)</f>
        <v>0.4</v>
      </c>
      <c r="J27" s="418">
        <f>+I27*J28</f>
        <v>635998.88207142882</v>
      </c>
      <c r="K27" s="391">
        <f>IF(A65=TRUE,C9,0)</f>
        <v>3.9899999999999998E-2</v>
      </c>
      <c r="L27" s="416">
        <f>+K27*I27</f>
        <v>1.5959999999999998E-2</v>
      </c>
      <c r="M27" s="419">
        <f>+K27*J27</f>
        <v>25376.355394650007</v>
      </c>
      <c r="N27" s="26"/>
      <c r="O27" s="312"/>
      <c r="P27" s="312"/>
      <c r="Q27" s="321"/>
      <c r="R27" s="357">
        <v>2</v>
      </c>
      <c r="S27" s="358">
        <f ca="1">AI22/Investment*100</f>
        <v>1132.2186645792358</v>
      </c>
      <c r="T27" s="372">
        <f ca="1">EXP(y_inter2-(slope*LN(+S27)))</f>
        <v>2.4614421159394242</v>
      </c>
      <c r="U27" s="360">
        <f ca="1">(+S27*T27/100)/100</f>
        <v>0.2786890705448023</v>
      </c>
      <c r="V27" s="360">
        <f>regDebt_weighted</f>
        <v>3.5860000000000003E-2</v>
      </c>
      <c r="W27" s="360">
        <f ca="1">+U27-V27</f>
        <v>0.24282907054480229</v>
      </c>
      <c r="X27" s="360">
        <f ca="1">+((W27*(1-0.34))-Pfd_weighted)/Equity_percent</f>
        <v>0.44789879813828348</v>
      </c>
      <c r="Y27" s="360">
        <f ca="1">+X27*equityP</f>
        <v>0.26873927888297006</v>
      </c>
      <c r="Z27" s="360">
        <f ca="1">+Y27/(1-taxrate)</f>
        <v>0.34017630238350638</v>
      </c>
      <c r="AA27" s="360">
        <f>debtP*Debt_Rate</f>
        <v>1.5959999999999998E-2</v>
      </c>
      <c r="AB27" s="360">
        <f ca="1">+AA27+Z27</f>
        <v>0.35613630238350635</v>
      </c>
      <c r="AC27" s="360">
        <f ca="1">+AB27/(S27/100)</f>
        <v>3.1454728094935318E-2</v>
      </c>
      <c r="AD27" s="360">
        <f ca="1">1-AC27</f>
        <v>0.96854527190506468</v>
      </c>
      <c r="AE27" s="361">
        <f ca="1">expenses/(AD27)</f>
        <v>17985553.236303158</v>
      </c>
      <c r="AF27" s="362">
        <f ca="1">+AE27-Revenue</f>
        <v>788134.12837315723</v>
      </c>
      <c r="AG27" s="363">
        <f ca="1">+AF27/$J$49</f>
        <v>830455.57453744928</v>
      </c>
      <c r="AH27" s="363">
        <f ca="1">+AG27*$J$47</f>
        <v>16692.157048202731</v>
      </c>
      <c r="AI27" s="361">
        <f t="shared" ref="AI27:AI29" ca="1" si="10">ROUND(+AH27+AE27,5)</f>
        <v>18002245.393350001</v>
      </c>
      <c r="AJ27" s="26"/>
      <c r="AK27" s="26"/>
      <c r="AL27" s="26"/>
      <c r="AM27" s="26"/>
      <c r="AN27" s="26"/>
      <c r="AO27" s="26"/>
      <c r="AP27" s="26"/>
      <c r="AQ27" s="26"/>
      <c r="AR27" s="26"/>
      <c r="AS27" s="26"/>
      <c r="AT27" s="26"/>
    </row>
    <row r="28" spans="1:46" ht="16.5" thickBot="1">
      <c r="A28" s="312"/>
      <c r="B28" s="312"/>
      <c r="C28" s="312"/>
      <c r="D28" s="312"/>
      <c r="E28" s="312"/>
      <c r="F28" s="365">
        <f t="shared" si="6"/>
        <v>28</v>
      </c>
      <c r="G28" s="26"/>
      <c r="H28" s="355" t="s">
        <v>648</v>
      </c>
      <c r="I28" s="420">
        <f>SUM(I26:I27)</f>
        <v>1</v>
      </c>
      <c r="J28" s="421">
        <f>IF(A65=TRUE,C7,0)</f>
        <v>1589997.2051785719</v>
      </c>
      <c r="K28" s="422"/>
      <c r="L28" s="423">
        <f ca="1">SUM(L26:L27)</f>
        <v>0.27923101115981364</v>
      </c>
      <c r="M28" s="421">
        <f ca="1">SUM(M26:M27)</f>
        <v>443976.52734329033</v>
      </c>
      <c r="N28" s="26"/>
      <c r="O28" s="312"/>
      <c r="P28" s="312"/>
      <c r="Q28" s="321"/>
      <c r="R28" s="366">
        <v>3</v>
      </c>
      <c r="S28" s="358">
        <f ca="1">AI23/Investment*100</f>
        <v>1131.8114362087135</v>
      </c>
      <c r="T28" s="359">
        <f ca="1">EXP(y_inter3-(slope*LN(S28)))</f>
        <v>2.438110480270808</v>
      </c>
      <c r="U28" s="360">
        <f ca="1">(+S28*T28/100)/100</f>
        <v>0.27594813243108196</v>
      </c>
      <c r="V28" s="360">
        <f>regDebt_weighted</f>
        <v>3.5860000000000003E-2</v>
      </c>
      <c r="W28" s="360">
        <f ca="1">+U28-V28</f>
        <v>0.24008813243108196</v>
      </c>
      <c r="X28" s="360">
        <f ca="1">+((W28*(1-0.34))-Pfd_weighted)/Equity_percent</f>
        <v>0.44264002152475024</v>
      </c>
      <c r="Y28" s="360">
        <f ca="1">+X28*equityP</f>
        <v>0.26558401291485012</v>
      </c>
      <c r="Z28" s="360">
        <f ca="1">+Y28/(1-taxrate)</f>
        <v>0.3361822948289242</v>
      </c>
      <c r="AA28" s="360">
        <f>debtP*Debt_Rate</f>
        <v>1.5959999999999998E-2</v>
      </c>
      <c r="AB28" s="360">
        <f ca="1">+AA28+Z28</f>
        <v>0.35214229482892417</v>
      </c>
      <c r="AC28" s="360">
        <f ca="1">+AB28/(S28/100)</f>
        <v>3.1113159273996487E-2</v>
      </c>
      <c r="AD28" s="360">
        <f ca="1">1-AC28</f>
        <v>0.96888684072600351</v>
      </c>
      <c r="AE28" s="361">
        <f ca="1">expenses/(AD28)</f>
        <v>17979212.656624883</v>
      </c>
      <c r="AF28" s="362">
        <f ca="1">+AE28-Revenue</f>
        <v>781793.54869488254</v>
      </c>
      <c r="AG28" s="363">
        <f ca="1">+AF28/$J$49</f>
        <v>823774.51664379984</v>
      </c>
      <c r="AH28" s="363">
        <f ca="1">+AG28*$J$47</f>
        <v>16557.867784540376</v>
      </c>
      <c r="AI28" s="361">
        <f t="shared" ca="1" si="10"/>
        <v>17995770.524409998</v>
      </c>
      <c r="AJ28" s="26"/>
      <c r="AK28" s="26"/>
      <c r="AL28" s="26"/>
      <c r="AM28" s="26"/>
      <c r="AN28" s="26"/>
      <c r="AO28" s="26"/>
      <c r="AP28" s="26"/>
      <c r="AQ28" s="26"/>
      <c r="AR28" s="26"/>
      <c r="AS28" s="26"/>
      <c r="AT28" s="26"/>
    </row>
    <row r="29" spans="1:46" ht="16.5" thickTop="1">
      <c r="A29" s="312"/>
      <c r="B29" s="312"/>
      <c r="C29" s="312"/>
      <c r="D29" s="312"/>
      <c r="E29" s="312"/>
      <c r="F29" s="365">
        <f t="shared" si="6"/>
        <v>29</v>
      </c>
      <c r="G29" s="326"/>
      <c r="H29" s="326"/>
      <c r="I29" s="326"/>
      <c r="J29" s="326"/>
      <c r="K29" s="326"/>
      <c r="L29" s="326"/>
      <c r="M29" s="326"/>
      <c r="N29" s="326"/>
      <c r="O29" s="312"/>
      <c r="P29" s="312"/>
      <c r="Q29" s="321"/>
      <c r="R29" s="369">
        <v>4</v>
      </c>
      <c r="S29" s="358">
        <f ca="1">AI24/Investment*100</f>
        <v>1131.5509899169519</v>
      </c>
      <c r="T29" s="375">
        <f ca="1">EXP(y_inter4-(slope*LN(S29)))</f>
        <v>2.4231799015075342</v>
      </c>
      <c r="U29" s="360">
        <f ca="1">(+S29*T29/100)/100</f>
        <v>0.27419516162977126</v>
      </c>
      <c r="V29" s="360">
        <f>regDebt_weighted</f>
        <v>3.5860000000000003E-2</v>
      </c>
      <c r="W29" s="360">
        <f ca="1">+U29-V29</f>
        <v>0.23833516162977125</v>
      </c>
      <c r="X29" s="360">
        <f ca="1">+((W29*(1-0.34))-Pfd_weighted)/Equity_percent</f>
        <v>0.43927676359200296</v>
      </c>
      <c r="Y29" s="360">
        <f ca="1">+X29*equityP</f>
        <v>0.26356605815520179</v>
      </c>
      <c r="Z29" s="360">
        <f ca="1">+Y29/(1-taxrate)</f>
        <v>0.33362792171544531</v>
      </c>
      <c r="AA29" s="360">
        <f>debtP*Debt_Rate</f>
        <v>1.5959999999999998E-2</v>
      </c>
      <c r="AB29" s="360">
        <f ca="1">+AA29+Z29</f>
        <v>0.34958792171544528</v>
      </c>
      <c r="AC29" s="360">
        <f ca="1">+AB29/(S29/100)</f>
        <v>3.0894579637202439E-2</v>
      </c>
      <c r="AD29" s="360">
        <f ca="1">1-AC29</f>
        <v>0.96910542036279756</v>
      </c>
      <c r="AE29" s="361">
        <f ca="1">expenses/(AD29)</f>
        <v>17975157.483998921</v>
      </c>
      <c r="AF29" s="362">
        <f ca="1">+AE29-Revenue</f>
        <v>777738.3760689199</v>
      </c>
      <c r="AG29" s="363">
        <f ca="1">+AF29/$J$49</f>
        <v>819501.58822754945</v>
      </c>
      <c r="AH29" s="363">
        <f ca="1">+AG29*$J$47</f>
        <v>16471.981923373743</v>
      </c>
      <c r="AI29" s="361">
        <f t="shared" ca="1" si="10"/>
        <v>17991629.465920001</v>
      </c>
      <c r="AJ29" s="26"/>
      <c r="AK29" s="26"/>
      <c r="AL29" s="26"/>
      <c r="AM29" s="26"/>
      <c r="AN29" s="26"/>
      <c r="AO29" s="26"/>
      <c r="AP29" s="26"/>
      <c r="AQ29" s="26"/>
      <c r="AR29" s="26"/>
      <c r="AS29" s="26"/>
      <c r="AT29" s="26"/>
    </row>
    <row r="30" spans="1:46" ht="15.75">
      <c r="A30" s="312"/>
      <c r="B30" s="312"/>
      <c r="C30" s="312"/>
      <c r="D30" s="312"/>
      <c r="E30" s="312"/>
      <c r="F30" s="365">
        <f t="shared" si="6"/>
        <v>30</v>
      </c>
      <c r="G30" s="326"/>
      <c r="H30" s="326"/>
      <c r="I30" s="326"/>
      <c r="J30" s="424" t="s">
        <v>1098</v>
      </c>
      <c r="K30" s="424" t="s">
        <v>1099</v>
      </c>
      <c r="L30" s="326"/>
      <c r="M30" s="326"/>
      <c r="N30" s="326"/>
      <c r="O30" s="312"/>
      <c r="P30" s="312"/>
      <c r="Q30" s="321"/>
      <c r="R30" s="328" t="s">
        <v>1100</v>
      </c>
      <c r="S30" s="26"/>
      <c r="T30" s="26"/>
      <c r="U30" s="26"/>
      <c r="V30" s="26"/>
      <c r="W30" s="414"/>
      <c r="X30" s="30"/>
      <c r="Y30" s="415"/>
      <c r="Z30" s="415"/>
      <c r="AA30" s="30"/>
      <c r="AB30" s="26"/>
      <c r="AC30" s="30"/>
      <c r="AD30" s="30"/>
      <c r="AE30" s="415"/>
      <c r="AF30" s="414"/>
      <c r="AG30" s="26"/>
      <c r="AH30" s="415"/>
      <c r="AI30" s="26"/>
      <c r="AJ30" s="26"/>
      <c r="AK30" s="26"/>
      <c r="AL30" s="26"/>
      <c r="AM30" s="26"/>
      <c r="AN30" s="26"/>
      <c r="AO30" s="26"/>
      <c r="AP30" s="26"/>
      <c r="AQ30" s="26"/>
      <c r="AR30" s="26"/>
      <c r="AS30" s="26"/>
      <c r="AT30" s="26"/>
    </row>
    <row r="31" spans="1:46" ht="15.75">
      <c r="A31" s="312"/>
      <c r="B31" s="312"/>
      <c r="C31" s="312"/>
      <c r="D31" s="312"/>
      <c r="E31" s="312"/>
      <c r="F31" s="365">
        <f t="shared" si="6"/>
        <v>31</v>
      </c>
      <c r="G31" s="326"/>
      <c r="H31" s="425" t="s">
        <v>1101</v>
      </c>
      <c r="I31" s="426"/>
      <c r="J31" s="427" t="s">
        <v>1102</v>
      </c>
      <c r="K31" s="427" t="s">
        <v>1102</v>
      </c>
      <c r="L31" s="326"/>
      <c r="M31" s="326"/>
      <c r="N31" s="326"/>
      <c r="O31" s="312"/>
      <c r="P31" s="312"/>
      <c r="Q31" s="321"/>
      <c r="R31" s="347">
        <v>1</v>
      </c>
      <c r="S31" s="348">
        <f ca="1">AI26/Investment*100</f>
        <v>1132.8233748654357</v>
      </c>
      <c r="T31" s="384">
        <f ca="1">EXP(y_inter1-(slope*LN(+S31)))</f>
        <v>2.4960571781369905</v>
      </c>
      <c r="U31" s="385">
        <f ca="1">(+S31*T31/100)/100</f>
        <v>0.28275919163942409</v>
      </c>
      <c r="V31" s="385">
        <f>regDebt_weighted</f>
        <v>3.5860000000000003E-2</v>
      </c>
      <c r="W31" s="385">
        <f ca="1">+U31-V31</f>
        <v>0.24689919163942409</v>
      </c>
      <c r="X31" s="385">
        <f ca="1">+((W31*(1-0.34))-Pfd_weighted)/Equity_percent</f>
        <v>0.45570775140122066</v>
      </c>
      <c r="Y31" s="385">
        <f ca="1">+X31*equityP</f>
        <v>0.27342465084073236</v>
      </c>
      <c r="Z31" s="385">
        <f ca="1">+Y31/(1-taxrate)</f>
        <v>0.34610715296295236</v>
      </c>
      <c r="AA31" s="385">
        <f>debtP*Debt_Rate</f>
        <v>1.5959999999999998E-2</v>
      </c>
      <c r="AB31" s="385">
        <f ca="1">+AA31+Z31</f>
        <v>0.36206715296295233</v>
      </c>
      <c r="AC31" s="385">
        <f ca="1">+AB31/(S31/100)</f>
        <v>3.1961483228218263E-2</v>
      </c>
      <c r="AD31" s="385">
        <f ca="1">1-AC31</f>
        <v>0.96803851677178177</v>
      </c>
      <c r="AE31" s="386">
        <f ca="1">expenses/(AD31)</f>
        <v>17994968.431328479</v>
      </c>
      <c r="AF31" s="352">
        <f ca="1">+AE31-Revenue</f>
        <v>797549.32339847833</v>
      </c>
      <c r="AG31" s="388">
        <f ca="1">+AF31/$J$49</f>
        <v>840376.34933028149</v>
      </c>
      <c r="AH31" s="388">
        <f ca="1">+AG31*$J$47</f>
        <v>16891.564621538659</v>
      </c>
      <c r="AI31" s="386">
        <f ca="1">ROUND(+AH31+AE31,5)</f>
        <v>18011859.995949998</v>
      </c>
      <c r="AJ31" s="26"/>
      <c r="AK31" s="26"/>
      <c r="AL31" s="26"/>
      <c r="AM31" s="26"/>
      <c r="AN31" s="26"/>
      <c r="AO31" s="26"/>
      <c r="AP31" s="26"/>
      <c r="AQ31" s="26"/>
      <c r="AR31" s="26"/>
      <c r="AS31" s="26"/>
      <c r="AT31" s="26"/>
    </row>
    <row r="32" spans="1:46" ht="15.75">
      <c r="A32" s="312"/>
      <c r="B32" s="312"/>
      <c r="C32" s="312"/>
      <c r="D32" s="312"/>
      <c r="E32" s="312"/>
      <c r="F32" s="365">
        <f t="shared" si="6"/>
        <v>32</v>
      </c>
      <c r="G32" s="326"/>
      <c r="H32" s="338"/>
      <c r="I32" s="338"/>
      <c r="J32" s="338"/>
      <c r="K32" s="338"/>
      <c r="L32" s="326"/>
      <c r="M32" s="326"/>
      <c r="N32" s="326"/>
      <c r="O32" s="312"/>
      <c r="P32" s="312"/>
      <c r="Q32" s="321"/>
      <c r="R32" s="357">
        <v>2</v>
      </c>
      <c r="S32" s="358">
        <f ca="1">AI27/Investment*100</f>
        <v>1132.2186815622847</v>
      </c>
      <c r="T32" s="372">
        <f ca="1">EXP(y_inter2-(slope*LN(+S32)))</f>
        <v>2.4614420906975574</v>
      </c>
      <c r="U32" s="360">
        <f ca="1">(+S32*T32/100)/100</f>
        <v>0.2786890718671502</v>
      </c>
      <c r="V32" s="360">
        <f>regDebt_weighted</f>
        <v>3.5860000000000003E-2</v>
      </c>
      <c r="W32" s="360">
        <f ca="1">+U32-V32</f>
        <v>0.24282907186715019</v>
      </c>
      <c r="X32" s="360">
        <f ca="1">+((W32*(1-0.34))-Pfd_weighted)/Equity_percent</f>
        <v>0.44789880067534626</v>
      </c>
      <c r="Y32" s="360">
        <f ca="1">+X32*equityP</f>
        <v>0.26873928040520773</v>
      </c>
      <c r="Z32" s="360">
        <f ca="1">+Y32/(1-taxrate)</f>
        <v>0.34017630431038953</v>
      </c>
      <c r="AA32" s="360">
        <f>debtP*Debt_Rate</f>
        <v>1.5959999999999998E-2</v>
      </c>
      <c r="AB32" s="360">
        <f ca="1">+AA32+Z32</f>
        <v>0.35613630431038951</v>
      </c>
      <c r="AC32" s="360">
        <f ca="1">+AB32/(S32/100)</f>
        <v>3.1454727793307304E-2</v>
      </c>
      <c r="AD32" s="360">
        <f ca="1">1-AC32</f>
        <v>0.96854527220669273</v>
      </c>
      <c r="AE32" s="361">
        <f ca="1">expenses/(AD32)</f>
        <v>17985553.230702031</v>
      </c>
      <c r="AF32" s="362">
        <f ca="1">+AE32-Revenue</f>
        <v>788134.12277203053</v>
      </c>
      <c r="AG32" s="363">
        <f ca="1">+AF32/$J$49</f>
        <v>830455.56863555172</v>
      </c>
      <c r="AH32" s="363">
        <f ca="1">+AG32*$J$47</f>
        <v>16692.15692957459</v>
      </c>
      <c r="AI32" s="361">
        <f t="shared" ref="AI32:AI34" ca="1" si="11">ROUND(+AH32+AE32,5)</f>
        <v>18002245.387630001</v>
      </c>
      <c r="AJ32" s="26"/>
      <c r="AK32" s="26"/>
      <c r="AL32" s="26"/>
      <c r="AM32" s="26"/>
      <c r="AN32" s="26"/>
      <c r="AO32" s="26"/>
      <c r="AP32" s="26"/>
      <c r="AQ32" s="26"/>
      <c r="AR32" s="26"/>
      <c r="AS32" s="26"/>
      <c r="AT32" s="26"/>
    </row>
    <row r="33" spans="1:46" ht="15.75">
      <c r="A33" s="312"/>
      <c r="B33" s="312"/>
      <c r="C33" s="312"/>
      <c r="D33" s="312"/>
      <c r="E33" s="312"/>
      <c r="F33" s="365">
        <f t="shared" si="6"/>
        <v>33</v>
      </c>
      <c r="G33" s="326"/>
      <c r="H33" s="338" t="s">
        <v>1103</v>
      </c>
      <c r="I33" s="338"/>
      <c r="J33" s="428">
        <f ca="1">+K9/J28</f>
        <v>0.34921444450609324</v>
      </c>
      <c r="K33" s="428">
        <f ca="1">+(M14+M11)/J28</f>
        <v>0.27923101115981364</v>
      </c>
      <c r="L33" s="326"/>
      <c r="M33" s="326"/>
      <c r="N33" s="326"/>
      <c r="O33" s="312"/>
      <c r="P33" s="312"/>
      <c r="Q33" s="321"/>
      <c r="R33" s="366">
        <v>3</v>
      </c>
      <c r="S33" s="358">
        <f ca="1">AI28/Investment*100</f>
        <v>1131.8114563848494</v>
      </c>
      <c r="T33" s="359">
        <f ca="1">EXP(y_inter3-(slope*LN(S33)))</f>
        <v>2.4381104505566249</v>
      </c>
      <c r="U33" s="360">
        <f ca="1">(+S33*T33/100)/100</f>
        <v>0.2759481339871615</v>
      </c>
      <c r="V33" s="360">
        <f>regDebt_weighted</f>
        <v>3.5860000000000003E-2</v>
      </c>
      <c r="W33" s="360">
        <f ca="1">+U33-V33</f>
        <v>0.2400881339871615</v>
      </c>
      <c r="X33" s="360">
        <f ca="1">+((W33*(1-0.34))-Pfd_weighted)/Equity_percent</f>
        <v>0.4426400245102517</v>
      </c>
      <c r="Y33" s="360">
        <f ca="1">+X33*equityP</f>
        <v>0.26558401470615101</v>
      </c>
      <c r="Z33" s="360">
        <f ca="1">+Y33/(1-taxrate)</f>
        <v>0.33618229709639369</v>
      </c>
      <c r="AA33" s="360">
        <f>debtP*Debt_Rate</f>
        <v>1.5959999999999998E-2</v>
      </c>
      <c r="AB33" s="360">
        <f ca="1">+AA33+Z33</f>
        <v>0.35214229709639366</v>
      </c>
      <c r="AC33" s="360">
        <f ca="1">+AB33/(S33/100)</f>
        <v>3.1113158919700387E-2</v>
      </c>
      <c r="AD33" s="360">
        <f ca="1">1-AC33</f>
        <v>0.96888684108029965</v>
      </c>
      <c r="AE33" s="361">
        <f ca="1">expenses/(AD33)</f>
        <v>17979212.650050364</v>
      </c>
      <c r="AF33" s="362">
        <f ca="1">+AE33-Revenue</f>
        <v>781793.54212036356</v>
      </c>
      <c r="AG33" s="363">
        <f ca="1">+AF33/$J$49</f>
        <v>823774.50971624046</v>
      </c>
      <c r="AH33" s="363">
        <f ca="1">+AG33*$J$47</f>
        <v>16557.867645296432</v>
      </c>
      <c r="AI33" s="361">
        <f t="shared" ca="1" si="11"/>
        <v>17995770.517700002</v>
      </c>
      <c r="AJ33" s="26"/>
      <c r="AK33" s="26"/>
      <c r="AL33" s="26"/>
      <c r="AM33" s="26"/>
      <c r="AN33" s="26"/>
      <c r="AO33" s="26"/>
      <c r="AP33" s="26"/>
      <c r="AQ33" s="26"/>
      <c r="AR33" s="26"/>
      <c r="AS33" s="26"/>
      <c r="AT33" s="26"/>
    </row>
    <row r="34" spans="1:46" ht="15.75">
      <c r="A34" s="312"/>
      <c r="B34" s="312"/>
      <c r="C34" s="312"/>
      <c r="D34" s="312"/>
      <c r="E34" s="312"/>
      <c r="F34" s="365">
        <f t="shared" si="6"/>
        <v>34</v>
      </c>
      <c r="G34" s="326"/>
      <c r="H34" s="338" t="s">
        <v>1104</v>
      </c>
      <c r="I34" s="338"/>
      <c r="J34" s="428">
        <f ca="1">+(M9-M11)/J26</f>
        <v>0.55542407417682205</v>
      </c>
      <c r="K34" s="428">
        <f ca="1">+M14/J26</f>
        <v>0.43878501859968944</v>
      </c>
      <c r="L34" s="326"/>
      <c r="M34" s="326"/>
      <c r="N34" s="326"/>
      <c r="O34" s="429"/>
      <c r="P34" s="312"/>
      <c r="Q34" s="321"/>
      <c r="R34" s="369">
        <v>4</v>
      </c>
      <c r="S34" s="358">
        <f ca="1">AI29/Investment*100</f>
        <v>1131.5510119968651</v>
      </c>
      <c r="T34" s="375">
        <f ca="1">EXP(y_inter4-(slope*LN(S34)))</f>
        <v>2.4231798691812769</v>
      </c>
      <c r="U34" s="360">
        <f ca="1">(+S34*T34/100)/100</f>
        <v>0.27419516332225052</v>
      </c>
      <c r="V34" s="360">
        <f>regDebt_weighted</f>
        <v>3.5860000000000003E-2</v>
      </c>
      <c r="W34" s="360">
        <f ca="1">+U34-V34</f>
        <v>0.23833516332225052</v>
      </c>
      <c r="X34" s="360">
        <f ca="1">+((W34*(1-0.34))-Pfd_weighted)/Equity_percent</f>
        <v>0.43927676683920158</v>
      </c>
      <c r="Y34" s="360">
        <f ca="1">+X34*equityP</f>
        <v>0.26356606010352096</v>
      </c>
      <c r="Z34" s="360">
        <f ca="1">+Y34/(1-taxrate)</f>
        <v>0.33362792418167209</v>
      </c>
      <c r="AA34" s="360">
        <f>debtP*Debt_Rate</f>
        <v>1.5959999999999998E-2</v>
      </c>
      <c r="AB34" s="360">
        <f ca="1">+AA34+Z34</f>
        <v>0.34958792418167206</v>
      </c>
      <c r="AC34" s="360">
        <f ca="1">+AB34/(S34/100)</f>
        <v>3.0894579252308648E-2</v>
      </c>
      <c r="AD34" s="360">
        <f ca="1">1-AC34</f>
        <v>0.96910542074769135</v>
      </c>
      <c r="AE34" s="361">
        <f ca="1">expenses/(AD34)</f>
        <v>17975157.476859834</v>
      </c>
      <c r="AF34" s="362">
        <f ca="1">+AE34-Revenue</f>
        <v>777738.36892983317</v>
      </c>
      <c r="AG34" s="363">
        <f ca="1">+AF34/$J$49</f>
        <v>819501.58070510603</v>
      </c>
      <c r="AH34" s="363">
        <f ca="1">+AG34*$J$47</f>
        <v>16471.981772172632</v>
      </c>
      <c r="AI34" s="361">
        <f t="shared" ca="1" si="11"/>
        <v>17991629.458629999</v>
      </c>
      <c r="AJ34" s="26"/>
      <c r="AK34" s="26"/>
      <c r="AL34" s="26"/>
      <c r="AM34" s="26"/>
      <c r="AN34" s="26"/>
      <c r="AO34" s="26"/>
      <c r="AP34" s="26"/>
      <c r="AQ34" s="26"/>
      <c r="AR34" s="26"/>
      <c r="AS34" s="26"/>
      <c r="AT34" s="26"/>
    </row>
    <row r="35" spans="1:46" ht="15.75">
      <c r="A35" s="312"/>
      <c r="B35" s="312"/>
      <c r="C35" s="312"/>
      <c r="D35" s="312"/>
      <c r="E35" s="312"/>
      <c r="F35" s="365">
        <f t="shared" si="6"/>
        <v>35</v>
      </c>
      <c r="G35" s="326"/>
      <c r="H35" s="430" t="s">
        <v>478</v>
      </c>
      <c r="I35" s="338"/>
      <c r="J35" s="428">
        <f ca="1">+K8/K7</f>
        <v>0.96911000000000003</v>
      </c>
      <c r="K35" s="428">
        <f ca="1">+M8/M7</f>
        <v>0.96913827795019081</v>
      </c>
      <c r="L35" s="326"/>
      <c r="M35" s="326"/>
      <c r="N35" s="326"/>
      <c r="O35" s="312"/>
      <c r="P35" s="312"/>
      <c r="Q35" s="321"/>
      <c r="R35" s="328" t="s">
        <v>1105</v>
      </c>
      <c r="S35" s="26"/>
      <c r="T35" s="26"/>
      <c r="U35" s="26"/>
      <c r="V35" s="26"/>
      <c r="W35" s="26"/>
      <c r="X35" s="30"/>
      <c r="Y35" s="431"/>
      <c r="Z35" s="415"/>
      <c r="AA35" s="30"/>
      <c r="AB35" s="26"/>
      <c r="AC35" s="30"/>
      <c r="AD35" s="30"/>
      <c r="AE35" s="415"/>
      <c r="AF35" s="414"/>
      <c r="AG35" s="26"/>
      <c r="AH35" s="415"/>
      <c r="AI35" s="26"/>
      <c r="AJ35" s="26"/>
      <c r="AK35" s="26"/>
      <c r="AL35" s="26"/>
      <c r="AM35" s="26"/>
      <c r="AN35" s="26"/>
      <c r="AO35" s="26"/>
      <c r="AP35" s="26"/>
      <c r="AQ35" s="26"/>
      <c r="AR35" s="26"/>
      <c r="AS35" s="26"/>
      <c r="AT35" s="26"/>
    </row>
    <row r="36" spans="1:46" ht="15.75">
      <c r="A36" s="312"/>
      <c r="B36" s="312"/>
      <c r="C36" s="312"/>
      <c r="D36" s="312"/>
      <c r="E36" s="312"/>
      <c r="F36" s="365">
        <f t="shared" si="6"/>
        <v>36</v>
      </c>
      <c r="G36" s="326"/>
      <c r="H36" s="338" t="s">
        <v>1106</v>
      </c>
      <c r="I36" s="338"/>
      <c r="J36" s="428">
        <f ca="1">+K9/K7</f>
        <v>3.0889999999999987E-2</v>
      </c>
      <c r="K36" s="428">
        <f ca="1">+J36</f>
        <v>3.0889999999999987E-2</v>
      </c>
      <c r="L36" s="326"/>
      <c r="M36" s="326"/>
      <c r="N36" s="326"/>
      <c r="O36" s="312"/>
      <c r="P36" s="312"/>
      <c r="Q36" s="321"/>
      <c r="R36" s="347">
        <v>1</v>
      </c>
      <c r="S36" s="348">
        <f ca="1">AI31/Investment*100</f>
        <v>1132.8233746126048</v>
      </c>
      <c r="T36" s="384">
        <f ca="1">EXP(y_inter1-(slope*LN(+S36)))</f>
        <v>2.4960571785178525</v>
      </c>
      <c r="U36" s="385">
        <f ca="1">(+S36*T36/100)/100</f>
        <v>0.282759191619461</v>
      </c>
      <c r="V36" s="385">
        <f>regDebt_weighted</f>
        <v>3.5860000000000003E-2</v>
      </c>
      <c r="W36" s="385">
        <f ca="1">+U36-V36</f>
        <v>0.246899191619461</v>
      </c>
      <c r="X36" s="385">
        <f ca="1">+((W36*(1-0.34))-Pfd_weighted)/Equity_percent</f>
        <v>0.4557077513629193</v>
      </c>
      <c r="Y36" s="385">
        <f ca="1">+X36*equityP</f>
        <v>0.27342465081775158</v>
      </c>
      <c r="Z36" s="385">
        <f ca="1">+Y36/(1-taxrate)</f>
        <v>0.34610715293386274</v>
      </c>
      <c r="AA36" s="385">
        <f>debtP*Debt_Rate</f>
        <v>1.5959999999999998E-2</v>
      </c>
      <c r="AB36" s="385">
        <f ca="1">+AA36+Z36</f>
        <v>0.36206715293386271</v>
      </c>
      <c r="AC36" s="385">
        <f ca="1">+AB36/(S36/100)</f>
        <v>3.1961483232783749E-2</v>
      </c>
      <c r="AD36" s="385">
        <f ca="1">1-AC36</f>
        <v>0.96803851676721631</v>
      </c>
      <c r="AE36" s="386">
        <f ca="1">expenses/(AD36)</f>
        <v>17994968.431413349</v>
      </c>
      <c r="AF36" s="352">
        <f ca="1">+AE36-Revenue</f>
        <v>797549.32348334789</v>
      </c>
      <c r="AG36" s="388">
        <f ca="1">+AF36/$J$49</f>
        <v>840376.34941970836</v>
      </c>
      <c r="AH36" s="388">
        <f ca="1">+AG36*$J$47</f>
        <v>16891.564623336137</v>
      </c>
      <c r="AI36" s="386">
        <f ca="1">ROUND(+AH36+AE36,5)</f>
        <v>18011859.996040002</v>
      </c>
      <c r="AJ36" s="26"/>
      <c r="AK36" s="26"/>
      <c r="AL36" s="26"/>
      <c r="AM36" s="26"/>
      <c r="AN36" s="26"/>
      <c r="AO36" s="26"/>
      <c r="AP36" s="26"/>
      <c r="AQ36" s="26"/>
      <c r="AR36" s="26"/>
      <c r="AS36" s="26"/>
      <c r="AT36" s="26"/>
    </row>
    <row r="37" spans="1:46" ht="15.75">
      <c r="A37" s="312"/>
      <c r="B37" s="312"/>
      <c r="C37" s="312"/>
      <c r="D37" s="312"/>
      <c r="E37" s="312"/>
      <c r="F37" s="365">
        <f t="shared" si="6"/>
        <v>37</v>
      </c>
      <c r="G37" s="326"/>
      <c r="H37" s="338" t="s">
        <v>1107</v>
      </c>
      <c r="I37" s="432"/>
      <c r="J37" s="433">
        <f ca="1">+S39/100</f>
        <v>11.315510115383736</v>
      </c>
      <c r="K37" s="433">
        <f ca="1">+J37</f>
        <v>11.315510115383736</v>
      </c>
      <c r="L37" s="326"/>
      <c r="M37" s="326"/>
      <c r="N37" s="326"/>
      <c r="O37" s="312"/>
      <c r="P37" s="312"/>
      <c r="Q37" s="321"/>
      <c r="R37" s="357">
        <v>2</v>
      </c>
      <c r="S37" s="358">
        <f ca="1">AI32/Investment*100</f>
        <v>1132.2186812025357</v>
      </c>
      <c r="T37" s="372">
        <f ca="1">EXP(y_inter2-(slope*LN(+S37)))</f>
        <v>2.4614420912322514</v>
      </c>
      <c r="U37" s="360">
        <f ca="1">(+S37*T37/100)/100</f>
        <v>0.2786890718391391</v>
      </c>
      <c r="V37" s="360">
        <f>regDebt_weighted</f>
        <v>3.5860000000000003E-2</v>
      </c>
      <c r="W37" s="360">
        <f ca="1">+U37-V37</f>
        <v>0.2428290718391391</v>
      </c>
      <c r="X37" s="360">
        <f ca="1">+((W37*(1-0.34))-Pfd_weighted)/Equity_percent</f>
        <v>0.44789880062160403</v>
      </c>
      <c r="Y37" s="360">
        <f ca="1">+X37*equityP</f>
        <v>0.26873928037296241</v>
      </c>
      <c r="Z37" s="360">
        <f ca="1">+Y37/(1-taxrate)</f>
        <v>0.34017630426957263</v>
      </c>
      <c r="AA37" s="360">
        <f>debtP*Debt_Rate</f>
        <v>1.5959999999999998E-2</v>
      </c>
      <c r="AB37" s="360">
        <f ca="1">+AA37+Z37</f>
        <v>0.3561363042695726</v>
      </c>
      <c r="AC37" s="360">
        <f ca="1">+AB37/(S37/100)</f>
        <v>3.145472779969663E-2</v>
      </c>
      <c r="AD37" s="360">
        <f ca="1">1-AC37</f>
        <v>0.9685452722003034</v>
      </c>
      <c r="AE37" s="361">
        <f ca="1">expenses/(AD37)</f>
        <v>17985553.230820678</v>
      </c>
      <c r="AF37" s="362">
        <f ca="1">+AE37-Revenue</f>
        <v>788134.1228906773</v>
      </c>
      <c r="AG37" s="363">
        <f ca="1">+AF37/$J$49</f>
        <v>830455.56876056967</v>
      </c>
      <c r="AH37" s="363">
        <f ca="1">+AG37*$J$47</f>
        <v>16692.156932087451</v>
      </c>
      <c r="AI37" s="361">
        <f t="shared" ref="AI37:AI39" ca="1" si="12">ROUND(+AH37+AE37,5)</f>
        <v>18002245.38775</v>
      </c>
      <c r="AJ37" s="26"/>
      <c r="AK37" s="26"/>
      <c r="AL37" s="26"/>
      <c r="AM37" s="26"/>
      <c r="AN37" s="26"/>
      <c r="AO37" s="26"/>
      <c r="AP37" s="26"/>
      <c r="AQ37" s="26"/>
      <c r="AR37" s="26"/>
      <c r="AS37" s="26"/>
      <c r="AT37" s="26"/>
    </row>
    <row r="38" spans="1:46" ht="15.75">
      <c r="A38" s="312"/>
      <c r="B38" s="312"/>
      <c r="C38" s="312"/>
      <c r="D38" s="312"/>
      <c r="E38" s="312"/>
      <c r="F38" s="365">
        <f t="shared" si="6"/>
        <v>38</v>
      </c>
      <c r="G38" s="326"/>
      <c r="H38" s="338" t="s">
        <v>3</v>
      </c>
      <c r="I38" s="326"/>
      <c r="J38" s="428">
        <f>+C10</f>
        <v>0.21</v>
      </c>
      <c r="K38" s="428">
        <f>+J38</f>
        <v>0.21</v>
      </c>
      <c r="L38" s="326"/>
      <c r="M38" s="326"/>
      <c r="N38" s="326"/>
      <c r="O38" s="312"/>
      <c r="P38" s="312"/>
      <c r="Q38" s="434"/>
      <c r="R38" s="366">
        <v>3</v>
      </c>
      <c r="S38" s="358">
        <f ca="1">AI33/Investment*100</f>
        <v>1131.8114559628364</v>
      </c>
      <c r="T38" s="359">
        <f ca="1">EXP(y_inter3-(slope*LN(S38)))</f>
        <v>2.4381104511781384</v>
      </c>
      <c r="U38" s="360">
        <f ca="1">(+S38*T38/100)/100</f>
        <v>0.27594813395461365</v>
      </c>
      <c r="V38" s="360">
        <f>regDebt_weighted</f>
        <v>3.5860000000000003E-2</v>
      </c>
      <c r="W38" s="360">
        <f ca="1">+U38-V38</f>
        <v>0.24008813395461365</v>
      </c>
      <c r="X38" s="360">
        <f ca="1">+((W38*(1-0.34))-Pfd_weighted)/Equity_percent</f>
        <v>0.4426400244478052</v>
      </c>
      <c r="Y38" s="360">
        <f ca="1">+X38*equityP</f>
        <v>0.26558401466868309</v>
      </c>
      <c r="Z38" s="360">
        <f ca="1">+Y38/(1-taxrate)</f>
        <v>0.33618229704896591</v>
      </c>
      <c r="AA38" s="360">
        <f>debtP*Debt_Rate</f>
        <v>1.5959999999999998E-2</v>
      </c>
      <c r="AB38" s="360">
        <f ca="1">+AA38+Z38</f>
        <v>0.35214229704896588</v>
      </c>
      <c r="AC38" s="360">
        <f ca="1">+AB38/(S38/100)</f>
        <v>3.1113158927110973E-2</v>
      </c>
      <c r="AD38" s="360">
        <f ca="1">1-AC38</f>
        <v>0.96888684107288903</v>
      </c>
      <c r="AE38" s="361">
        <f ca="1">expenses/(AD38)</f>
        <v>17979212.65018788</v>
      </c>
      <c r="AF38" s="362">
        <f ca="1">+AE38-Revenue</f>
        <v>781793.54225787893</v>
      </c>
      <c r="AG38" s="363">
        <f ca="1">+AF38/$J$49</f>
        <v>823774.50986114016</v>
      </c>
      <c r="AH38" s="363">
        <f ca="1">+AG38*$J$47</f>
        <v>16557.867648208918</v>
      </c>
      <c r="AI38" s="361">
        <f t="shared" ca="1" si="12"/>
        <v>17995770.517840002</v>
      </c>
      <c r="AJ38" s="26"/>
      <c r="AK38" s="26"/>
      <c r="AL38" s="26"/>
      <c r="AM38" s="26"/>
      <c r="AN38" s="26"/>
      <c r="AO38" s="26"/>
      <c r="AP38" s="26"/>
      <c r="AQ38" s="26"/>
      <c r="AR38" s="26"/>
      <c r="AS38" s="26"/>
      <c r="AT38" s="26"/>
    </row>
    <row r="39" spans="1:46" ht="15.75">
      <c r="A39" s="312"/>
      <c r="B39" s="312"/>
      <c r="C39" s="312"/>
      <c r="D39" s="312"/>
      <c r="E39" s="312"/>
      <c r="F39" s="365">
        <f t="shared" si="6"/>
        <v>39</v>
      </c>
      <c r="G39" s="326"/>
      <c r="H39" s="326"/>
      <c r="I39" s="326"/>
      <c r="J39" s="326"/>
      <c r="K39" s="326"/>
      <c r="L39" s="326"/>
      <c r="M39" s="326"/>
      <c r="N39" s="326"/>
      <c r="O39" s="312"/>
      <c r="P39" s="312"/>
      <c r="Q39" s="321"/>
      <c r="R39" s="369">
        <v>4</v>
      </c>
      <c r="S39" s="358">
        <f ca="1">AI34/Investment*100</f>
        <v>1131.5510115383736</v>
      </c>
      <c r="T39" s="375">
        <f ca="1">EXP(y_inter4-(slope*LN(S39)))</f>
        <v>2.4231798698525355</v>
      </c>
      <c r="U39" s="360">
        <f ca="1">(+S39*T39/100)/100</f>
        <v>0.27419516328710608</v>
      </c>
      <c r="V39" s="360">
        <f>regDebt_weighted</f>
        <v>3.5860000000000003E-2</v>
      </c>
      <c r="W39" s="360">
        <f ca="1">+U39-V39</f>
        <v>0.23833516328710608</v>
      </c>
      <c r="X39" s="360">
        <f ca="1">+((W39*(1-0.34))-Pfd_weighted)/Equity_percent</f>
        <v>0.4392767667717733</v>
      </c>
      <c r="Y39" s="360">
        <f ca="1">+X39*equityP</f>
        <v>0.26356606006306399</v>
      </c>
      <c r="Z39" s="360">
        <f ca="1">+Y39/(1-taxrate)</f>
        <v>0.33362792413046072</v>
      </c>
      <c r="AA39" s="360">
        <f>debtP*Debt_Rate</f>
        <v>1.5959999999999998E-2</v>
      </c>
      <c r="AB39" s="360">
        <f ca="1">+AA39+Z39</f>
        <v>0.34958792413046069</v>
      </c>
      <c r="AC39" s="360">
        <f ca="1">+AB39/(S39/100)</f>
        <v>3.0894579260301012E-2</v>
      </c>
      <c r="AD39" s="360">
        <f ca="1">1-AC39</f>
        <v>0.96910542073969896</v>
      </c>
      <c r="AE39" s="361">
        <f ca="1">expenses/(AD39)</f>
        <v>17975157.477008078</v>
      </c>
      <c r="AF39" s="362">
        <f ca="1">+AE39-Revenue</f>
        <v>777738.36907807738</v>
      </c>
      <c r="AG39" s="363">
        <f ca="1">+AF39/$J$49</f>
        <v>819501.58086131071</v>
      </c>
      <c r="AH39" s="363">
        <f ca="1">+AG39*$J$47</f>
        <v>16471.981775312346</v>
      </c>
      <c r="AI39" s="361">
        <f t="shared" ca="1" si="12"/>
        <v>17991629.458780002</v>
      </c>
      <c r="AJ39" s="26"/>
      <c r="AK39" s="26"/>
      <c r="AL39" s="26"/>
      <c r="AM39" s="26"/>
      <c r="AN39" s="26"/>
      <c r="AO39" s="26"/>
      <c r="AP39" s="26"/>
      <c r="AQ39" s="26"/>
      <c r="AR39" s="26"/>
      <c r="AS39" s="26"/>
      <c r="AT39" s="26"/>
    </row>
    <row r="40" spans="1:46" ht="15.75">
      <c r="A40" s="312"/>
      <c r="B40" s="312"/>
      <c r="C40" s="312"/>
      <c r="D40" s="312"/>
      <c r="E40" s="312"/>
      <c r="F40" s="365">
        <f t="shared" si="6"/>
        <v>40</v>
      </c>
      <c r="G40" s="432"/>
      <c r="H40" s="326"/>
      <c r="I40" s="326"/>
      <c r="J40" s="326"/>
      <c r="K40" s="326"/>
      <c r="L40" s="326"/>
      <c r="M40" s="326"/>
      <c r="N40" s="326"/>
      <c r="O40" s="312"/>
      <c r="P40" s="312"/>
      <c r="Q40" s="321"/>
      <c r="R40" s="328"/>
      <c r="S40" s="26"/>
      <c r="T40" s="26"/>
      <c r="U40" s="26"/>
      <c r="V40" s="26"/>
      <c r="W40" s="26"/>
      <c r="X40" s="30"/>
      <c r="Y40" s="431"/>
      <c r="Z40" s="415"/>
      <c r="AA40" s="30"/>
      <c r="AB40" s="26"/>
      <c r="AC40" s="30"/>
      <c r="AD40" s="30"/>
      <c r="AE40" s="415"/>
      <c r="AF40" s="414"/>
      <c r="AG40" s="26"/>
      <c r="AH40" s="415"/>
      <c r="AI40" s="26"/>
      <c r="AJ40" s="26"/>
      <c r="AK40" s="26"/>
      <c r="AL40" s="26"/>
      <c r="AM40" s="26"/>
      <c r="AN40" s="26"/>
      <c r="AO40" s="26"/>
      <c r="AP40" s="26"/>
      <c r="AQ40" s="26"/>
      <c r="AR40" s="26"/>
      <c r="AS40" s="26"/>
      <c r="AT40" s="26"/>
    </row>
    <row r="41" spans="1:46" ht="15.75">
      <c r="A41" s="312"/>
      <c r="B41" s="312"/>
      <c r="C41" s="312"/>
      <c r="D41" s="312"/>
      <c r="E41" s="312"/>
      <c r="F41" s="365">
        <f t="shared" si="6"/>
        <v>41</v>
      </c>
      <c r="G41" s="326"/>
      <c r="H41" s="425" t="s">
        <v>1108</v>
      </c>
      <c r="I41" s="435"/>
      <c r="J41" s="326"/>
      <c r="K41" s="326"/>
      <c r="L41" s="326"/>
      <c r="M41" s="326"/>
      <c r="N41" s="326"/>
      <c r="O41" s="312"/>
      <c r="P41" s="312"/>
      <c r="Q41" s="321"/>
      <c r="R41" s="436" t="s">
        <v>1109</v>
      </c>
      <c r="S41" s="437"/>
      <c r="T41" s="438"/>
      <c r="U41" s="438"/>
      <c r="V41" s="439"/>
      <c r="W41" s="26"/>
      <c r="X41" s="440"/>
      <c r="Y41" s="431"/>
      <c r="Z41" s="415"/>
      <c r="AA41" s="30"/>
      <c r="AB41" s="26"/>
      <c r="AC41" s="30"/>
      <c r="AD41" s="30"/>
      <c r="AE41" s="415"/>
      <c r="AF41" s="414"/>
      <c r="AG41" s="26"/>
      <c r="AH41" s="415"/>
      <c r="AI41" s="26"/>
      <c r="AJ41" s="26"/>
      <c r="AK41" s="26"/>
      <c r="AL41" s="26"/>
      <c r="AM41" s="26"/>
      <c r="AN41" s="26"/>
      <c r="AO41" s="26"/>
      <c r="AP41" s="26"/>
      <c r="AQ41" s="26"/>
      <c r="AR41" s="26"/>
      <c r="AS41" s="26"/>
      <c r="AT41" s="26"/>
    </row>
    <row r="42" spans="1:46" ht="15.75">
      <c r="A42" s="312"/>
      <c r="B42" s="312"/>
      <c r="C42" s="312"/>
      <c r="D42" s="312"/>
      <c r="E42" s="312"/>
      <c r="F42" s="365">
        <f t="shared" si="6"/>
        <v>42</v>
      </c>
      <c r="G42" s="326"/>
      <c r="H42" s="326"/>
      <c r="I42" s="326"/>
      <c r="J42" s="441" t="s">
        <v>729</v>
      </c>
      <c r="K42" s="442" t="s">
        <v>1058</v>
      </c>
      <c r="L42" s="326"/>
      <c r="M42" s="326"/>
      <c r="N42" s="326"/>
      <c r="O42" s="312"/>
      <c r="P42" s="312"/>
      <c r="Q42" s="321"/>
      <c r="R42" s="443" t="s">
        <v>1110</v>
      </c>
      <c r="S42" s="444"/>
      <c r="T42" s="445"/>
      <c r="U42" s="445"/>
      <c r="V42" s="446"/>
      <c r="W42" s="26"/>
      <c r="X42" s="30"/>
      <c r="Y42" s="431"/>
      <c r="Z42" s="415"/>
      <c r="AA42" s="30"/>
      <c r="AB42" s="26"/>
      <c r="AC42" s="30"/>
      <c r="AD42" s="30"/>
      <c r="AE42" s="415"/>
      <c r="AF42" s="26"/>
      <c r="AG42" s="26"/>
      <c r="AH42" s="415"/>
      <c r="AI42" s="26"/>
      <c r="AJ42" s="26"/>
      <c r="AK42" s="26"/>
      <c r="AL42" s="26"/>
      <c r="AM42" s="26"/>
      <c r="AN42" s="26"/>
      <c r="AO42" s="26"/>
      <c r="AP42" s="26"/>
      <c r="AQ42" s="26"/>
      <c r="AR42" s="26"/>
      <c r="AS42" s="26"/>
      <c r="AT42" s="26"/>
    </row>
    <row r="43" spans="1:46" ht="15.75">
      <c r="A43" s="312"/>
      <c r="B43" s="312"/>
      <c r="C43" s="312"/>
      <c r="D43" s="312"/>
      <c r="E43" s="312"/>
      <c r="F43" s="365">
        <f t="shared" si="6"/>
        <v>43</v>
      </c>
      <c r="G43" s="326"/>
      <c r="H43" s="338" t="s">
        <v>4</v>
      </c>
      <c r="I43" s="447"/>
      <c r="J43" s="448">
        <f>IF($A$65=TRUE,C11,0)</f>
        <v>1.4999999999999999E-2</v>
      </c>
      <c r="K43" s="449">
        <f ca="1">+J43*($J$7/$J$49)</f>
        <v>12291.181249410283</v>
      </c>
      <c r="L43" s="326"/>
      <c r="M43" s="326"/>
      <c r="N43" s="326"/>
      <c r="O43" s="312"/>
      <c r="P43" s="312"/>
      <c r="Q43" s="321"/>
      <c r="R43" s="366">
        <v>0</v>
      </c>
      <c r="S43" s="450">
        <v>1</v>
      </c>
      <c r="T43" s="445"/>
      <c r="U43" s="451" t="s">
        <v>1106</v>
      </c>
      <c r="V43" s="452">
        <f ca="1">VLOOKUP(R49,R36:AE39,12)</f>
        <v>3.0894579260301012E-2</v>
      </c>
      <c r="W43" s="26"/>
      <c r="X43" s="26"/>
      <c r="Y43" s="26"/>
      <c r="Z43" s="26"/>
      <c r="AA43" s="30"/>
      <c r="AB43" s="26"/>
      <c r="AC43" s="30"/>
      <c r="AD43" s="26"/>
      <c r="AE43" s="26"/>
      <c r="AF43" s="26"/>
      <c r="AG43" s="26"/>
      <c r="AH43" s="415"/>
      <c r="AI43" s="26"/>
      <c r="AJ43" s="26"/>
      <c r="AK43" s="26"/>
      <c r="AL43" s="30"/>
      <c r="AM43" s="30"/>
      <c r="AN43" s="30"/>
      <c r="AO43" s="30"/>
      <c r="AP43" s="30"/>
      <c r="AQ43" s="30"/>
      <c r="AR43" s="30"/>
      <c r="AS43" s="30"/>
      <c r="AT43" s="30"/>
    </row>
    <row r="44" spans="1:46" ht="15.75">
      <c r="A44" s="312"/>
      <c r="B44" s="312"/>
      <c r="C44" s="312"/>
      <c r="D44" s="312"/>
      <c r="E44" s="312"/>
      <c r="F44" s="365">
        <f t="shared" si="6"/>
        <v>44</v>
      </c>
      <c r="G44" s="326"/>
      <c r="H44" s="338" t="s">
        <v>5</v>
      </c>
      <c r="I44" s="447"/>
      <c r="J44" s="448">
        <f t="shared" ref="J44:J46" si="13">IF($A$65=TRUE,C12,0)</f>
        <v>5.1000000000000004E-3</v>
      </c>
      <c r="K44" s="449">
        <f ca="1">+J44*($J$7/$J$49)</f>
        <v>4179.0016247994963</v>
      </c>
      <c r="L44" s="326"/>
      <c r="M44" s="326"/>
      <c r="N44" s="326"/>
      <c r="O44" s="312"/>
      <c r="P44" s="312"/>
      <c r="Q44" s="321"/>
      <c r="R44" s="366">
        <v>50</v>
      </c>
      <c r="S44" s="450">
        <v>2</v>
      </c>
      <c r="T44" s="445"/>
      <c r="U44" s="451" t="s">
        <v>478</v>
      </c>
      <c r="V44" s="452">
        <f ca="1">ROUND(1-V43,5)</f>
        <v>0.96911000000000003</v>
      </c>
      <c r="W44" s="26"/>
      <c r="X44" s="26"/>
      <c r="Y44" s="453"/>
      <c r="Z44" s="328"/>
      <c r="AA44" s="328"/>
      <c r="AB44" s="26"/>
      <c r="AC44" s="30"/>
      <c r="AD44" s="26"/>
      <c r="AE44" s="26"/>
      <c r="AF44" s="414"/>
      <c r="AG44" s="26"/>
      <c r="AH44" s="415"/>
      <c r="AI44" s="26"/>
      <c r="AJ44" s="26"/>
      <c r="AK44" s="26"/>
      <c r="AL44" s="30"/>
      <c r="AM44" s="30"/>
      <c r="AN44" s="30"/>
      <c r="AO44" s="30"/>
      <c r="AP44" s="30"/>
      <c r="AQ44" s="30"/>
      <c r="AR44" s="30"/>
      <c r="AS44" s="30"/>
      <c r="AT44" s="30"/>
    </row>
    <row r="45" spans="1:46" ht="15.75">
      <c r="A45" s="312"/>
      <c r="B45" s="312"/>
      <c r="C45" s="312"/>
      <c r="D45" s="312"/>
      <c r="E45" s="312"/>
      <c r="F45" s="365">
        <f t="shared" si="6"/>
        <v>45</v>
      </c>
      <c r="G45" s="326"/>
      <c r="H45" s="338" t="s">
        <v>6</v>
      </c>
      <c r="I45" s="447"/>
      <c r="J45" s="448">
        <f t="shared" si="13"/>
        <v>0</v>
      </c>
      <c r="K45" s="449">
        <f ca="1">+J45*($J$7/$J$49)</f>
        <v>0</v>
      </c>
      <c r="L45" s="326"/>
      <c r="M45" s="326"/>
      <c r="N45" s="326"/>
      <c r="O45" s="312"/>
      <c r="P45" s="312"/>
      <c r="Q45" s="321"/>
      <c r="R45" s="366">
        <v>125</v>
      </c>
      <c r="S45" s="450">
        <v>3</v>
      </c>
      <c r="T45" s="445"/>
      <c r="U45" s="454" t="s">
        <v>1111</v>
      </c>
      <c r="V45" s="455">
        <f ca="1">+M7/Revenue-1</f>
        <v>4.6176906566693043E-2</v>
      </c>
      <c r="W45" s="456"/>
      <c r="X45" s="30"/>
      <c r="Y45" s="453"/>
      <c r="Z45" s="415"/>
      <c r="AA45" s="30"/>
      <c r="AB45" s="26"/>
      <c r="AC45" s="30"/>
      <c r="AD45" s="30"/>
      <c r="AE45" s="415"/>
      <c r="AF45" s="414"/>
      <c r="AG45" s="26"/>
      <c r="AH45" s="415"/>
      <c r="AI45" s="26"/>
      <c r="AJ45" s="26"/>
      <c r="AK45" s="26"/>
      <c r="AL45" s="30"/>
      <c r="AM45" s="30"/>
      <c r="AN45" s="30"/>
      <c r="AO45" s="30"/>
      <c r="AP45" s="30"/>
      <c r="AQ45" s="30"/>
      <c r="AR45" s="30"/>
      <c r="AS45" s="30"/>
      <c r="AT45" s="30"/>
    </row>
    <row r="46" spans="1:46" ht="15.75">
      <c r="A46" s="312"/>
      <c r="B46" s="312"/>
      <c r="C46" s="312"/>
      <c r="D46" s="312"/>
      <c r="E46" s="312"/>
      <c r="F46" s="365">
        <f t="shared" si="6"/>
        <v>46</v>
      </c>
      <c r="G46" s="326"/>
      <c r="H46" s="338" t="s">
        <v>7</v>
      </c>
      <c r="I46" s="447"/>
      <c r="J46" s="448">
        <f t="shared" si="13"/>
        <v>0</v>
      </c>
      <c r="K46" s="449">
        <f ca="1">+J46*($J$7/$J$49)</f>
        <v>0</v>
      </c>
      <c r="L46" s="326"/>
      <c r="M46" s="326"/>
      <c r="N46" s="326"/>
      <c r="O46" s="312"/>
      <c r="P46" s="312"/>
      <c r="Q46" s="321"/>
      <c r="R46" s="369">
        <v>401</v>
      </c>
      <c r="S46" s="457">
        <v>4</v>
      </c>
      <c r="T46" s="458"/>
      <c r="U46" s="458"/>
      <c r="V46" s="459"/>
      <c r="W46" s="26"/>
      <c r="X46" s="30"/>
      <c r="Y46" s="431"/>
      <c r="Z46" s="415"/>
      <c r="AA46" s="30"/>
      <c r="AB46" s="26"/>
      <c r="AC46" s="30"/>
      <c r="AD46" s="30"/>
      <c r="AE46" s="415"/>
      <c r="AF46" s="414"/>
      <c r="AG46" s="26"/>
      <c r="AH46" s="415"/>
      <c r="AI46" s="26"/>
      <c r="AJ46" s="26"/>
      <c r="AK46" s="26"/>
      <c r="AL46" s="30"/>
      <c r="AM46" s="30"/>
      <c r="AN46" s="30"/>
      <c r="AO46" s="30"/>
      <c r="AP46" s="30"/>
      <c r="AQ46" s="30"/>
      <c r="AR46" s="30"/>
      <c r="AS46" s="30"/>
      <c r="AT46" s="30"/>
    </row>
    <row r="47" spans="1:46" ht="16.5" thickBot="1">
      <c r="A47" s="312"/>
      <c r="B47" s="312"/>
      <c r="C47" s="312"/>
      <c r="D47" s="312"/>
      <c r="E47" s="312"/>
      <c r="F47" s="365">
        <f t="shared" si="6"/>
        <v>47</v>
      </c>
      <c r="G47" s="326"/>
      <c r="H47" s="338" t="s">
        <v>8</v>
      </c>
      <c r="I47" s="432"/>
      <c r="J47" s="460">
        <f>SUM(J43:J46)</f>
        <v>2.01E-2</v>
      </c>
      <c r="K47" s="421">
        <f ca="1">+K43+K44+K45+K46</f>
        <v>16470.182874209779</v>
      </c>
      <c r="L47" s="326"/>
      <c r="M47" s="326"/>
      <c r="N47" s="326"/>
      <c r="O47" s="312"/>
      <c r="P47" s="312"/>
      <c r="Q47" s="321"/>
      <c r="R47" s="366"/>
      <c r="S47" s="461"/>
      <c r="T47" s="445"/>
      <c r="U47" s="445"/>
      <c r="V47" s="445"/>
      <c r="W47" s="26"/>
      <c r="X47" s="30"/>
      <c r="Y47" s="431"/>
      <c r="Z47" s="415"/>
      <c r="AA47" s="30"/>
      <c r="AB47" s="26"/>
      <c r="AC47" s="30"/>
      <c r="AD47" s="30"/>
      <c r="AE47" s="415"/>
      <c r="AF47" s="414"/>
      <c r="AG47" s="26"/>
      <c r="AH47" s="415"/>
      <c r="AI47" s="26"/>
      <c r="AJ47" s="26"/>
      <c r="AK47" s="26"/>
      <c r="AL47" s="30"/>
      <c r="AM47" s="30"/>
      <c r="AN47" s="30"/>
      <c r="AO47" s="30"/>
      <c r="AP47" s="30"/>
      <c r="AQ47" s="30"/>
      <c r="AR47" s="30"/>
      <c r="AS47" s="30"/>
      <c r="AT47" s="30"/>
    </row>
    <row r="48" spans="1:46" ht="16.5" thickTop="1">
      <c r="A48" s="312"/>
      <c r="B48" s="312"/>
      <c r="C48" s="312"/>
      <c r="D48" s="312"/>
      <c r="E48" s="312"/>
      <c r="F48" s="365">
        <f t="shared" si="6"/>
        <v>48</v>
      </c>
      <c r="G48" s="326"/>
      <c r="H48" s="338"/>
      <c r="I48" s="432"/>
      <c r="J48" s="462"/>
      <c r="K48" s="419"/>
      <c r="L48" s="326"/>
      <c r="M48" s="326"/>
      <c r="N48" s="326"/>
      <c r="O48" s="312"/>
      <c r="P48" s="312"/>
      <c r="Q48" s="321"/>
      <c r="R48" s="463">
        <f ca="1">VLOOKUP(R49,R36:S39,2)</f>
        <v>1131.5510115383736</v>
      </c>
      <c r="S48" s="464" t="s">
        <v>1112</v>
      </c>
      <c r="T48" s="439"/>
      <c r="U48" s="26"/>
      <c r="V48" s="438"/>
      <c r="W48" s="26"/>
      <c r="X48" s="26" t="s">
        <v>10</v>
      </c>
      <c r="Y48" s="26"/>
      <c r="Z48" s="26"/>
      <c r="AA48" s="26"/>
      <c r="AB48" s="26"/>
      <c r="AC48" s="30"/>
      <c r="AD48" s="26"/>
      <c r="AE48" s="26"/>
      <c r="AF48" s="414"/>
      <c r="AG48" s="26"/>
      <c r="AH48" s="415"/>
      <c r="AI48" s="26"/>
      <c r="AJ48" s="26"/>
      <c r="AK48" s="26"/>
      <c r="AL48" s="26"/>
      <c r="AM48" s="26"/>
      <c r="AN48" s="26"/>
      <c r="AO48" s="26"/>
      <c r="AP48" s="26"/>
      <c r="AQ48" s="26"/>
      <c r="AR48" s="26"/>
      <c r="AS48" s="26"/>
      <c r="AT48" s="26"/>
    </row>
    <row r="49" spans="1:46" ht="15.75">
      <c r="A49" s="312"/>
      <c r="B49" s="312"/>
      <c r="C49" s="312"/>
      <c r="D49" s="312"/>
      <c r="E49" s="312"/>
      <c r="F49" s="365">
        <f t="shared" si="6"/>
        <v>49</v>
      </c>
      <c r="G49" s="332"/>
      <c r="H49" s="465" t="s">
        <v>9</v>
      </c>
      <c r="I49" s="408"/>
      <c r="J49" s="466">
        <f ca="1">((K35)-J47)</f>
        <v>0.9490382779501908</v>
      </c>
      <c r="K49" s="408"/>
      <c r="L49" s="408"/>
      <c r="M49" s="408"/>
      <c r="N49" s="408"/>
      <c r="O49" s="312"/>
      <c r="P49" s="312"/>
      <c r="Q49" s="321"/>
      <c r="R49" s="467">
        <f ca="1">VLOOKUP(S36,R43:S46,2)</f>
        <v>4</v>
      </c>
      <c r="S49" s="468" t="s">
        <v>1113</v>
      </c>
      <c r="T49" s="446"/>
      <c r="U49" s="26"/>
      <c r="V49" s="26"/>
      <c r="W49" s="26"/>
      <c r="X49" s="26" t="s">
        <v>11</v>
      </c>
      <c r="Y49" s="26"/>
      <c r="Z49" s="26"/>
      <c r="AA49" s="328"/>
      <c r="AB49" s="26"/>
      <c r="AC49" s="30"/>
      <c r="AD49" s="26"/>
      <c r="AE49" s="26"/>
      <c r="AF49" s="26"/>
      <c r="AG49" s="26"/>
      <c r="AH49" s="415"/>
      <c r="AI49" s="26"/>
      <c r="AJ49" s="26"/>
      <c r="AK49" s="26"/>
      <c r="AL49" s="26"/>
      <c r="AM49" s="26"/>
      <c r="AN49" s="26"/>
      <c r="AO49" s="26"/>
      <c r="AP49" s="26"/>
      <c r="AQ49" s="26"/>
      <c r="AR49" s="26"/>
      <c r="AS49" s="26"/>
      <c r="AT49" s="26"/>
    </row>
    <row r="50" spans="1:46">
      <c r="A50" s="312"/>
      <c r="B50" s="312"/>
      <c r="C50" s="312"/>
      <c r="D50" s="312"/>
      <c r="E50" s="312"/>
      <c r="F50" s="312"/>
      <c r="G50" s="312"/>
      <c r="H50" s="312"/>
      <c r="I50" s="312"/>
      <c r="J50" s="312"/>
      <c r="K50" s="469"/>
      <c r="L50" s="312"/>
      <c r="M50" s="312"/>
      <c r="N50" s="470"/>
      <c r="O50" s="312"/>
      <c r="P50" s="312"/>
      <c r="Q50" s="321"/>
      <c r="R50" s="467"/>
      <c r="S50" s="454"/>
      <c r="T50" s="446"/>
      <c r="U50" s="26"/>
      <c r="V50" s="26"/>
      <c r="W50" s="26"/>
      <c r="X50" s="26" t="s">
        <v>12</v>
      </c>
      <c r="Y50" s="26"/>
      <c r="Z50" s="26"/>
      <c r="AA50" s="30"/>
      <c r="AB50" s="26"/>
      <c r="AC50" s="30"/>
      <c r="AD50" s="30"/>
      <c r="AE50" s="415"/>
      <c r="AF50" s="26"/>
      <c r="AG50" s="26"/>
      <c r="AH50" s="415"/>
      <c r="AI50" s="26"/>
      <c r="AJ50" s="26"/>
      <c r="AK50" s="26"/>
      <c r="AL50" s="26"/>
      <c r="AM50" s="26"/>
      <c r="AN50" s="26"/>
      <c r="AO50" s="26"/>
      <c r="AP50" s="26"/>
      <c r="AQ50" s="26"/>
      <c r="AR50" s="26"/>
      <c r="AS50" s="26"/>
      <c r="AT50" s="26"/>
    </row>
    <row r="51" spans="1:46">
      <c r="A51" s="312"/>
      <c r="B51" s="312"/>
      <c r="C51" s="312"/>
      <c r="D51" s="312"/>
      <c r="E51" s="312"/>
      <c r="F51" s="312"/>
      <c r="G51" s="312"/>
      <c r="H51" s="312"/>
      <c r="I51" s="312"/>
      <c r="J51" s="312"/>
      <c r="K51" s="469"/>
      <c r="L51" s="312"/>
      <c r="M51" s="312"/>
      <c r="N51" s="470"/>
      <c r="O51" s="312"/>
      <c r="P51" s="312"/>
      <c r="Q51" s="321"/>
      <c r="R51" s="471">
        <f ca="1">+V44</f>
        <v>0.96911000000000003</v>
      </c>
      <c r="S51" s="472" t="s">
        <v>478</v>
      </c>
      <c r="T51" s="473"/>
      <c r="U51" s="26"/>
      <c r="V51" s="26"/>
      <c r="W51" s="26"/>
      <c r="X51" s="26" t="s">
        <v>13</v>
      </c>
      <c r="Y51" s="26"/>
      <c r="Z51" s="26"/>
      <c r="AA51" s="30"/>
      <c r="AB51" s="26"/>
      <c r="AC51" s="30"/>
      <c r="AD51" s="30"/>
      <c r="AE51" s="415"/>
      <c r="AF51" s="30"/>
      <c r="AG51" s="26"/>
      <c r="AH51" s="415"/>
      <c r="AI51" s="26"/>
      <c r="AJ51" s="26"/>
      <c r="AK51" s="26"/>
      <c r="AL51" s="30"/>
      <c r="AM51" s="30"/>
      <c r="AN51" s="30"/>
      <c r="AO51" s="30"/>
      <c r="AP51" s="30"/>
      <c r="AQ51" s="30"/>
      <c r="AR51" s="30"/>
      <c r="AS51" s="30"/>
      <c r="AT51" s="30"/>
    </row>
    <row r="52" spans="1:46">
      <c r="A52" s="312"/>
      <c r="B52" s="312"/>
      <c r="C52" s="312"/>
      <c r="D52" s="312"/>
      <c r="E52" s="312"/>
      <c r="F52" s="312"/>
      <c r="G52" s="312"/>
      <c r="H52" s="312"/>
      <c r="I52" s="312"/>
      <c r="J52" s="312"/>
      <c r="K52" s="312"/>
      <c r="L52" s="312"/>
      <c r="M52" s="312"/>
      <c r="N52" s="312"/>
      <c r="O52" s="312"/>
      <c r="P52" s="312"/>
      <c r="Q52" s="321"/>
      <c r="R52" s="328"/>
      <c r="S52" s="26"/>
      <c r="T52" s="26"/>
      <c r="U52" s="26"/>
      <c r="V52" s="26"/>
      <c r="W52" s="26"/>
      <c r="X52" s="26"/>
      <c r="Y52" s="26"/>
      <c r="Z52" s="415"/>
      <c r="AA52" s="30"/>
      <c r="AB52" s="26"/>
      <c r="AC52" s="30"/>
      <c r="AD52" s="30"/>
      <c r="AE52" s="415"/>
      <c r="AF52" s="414"/>
      <c r="AG52" s="26"/>
      <c r="AH52" s="415"/>
      <c r="AI52" s="26"/>
      <c r="AJ52" s="26"/>
      <c r="AK52" s="26"/>
      <c r="AL52" s="30"/>
      <c r="AM52" s="30"/>
      <c r="AN52" s="30"/>
      <c r="AO52" s="30"/>
      <c r="AP52" s="30"/>
      <c r="AQ52" s="30"/>
      <c r="AR52" s="30"/>
      <c r="AS52" s="30"/>
      <c r="AT52" s="30"/>
    </row>
    <row r="53" spans="1:46">
      <c r="A53" s="312"/>
      <c r="B53" s="312"/>
      <c r="C53" s="312"/>
      <c r="D53" s="312"/>
      <c r="E53" s="312"/>
      <c r="F53" s="312"/>
      <c r="G53" s="312"/>
      <c r="H53" s="312"/>
      <c r="I53" s="312"/>
      <c r="J53" s="474"/>
      <c r="K53" s="474"/>
      <c r="L53" s="474"/>
      <c r="M53" s="474"/>
      <c r="N53" s="312"/>
      <c r="O53" s="312"/>
      <c r="P53" s="312"/>
      <c r="Q53" s="321"/>
      <c r="R53" s="26"/>
      <c r="S53" s="26"/>
      <c r="T53" s="26"/>
      <c r="U53" s="26"/>
      <c r="V53" s="26"/>
      <c r="W53" s="26"/>
      <c r="X53" s="26"/>
      <c r="Y53" s="26"/>
      <c r="Z53" s="415"/>
      <c r="AA53" s="30"/>
      <c r="AB53" s="26"/>
      <c r="AC53" s="30"/>
      <c r="AD53" s="30"/>
      <c r="AE53" s="415"/>
      <c r="AF53" s="414"/>
      <c r="AG53" s="26"/>
      <c r="AH53" s="415"/>
      <c r="AI53" s="26"/>
      <c r="AJ53" s="26"/>
      <c r="AK53" s="26"/>
      <c r="AL53" s="30"/>
      <c r="AM53" s="30"/>
      <c r="AN53" s="30"/>
      <c r="AO53" s="30"/>
      <c r="AP53" s="30"/>
      <c r="AQ53" s="30"/>
      <c r="AR53" s="30"/>
      <c r="AS53" s="30"/>
      <c r="AT53" s="30"/>
    </row>
    <row r="54" spans="1:46" ht="15.75">
      <c r="A54" s="312"/>
      <c r="B54" s="312"/>
      <c r="C54" s="312"/>
      <c r="D54" s="312"/>
      <c r="E54" s="312"/>
      <c r="F54" s="312"/>
      <c r="G54" s="312"/>
      <c r="H54" s="312"/>
      <c r="I54" s="312"/>
      <c r="J54" s="312"/>
      <c r="K54" s="474"/>
      <c r="L54" s="474"/>
      <c r="M54" s="474"/>
      <c r="N54" s="312"/>
      <c r="O54" s="312"/>
      <c r="P54" s="312"/>
      <c r="Q54" s="321"/>
      <c r="R54" s="26"/>
      <c r="S54" s="26" t="s">
        <v>1114</v>
      </c>
      <c r="T54" s="30"/>
      <c r="U54" s="475"/>
      <c r="V54" s="26"/>
      <c r="W54" s="476" t="s">
        <v>1115</v>
      </c>
      <c r="X54" s="477"/>
      <c r="Y54" s="477"/>
      <c r="Z54" s="477"/>
      <c r="AA54" s="26"/>
      <c r="AB54" s="26"/>
      <c r="AC54" s="30"/>
      <c r="AD54" s="26"/>
      <c r="AE54" s="26"/>
      <c r="AF54" s="414"/>
      <c r="AG54" s="26"/>
      <c r="AH54" s="415"/>
      <c r="AI54" s="26"/>
      <c r="AJ54" s="26"/>
      <c r="AK54" s="26"/>
      <c r="AL54" s="30"/>
      <c r="AM54" s="30"/>
      <c r="AN54" s="30"/>
      <c r="AO54" s="30"/>
      <c r="AP54" s="30"/>
      <c r="AQ54" s="30"/>
      <c r="AR54" s="30"/>
      <c r="AS54" s="30"/>
      <c r="AT54" s="30"/>
    </row>
    <row r="55" spans="1:46">
      <c r="A55" s="312"/>
      <c r="B55" s="312"/>
      <c r="C55" s="312"/>
      <c r="D55" s="312"/>
      <c r="E55" s="312"/>
      <c r="F55" s="312"/>
      <c r="G55" s="312"/>
      <c r="H55" s="312"/>
      <c r="I55" s="312"/>
      <c r="J55" s="312"/>
      <c r="K55" s="312"/>
      <c r="L55" s="478"/>
      <c r="M55" s="478"/>
      <c r="N55" s="312"/>
      <c r="O55" s="312"/>
      <c r="P55" s="312"/>
      <c r="Q55" s="321"/>
      <c r="R55" s="479"/>
      <c r="S55" s="480" t="s">
        <v>1093</v>
      </c>
      <c r="T55" s="480" t="s">
        <v>1116</v>
      </c>
      <c r="U55" s="481" t="s">
        <v>1096</v>
      </c>
      <c r="V55" s="26"/>
      <c r="W55" s="482" t="s">
        <v>1117</v>
      </c>
      <c r="X55" s="483">
        <v>5.7225999999999999</v>
      </c>
      <c r="Y55" s="484" t="s">
        <v>1118</v>
      </c>
      <c r="Z55" s="485">
        <v>5.6985000000000001</v>
      </c>
      <c r="AA55" s="328"/>
      <c r="AB55" s="26"/>
      <c r="AC55" s="30"/>
      <c r="AD55" s="26"/>
      <c r="AE55" s="26"/>
      <c r="AF55" s="26"/>
      <c r="AG55" s="26"/>
      <c r="AH55" s="415"/>
      <c r="AI55" s="26"/>
      <c r="AJ55" s="26"/>
      <c r="AK55" s="26"/>
      <c r="AL55" s="26"/>
      <c r="AM55" s="26"/>
      <c r="AN55" s="26"/>
      <c r="AO55" s="26"/>
      <c r="AP55" s="26"/>
      <c r="AQ55" s="26"/>
      <c r="AR55" s="26"/>
      <c r="AS55" s="26"/>
      <c r="AT55" s="26"/>
    </row>
    <row r="56" spans="1:46">
      <c r="A56" s="312"/>
      <c r="B56" s="312"/>
      <c r="C56" s="312"/>
      <c r="D56" s="312"/>
      <c r="E56" s="312"/>
      <c r="F56" s="312"/>
      <c r="G56" s="312"/>
      <c r="H56" s="312"/>
      <c r="I56" s="312"/>
      <c r="J56" s="478"/>
      <c r="K56" s="312"/>
      <c r="L56" s="478"/>
      <c r="M56" s="478"/>
      <c r="N56" s="312"/>
      <c r="O56" s="312"/>
      <c r="P56" s="312"/>
      <c r="Q56" s="321"/>
      <c r="R56" s="321" t="s">
        <v>1056</v>
      </c>
      <c r="S56" s="486">
        <v>0.56200000000000006</v>
      </c>
      <c r="T56" s="486">
        <v>6.3799999999999996E-2</v>
      </c>
      <c r="U56" s="452">
        <f>ROUND(+S56*T56,5)</f>
        <v>3.5860000000000003E-2</v>
      </c>
      <c r="V56" s="26"/>
      <c r="W56" s="487" t="s">
        <v>1119</v>
      </c>
      <c r="X56" s="488">
        <v>5.7082699999999997</v>
      </c>
      <c r="Y56" s="489" t="s">
        <v>1120</v>
      </c>
      <c r="Z56" s="490">
        <v>5.6921999999999997</v>
      </c>
      <c r="AA56" s="30"/>
      <c r="AB56" s="26"/>
      <c r="AC56" s="30"/>
      <c r="AD56" s="30"/>
      <c r="AE56" s="415"/>
      <c r="AF56" s="26"/>
      <c r="AG56" s="26"/>
      <c r="AH56" s="415"/>
      <c r="AI56" s="26"/>
      <c r="AJ56" s="26"/>
      <c r="AK56" s="26"/>
      <c r="AL56" s="26"/>
      <c r="AM56" s="26"/>
      <c r="AN56" s="26"/>
      <c r="AO56" s="26"/>
      <c r="AP56" s="26"/>
      <c r="AQ56" s="26"/>
      <c r="AR56" s="26"/>
      <c r="AS56" s="26"/>
      <c r="AT56" s="26"/>
    </row>
    <row r="57" spans="1:46">
      <c r="A57" s="312"/>
      <c r="B57" s="312"/>
      <c r="C57" s="312"/>
      <c r="D57" s="312"/>
      <c r="E57" s="474"/>
      <c r="F57" s="312"/>
      <c r="G57" s="312"/>
      <c r="H57" s="312"/>
      <c r="I57" s="312"/>
      <c r="J57" s="478"/>
      <c r="K57" s="312"/>
      <c r="L57" s="478"/>
      <c r="M57" s="478"/>
      <c r="N57" s="312"/>
      <c r="O57" s="312"/>
      <c r="P57" s="312"/>
      <c r="Q57" s="321"/>
      <c r="R57" s="321" t="s">
        <v>1121</v>
      </c>
      <c r="S57" s="486">
        <v>9.4E-2</v>
      </c>
      <c r="T57" s="486">
        <v>6.59E-2</v>
      </c>
      <c r="U57" s="452">
        <f>ROUND(+S57*T57,5)</f>
        <v>6.1900000000000002E-3</v>
      </c>
      <c r="V57" s="26"/>
      <c r="W57" s="321"/>
      <c r="X57" s="445"/>
      <c r="Y57" s="491"/>
      <c r="Z57" s="492"/>
      <c r="AA57" s="30"/>
      <c r="AB57" s="26"/>
      <c r="AC57" s="30"/>
      <c r="AD57" s="30"/>
      <c r="AE57" s="415"/>
      <c r="AF57" s="414"/>
      <c r="AG57" s="26"/>
      <c r="AH57" s="415"/>
      <c r="AI57" s="26"/>
      <c r="AJ57" s="26"/>
      <c r="AK57" s="26"/>
      <c r="AL57" s="30"/>
      <c r="AM57" s="26"/>
      <c r="AN57" s="26"/>
      <c r="AO57" s="26"/>
      <c r="AP57" s="26"/>
      <c r="AQ57" s="26"/>
      <c r="AR57" s="26"/>
      <c r="AS57" s="26"/>
      <c r="AT57" s="26"/>
    </row>
    <row r="58" spans="1:46" ht="15.75">
      <c r="A58" s="312"/>
      <c r="B58" s="312"/>
      <c r="C58" s="312"/>
      <c r="D58" s="312"/>
      <c r="E58" s="474"/>
      <c r="F58" s="474"/>
      <c r="G58" s="474"/>
      <c r="H58" s="493"/>
      <c r="I58" s="474"/>
      <c r="J58" s="478"/>
      <c r="K58" s="312"/>
      <c r="L58" s="312"/>
      <c r="M58" s="312"/>
      <c r="N58" s="312"/>
      <c r="O58" s="312"/>
      <c r="P58" s="312"/>
      <c r="Q58" s="321"/>
      <c r="R58" s="321" t="s">
        <v>107</v>
      </c>
      <c r="S58" s="494">
        <v>0.34399999999999997</v>
      </c>
      <c r="T58" s="495"/>
      <c r="U58" s="496"/>
      <c r="V58" s="26"/>
      <c r="W58" s="497"/>
      <c r="X58" s="498" t="s">
        <v>1122</v>
      </c>
      <c r="Y58" s="499">
        <v>0.68367</v>
      </c>
      <c r="Z58" s="500"/>
      <c r="AA58" s="30"/>
      <c r="AB58" s="26"/>
      <c r="AC58" s="30"/>
      <c r="AD58" s="30"/>
      <c r="AE58" s="415"/>
      <c r="AF58" s="414"/>
      <c r="AG58" s="26"/>
      <c r="AH58" s="415"/>
      <c r="AI58" s="26"/>
      <c r="AJ58" s="26"/>
      <c r="AK58" s="26"/>
      <c r="AL58" s="26"/>
      <c r="AM58" s="26"/>
      <c r="AN58" s="26"/>
      <c r="AO58" s="26"/>
      <c r="AP58" s="26"/>
      <c r="AQ58" s="26"/>
      <c r="AR58" s="26"/>
      <c r="AS58" s="26"/>
      <c r="AT58" s="26"/>
    </row>
    <row r="59" spans="1:46" ht="15.75">
      <c r="A59" s="312"/>
      <c r="B59" s="312"/>
      <c r="C59" s="312"/>
      <c r="D59" s="312"/>
      <c r="E59" s="312"/>
      <c r="F59" s="312"/>
      <c r="G59" s="312"/>
      <c r="H59" s="312"/>
      <c r="I59" s="312"/>
      <c r="J59" s="312"/>
      <c r="K59" s="312"/>
      <c r="L59" s="312"/>
      <c r="M59" s="312"/>
      <c r="N59" s="312"/>
      <c r="O59" s="312"/>
      <c r="P59" s="312"/>
      <c r="Q59" s="321"/>
      <c r="R59" s="497"/>
      <c r="S59" s="494">
        <f>SUM(S56:S58)</f>
        <v>1</v>
      </c>
      <c r="T59" s="501"/>
      <c r="U59" s="502"/>
      <c r="V59" s="26"/>
      <c r="W59" s="26"/>
      <c r="X59" s="30"/>
      <c r="Y59" s="431"/>
      <c r="Z59" s="415"/>
      <c r="AA59" s="30"/>
      <c r="AB59" s="26"/>
      <c r="AC59" s="30"/>
      <c r="AD59" s="30"/>
      <c r="AE59" s="415"/>
      <c r="AF59" s="414"/>
      <c r="AG59" s="26"/>
      <c r="AH59" s="415"/>
      <c r="AI59" s="26"/>
      <c r="AJ59" s="26"/>
      <c r="AK59" s="26"/>
      <c r="AL59" s="26"/>
      <c r="AM59" s="26"/>
      <c r="AN59" s="26"/>
      <c r="AO59" s="26"/>
      <c r="AP59" s="26"/>
      <c r="AQ59" s="26"/>
      <c r="AR59" s="26"/>
      <c r="AS59" s="26"/>
      <c r="AT59" s="26"/>
    </row>
    <row r="60" spans="1:46">
      <c r="A60" s="312"/>
      <c r="B60" s="312"/>
      <c r="C60" s="312"/>
      <c r="D60" s="312"/>
      <c r="E60" s="312"/>
      <c r="F60" s="312"/>
      <c r="G60" s="312"/>
      <c r="H60" s="312"/>
      <c r="I60" s="312"/>
      <c r="J60" s="312"/>
      <c r="K60" s="312"/>
      <c r="L60" s="312"/>
      <c r="M60" s="312"/>
      <c r="N60" s="312"/>
      <c r="O60" s="312"/>
      <c r="P60" s="312"/>
      <c r="Q60" s="321"/>
      <c r="R60" s="328"/>
      <c r="S60" s="26"/>
      <c r="T60" s="26"/>
      <c r="U60" s="26"/>
      <c r="V60" s="26"/>
      <c r="W60" s="26"/>
      <c r="X60" s="503"/>
      <c r="Y60" s="26"/>
      <c r="Z60" s="26"/>
      <c r="AA60" s="26"/>
      <c r="AB60" s="26"/>
      <c r="AC60" s="30"/>
      <c r="AD60" s="26"/>
      <c r="AE60" s="26"/>
      <c r="AF60" s="414"/>
      <c r="AG60" s="26"/>
      <c r="AH60" s="415"/>
      <c r="AI60" s="26"/>
      <c r="AJ60" s="26"/>
      <c r="AK60" s="26"/>
      <c r="AL60" s="414"/>
      <c r="AM60" s="414"/>
      <c r="AN60" s="414"/>
      <c r="AO60" s="414"/>
      <c r="AP60" s="414"/>
      <c r="AQ60" s="414"/>
      <c r="AR60" s="414"/>
      <c r="AS60" s="414"/>
      <c r="AT60" s="414"/>
    </row>
    <row r="61" spans="1:46">
      <c r="A61" s="312"/>
      <c r="B61" s="312"/>
      <c r="C61" s="312"/>
      <c r="D61" s="312"/>
      <c r="E61" s="474"/>
      <c r="F61" s="312"/>
      <c r="G61" s="312"/>
      <c r="H61" s="312"/>
      <c r="I61" s="312"/>
      <c r="J61" s="312"/>
      <c r="K61" s="312"/>
      <c r="L61" s="312"/>
      <c r="M61" s="312"/>
      <c r="N61" s="312"/>
      <c r="O61" s="312"/>
      <c r="P61" s="312"/>
      <c r="Q61" s="321"/>
      <c r="R61" s="328"/>
      <c r="S61" s="26"/>
      <c r="T61" s="26"/>
      <c r="U61" s="26"/>
      <c r="V61" s="26"/>
      <c r="W61" s="479" t="s">
        <v>1101</v>
      </c>
      <c r="X61" s="504"/>
      <c r="Y61" s="438" t="s">
        <v>1123</v>
      </c>
      <c r="Z61" s="439" t="s">
        <v>1039</v>
      </c>
      <c r="AA61" s="26"/>
      <c r="AB61" s="26"/>
      <c r="AC61" s="30"/>
      <c r="AD61" s="26"/>
      <c r="AE61" s="26"/>
      <c r="AF61" s="26"/>
      <c r="AG61" s="26"/>
      <c r="AH61" s="415"/>
      <c r="AI61" s="26"/>
      <c r="AJ61" s="26"/>
      <c r="AK61" s="26"/>
      <c r="AL61" s="414"/>
      <c r="AM61" s="414"/>
      <c r="AN61" s="414"/>
      <c r="AO61" s="414"/>
      <c r="AP61" s="414"/>
      <c r="AQ61" s="414"/>
      <c r="AR61" s="414"/>
      <c r="AS61" s="414"/>
      <c r="AT61" s="414"/>
    </row>
    <row r="62" spans="1:46">
      <c r="A62" s="312"/>
      <c r="B62" s="312"/>
      <c r="C62" s="312"/>
      <c r="D62" s="312"/>
      <c r="E62" s="312"/>
      <c r="F62" s="474"/>
      <c r="G62" s="474"/>
      <c r="H62" s="474"/>
      <c r="I62" s="474"/>
      <c r="J62" s="474"/>
      <c r="K62" s="474"/>
      <c r="L62" s="474"/>
      <c r="M62" s="474"/>
      <c r="N62" s="474"/>
      <c r="O62" s="312"/>
      <c r="P62" s="312"/>
      <c r="Q62" s="321"/>
      <c r="R62" s="328"/>
      <c r="S62" s="26"/>
      <c r="T62" s="26"/>
      <c r="U62" s="26"/>
      <c r="V62" s="26"/>
      <c r="W62" s="505"/>
      <c r="X62" s="506"/>
      <c r="Y62" s="506"/>
      <c r="Z62" s="507"/>
      <c r="AA62" s="26"/>
      <c r="AB62" s="26"/>
      <c r="AC62" s="30"/>
      <c r="AD62" s="30"/>
      <c r="AE62" s="415"/>
      <c r="AF62" s="26"/>
      <c r="AG62" s="26"/>
      <c r="AH62" s="415"/>
      <c r="AI62" s="26"/>
      <c r="AJ62" s="26"/>
      <c r="AK62" s="26"/>
      <c r="AL62" s="414"/>
      <c r="AM62" s="414"/>
      <c r="AN62" s="414"/>
      <c r="AO62" s="414"/>
      <c r="AP62" s="414"/>
      <c r="AQ62" s="414"/>
      <c r="AR62" s="414"/>
      <c r="AS62" s="414"/>
      <c r="AT62" s="414"/>
    </row>
    <row r="63" spans="1:46">
      <c r="A63" s="312"/>
      <c r="B63" s="312"/>
      <c r="C63" s="312"/>
      <c r="D63" s="312"/>
      <c r="E63" s="312"/>
      <c r="F63" s="312"/>
      <c r="G63" s="312"/>
      <c r="H63" s="312"/>
      <c r="I63" s="312"/>
      <c r="J63" s="312"/>
      <c r="K63" s="312"/>
      <c r="L63" s="312"/>
      <c r="M63" s="312"/>
      <c r="N63" s="312"/>
      <c r="O63" s="312"/>
      <c r="P63" s="312"/>
      <c r="Q63" s="321"/>
      <c r="R63" s="328"/>
      <c r="S63" s="26"/>
      <c r="T63" s="26"/>
      <c r="U63" s="26"/>
      <c r="V63" s="26"/>
      <c r="W63" s="321" t="s">
        <v>1103</v>
      </c>
      <c r="X63" s="506"/>
      <c r="Y63" s="452">
        <f t="shared" ref="Y63:Z68" ca="1" si="14">+J33</f>
        <v>0.34921444450609324</v>
      </c>
      <c r="Z63" s="452">
        <f ca="1">+K33</f>
        <v>0.27923101115981364</v>
      </c>
      <c r="AA63" s="26"/>
      <c r="AB63" s="26"/>
      <c r="AC63" s="30"/>
      <c r="AD63" s="30"/>
      <c r="AE63" s="415"/>
      <c r="AF63" s="414"/>
      <c r="AG63" s="26"/>
      <c r="AH63" s="415"/>
      <c r="AI63" s="26"/>
      <c r="AJ63" s="26"/>
      <c r="AK63" s="26"/>
      <c r="AL63" s="414"/>
      <c r="AM63" s="414"/>
      <c r="AN63" s="414"/>
      <c r="AO63" s="414"/>
      <c r="AP63" s="414"/>
      <c r="AQ63" s="414"/>
      <c r="AR63" s="414"/>
      <c r="AS63" s="414"/>
      <c r="AT63" s="414"/>
    </row>
    <row r="64" spans="1:46">
      <c r="A64" s="312"/>
      <c r="B64" s="312"/>
      <c r="C64" s="312"/>
      <c r="D64" s="312"/>
      <c r="E64" s="312"/>
      <c r="F64" s="312"/>
      <c r="G64" s="312"/>
      <c r="H64" s="312"/>
      <c r="I64" s="312"/>
      <c r="J64" s="312"/>
      <c r="K64" s="312"/>
      <c r="L64" s="312"/>
      <c r="M64" s="312"/>
      <c r="N64" s="312"/>
      <c r="O64" s="312"/>
      <c r="P64" s="312"/>
      <c r="Q64" s="321"/>
      <c r="R64" s="328"/>
      <c r="S64" s="26"/>
      <c r="T64" s="26"/>
      <c r="U64" s="26"/>
      <c r="V64" s="26"/>
      <c r="W64" s="321" t="s">
        <v>1104</v>
      </c>
      <c r="X64" s="506"/>
      <c r="Y64" s="452">
        <f t="shared" ca="1" si="14"/>
        <v>0.55542407417682205</v>
      </c>
      <c r="Z64" s="452">
        <f t="shared" ca="1" si="14"/>
        <v>0.43878501859968944</v>
      </c>
      <c r="AA64" s="26"/>
      <c r="AB64" s="26"/>
      <c r="AC64" s="30"/>
      <c r="AD64" s="30"/>
      <c r="AE64" s="415"/>
      <c r="AF64" s="414"/>
      <c r="AG64" s="26"/>
      <c r="AH64" s="415"/>
      <c r="AI64" s="26"/>
      <c r="AJ64" s="26"/>
      <c r="AK64" s="26"/>
      <c r="AL64" s="26"/>
      <c r="AM64" s="26"/>
      <c r="AN64" s="26"/>
      <c r="AO64" s="26"/>
      <c r="AP64" s="26"/>
      <c r="AQ64" s="26"/>
      <c r="AR64" s="26"/>
      <c r="AS64" s="26"/>
      <c r="AT64" s="26"/>
    </row>
    <row r="65" spans="1:46">
      <c r="A65" s="26" t="b">
        <v>1</v>
      </c>
      <c r="B65" s="508"/>
      <c r="C65" s="508"/>
      <c r="D65" s="508"/>
      <c r="E65" s="508"/>
      <c r="F65" s="312"/>
      <c r="G65" s="312"/>
      <c r="H65" s="312"/>
      <c r="I65" s="312"/>
      <c r="J65" s="312"/>
      <c r="K65" s="312"/>
      <c r="L65" s="312"/>
      <c r="M65" s="312"/>
      <c r="N65" s="312"/>
      <c r="O65" s="508"/>
      <c r="P65" s="508"/>
      <c r="Q65" s="321"/>
      <c r="R65" s="328"/>
      <c r="S65" s="26"/>
      <c r="T65" s="26"/>
      <c r="U65" s="26"/>
      <c r="V65" s="26"/>
      <c r="W65" s="321" t="s">
        <v>478</v>
      </c>
      <c r="X65" s="506"/>
      <c r="Y65" s="452">
        <f t="shared" ca="1" si="14"/>
        <v>0.96911000000000003</v>
      </c>
      <c r="Z65" s="452">
        <f t="shared" ca="1" si="14"/>
        <v>0.96913827795019081</v>
      </c>
      <c r="AA65" s="26"/>
      <c r="AB65" s="26"/>
      <c r="AC65" s="30"/>
      <c r="AD65" s="30"/>
      <c r="AE65" s="415"/>
      <c r="AF65" s="414"/>
      <c r="AG65" s="26"/>
      <c r="AH65" s="415"/>
      <c r="AI65" s="26"/>
      <c r="AJ65" s="26"/>
      <c r="AK65" s="26"/>
      <c r="AL65" s="26"/>
      <c r="AM65" s="26"/>
      <c r="AN65" s="26"/>
      <c r="AO65" s="26"/>
      <c r="AP65" s="26"/>
      <c r="AQ65" s="26"/>
      <c r="AR65" s="26"/>
      <c r="AS65" s="26"/>
      <c r="AT65" s="26"/>
    </row>
    <row r="66" spans="1:46">
      <c r="A66" s="26"/>
      <c r="B66" s="508"/>
      <c r="C66" s="508"/>
      <c r="D66" s="508"/>
      <c r="E66" s="508"/>
      <c r="F66" s="26"/>
      <c r="G66" s="26"/>
      <c r="H66" s="414"/>
      <c r="I66" s="414"/>
      <c r="J66" s="414"/>
      <c r="K66" s="414"/>
      <c r="L66" s="414"/>
      <c r="M66" s="414"/>
      <c r="N66" s="414"/>
      <c r="O66" s="414"/>
      <c r="P66" s="508"/>
      <c r="Q66" s="321"/>
      <c r="R66" s="328"/>
      <c r="S66" s="26"/>
      <c r="T66" s="26"/>
      <c r="U66" s="26"/>
      <c r="V66" s="26"/>
      <c r="W66" s="321" t="s">
        <v>1106</v>
      </c>
      <c r="X66" s="506"/>
      <c r="Y66" s="452">
        <f t="shared" ca="1" si="14"/>
        <v>3.0889999999999987E-2</v>
      </c>
      <c r="Z66" s="452">
        <f t="shared" ca="1" si="14"/>
        <v>3.0889999999999987E-2</v>
      </c>
      <c r="AA66" s="26"/>
      <c r="AB66" s="26"/>
      <c r="AC66" s="30"/>
      <c r="AD66" s="26"/>
      <c r="AE66" s="26"/>
      <c r="AF66" s="414"/>
      <c r="AG66" s="26"/>
      <c r="AH66" s="415"/>
      <c r="AI66" s="26"/>
      <c r="AJ66" s="26"/>
      <c r="AK66" s="26"/>
      <c r="AL66" s="414"/>
      <c r="AM66" s="26"/>
      <c r="AN66" s="26"/>
      <c r="AO66" s="26"/>
      <c r="AP66" s="26"/>
      <c r="AQ66" s="26"/>
      <c r="AR66" s="26"/>
      <c r="AS66" s="26"/>
      <c r="AT66" s="26"/>
    </row>
    <row r="67" spans="1:46">
      <c r="A67" s="26"/>
      <c r="B67" s="508"/>
      <c r="C67" s="508"/>
      <c r="D67" s="508"/>
      <c r="E67" s="508"/>
      <c r="F67" s="26"/>
      <c r="G67" s="26"/>
      <c r="H67" s="414"/>
      <c r="I67" s="414"/>
      <c r="J67" s="414"/>
      <c r="K67" s="414"/>
      <c r="L67" s="414"/>
      <c r="M67" s="414"/>
      <c r="N67" s="414"/>
      <c r="O67" s="414"/>
      <c r="P67" s="508"/>
      <c r="Q67" s="321"/>
      <c r="R67" s="328"/>
      <c r="S67" s="26"/>
      <c r="T67" s="26"/>
      <c r="U67" s="26"/>
      <c r="V67" s="26"/>
      <c r="W67" s="321" t="s">
        <v>1107</v>
      </c>
      <c r="X67" s="509"/>
      <c r="Y67" s="452">
        <f t="shared" ca="1" si="14"/>
        <v>11.315510115383736</v>
      </c>
      <c r="Z67" s="452">
        <f t="shared" ca="1" si="14"/>
        <v>11.315510115383736</v>
      </c>
      <c r="AA67" s="26"/>
      <c r="AB67" s="26"/>
      <c r="AC67" s="30"/>
      <c r="AD67" s="26"/>
      <c r="AE67" s="26"/>
      <c r="AF67" s="26"/>
      <c r="AG67" s="26"/>
      <c r="AH67" s="415"/>
      <c r="AI67" s="26"/>
      <c r="AJ67" s="26"/>
      <c r="AK67" s="26"/>
      <c r="AL67" s="26"/>
      <c r="AM67" s="26"/>
      <c r="AN67" s="26"/>
      <c r="AO67" s="26"/>
      <c r="AP67" s="26"/>
      <c r="AQ67" s="26"/>
      <c r="AR67" s="26"/>
      <c r="AS67" s="26"/>
      <c r="AT67" s="26"/>
    </row>
    <row r="68" spans="1:46">
      <c r="A68" s="26"/>
      <c r="B68" s="508"/>
      <c r="C68" s="508"/>
      <c r="D68" s="508"/>
      <c r="E68" s="508"/>
      <c r="F68" s="26"/>
      <c r="G68" s="26"/>
      <c r="H68" s="26"/>
      <c r="I68" s="26"/>
      <c r="J68" s="26"/>
      <c r="K68" s="26"/>
      <c r="L68" s="26"/>
      <c r="M68" s="26"/>
      <c r="N68" s="26"/>
      <c r="O68" s="414"/>
      <c r="P68" s="508"/>
      <c r="Q68" s="321"/>
      <c r="R68" s="328"/>
      <c r="S68" s="26"/>
      <c r="T68" s="26"/>
      <c r="U68" s="26"/>
      <c r="V68" s="26"/>
      <c r="W68" s="321" t="s">
        <v>3</v>
      </c>
      <c r="X68" s="510"/>
      <c r="Y68" s="452">
        <f t="shared" si="14"/>
        <v>0.21</v>
      </c>
      <c r="Z68" s="452">
        <f t="shared" si="14"/>
        <v>0.21</v>
      </c>
      <c r="AA68" s="26"/>
      <c r="AB68" s="26"/>
      <c r="AC68" s="30"/>
      <c r="AD68" s="30"/>
      <c r="AE68" s="415"/>
      <c r="AF68" s="26"/>
      <c r="AG68" s="26"/>
      <c r="AH68" s="415"/>
      <c r="AI68" s="26"/>
      <c r="AJ68" s="26"/>
      <c r="AK68" s="26"/>
      <c r="AL68" s="26"/>
      <c r="AM68" s="26"/>
      <c r="AN68" s="26"/>
      <c r="AO68" s="26"/>
      <c r="AP68" s="26"/>
      <c r="AQ68" s="26"/>
      <c r="AR68" s="26"/>
      <c r="AS68" s="26"/>
      <c r="AT68" s="26"/>
    </row>
    <row r="69" spans="1:46" ht="15.75">
      <c r="A69" s="26"/>
      <c r="B69" s="508"/>
      <c r="C69" s="508"/>
      <c r="D69" s="508"/>
      <c r="E69" s="508"/>
      <c r="F69" s="26"/>
      <c r="G69" s="26"/>
      <c r="H69" s="26"/>
      <c r="I69" s="26"/>
      <c r="J69" s="26"/>
      <c r="K69" s="26"/>
      <c r="L69" s="26"/>
      <c r="M69" s="26"/>
      <c r="N69" s="26"/>
      <c r="O69" s="414"/>
      <c r="P69" s="508"/>
      <c r="Q69" s="321"/>
      <c r="R69" s="328"/>
      <c r="S69" s="26"/>
      <c r="T69" s="26"/>
      <c r="U69" s="26"/>
      <c r="V69" s="26"/>
      <c r="W69" s="321"/>
      <c r="X69" s="445"/>
      <c r="Y69" s="495"/>
      <c r="Z69" s="511"/>
      <c r="AA69" s="26"/>
      <c r="AB69" s="26"/>
      <c r="AC69" s="30"/>
      <c r="AD69" s="30"/>
      <c r="AE69" s="415"/>
      <c r="AF69" s="414"/>
      <c r="AG69" s="26"/>
      <c r="AH69" s="415"/>
      <c r="AI69" s="26"/>
      <c r="AJ69" s="26"/>
      <c r="AK69" s="26"/>
      <c r="AL69" s="26"/>
      <c r="AM69" s="26"/>
      <c r="AN69" s="26"/>
      <c r="AO69" s="26"/>
      <c r="AP69" s="26"/>
      <c r="AQ69" s="26"/>
      <c r="AR69" s="26"/>
      <c r="AS69" s="26"/>
      <c r="AT69" s="26"/>
    </row>
    <row r="70" spans="1:46">
      <c r="A70" s="26"/>
      <c r="B70" s="508"/>
      <c r="C70" s="508"/>
      <c r="D70" s="508"/>
      <c r="E70" s="508"/>
      <c r="F70" s="26"/>
      <c r="G70" s="26"/>
      <c r="H70" s="26"/>
      <c r="I70" s="26"/>
      <c r="J70" s="26"/>
      <c r="K70" s="26"/>
      <c r="L70" s="26"/>
      <c r="M70" s="26"/>
      <c r="N70" s="26"/>
      <c r="O70" s="414"/>
      <c r="P70" s="508"/>
      <c r="Q70" s="321"/>
      <c r="R70" s="328"/>
      <c r="S70" s="26"/>
      <c r="T70" s="26"/>
      <c r="U70" s="26"/>
      <c r="V70" s="26"/>
      <c r="W70" s="497"/>
      <c r="X70" s="512"/>
      <c r="Y70" s="513"/>
      <c r="Z70" s="514"/>
      <c r="AA70" s="30"/>
      <c r="AB70" s="26"/>
      <c r="AC70" s="30"/>
      <c r="AD70" s="30"/>
      <c r="AE70" s="415"/>
      <c r="AF70" s="414"/>
      <c r="AG70" s="26"/>
      <c r="AH70" s="415"/>
      <c r="AI70" s="26"/>
      <c r="AJ70" s="26"/>
      <c r="AK70" s="26"/>
      <c r="AL70" s="26"/>
      <c r="AM70" s="26"/>
      <c r="AN70" s="26"/>
      <c r="AO70" s="26"/>
      <c r="AP70" s="26"/>
      <c r="AQ70" s="26"/>
      <c r="AR70" s="26"/>
      <c r="AS70" s="26"/>
      <c r="AT70" s="26"/>
    </row>
    <row r="71" spans="1:46">
      <c r="A71" s="26"/>
      <c r="B71" s="508"/>
      <c r="C71" s="508"/>
      <c r="D71" s="508"/>
      <c r="E71" s="508"/>
      <c r="F71" s="26"/>
      <c r="G71" s="26"/>
      <c r="H71" s="26"/>
      <c r="I71" s="26"/>
      <c r="J71" s="26"/>
      <c r="K71" s="26"/>
      <c r="L71" s="26"/>
      <c r="M71" s="26"/>
      <c r="N71" s="26"/>
      <c r="O71" s="508"/>
      <c r="P71" s="508"/>
      <c r="Q71" s="321"/>
      <c r="R71" s="328"/>
      <c r="S71" s="26"/>
      <c r="T71" s="26"/>
      <c r="U71" s="26"/>
      <c r="V71" s="26"/>
      <c r="W71" s="26"/>
      <c r="X71" s="30"/>
      <c r="Y71" s="431"/>
      <c r="Z71" s="415"/>
      <c r="AA71" s="30"/>
      <c r="AB71" s="26"/>
      <c r="AC71" s="30"/>
      <c r="AD71" s="30"/>
      <c r="AE71" s="415"/>
      <c r="AF71" s="414"/>
      <c r="AG71" s="26"/>
      <c r="AH71" s="415"/>
      <c r="AI71" s="26"/>
      <c r="AJ71" s="26"/>
      <c r="AK71" s="26"/>
      <c r="AL71" s="26"/>
      <c r="AM71" s="26"/>
      <c r="AN71" s="26"/>
      <c r="AO71" s="26"/>
      <c r="AP71" s="26"/>
      <c r="AQ71" s="26"/>
      <c r="AR71" s="26"/>
      <c r="AS71" s="26"/>
      <c r="AT71" s="26"/>
    </row>
    <row r="72" spans="1:46">
      <c r="A72" s="26"/>
      <c r="B72" s="508"/>
      <c r="C72" s="508"/>
      <c r="D72" s="508"/>
      <c r="E72" s="508"/>
      <c r="F72" s="26"/>
      <c r="G72" s="26"/>
      <c r="H72" s="26"/>
      <c r="I72" s="26"/>
      <c r="J72" s="26"/>
      <c r="K72" s="26"/>
      <c r="L72" s="26"/>
      <c r="M72" s="26"/>
      <c r="N72" s="26"/>
      <c r="O72" s="508"/>
      <c r="P72" s="508"/>
      <c r="Q72" s="321"/>
      <c r="R72" s="328"/>
      <c r="S72" s="26"/>
      <c r="T72" s="26"/>
      <c r="U72" s="26"/>
      <c r="V72" s="26"/>
      <c r="W72" s="26"/>
      <c r="X72" s="26"/>
      <c r="Y72" s="26"/>
      <c r="Z72" s="26"/>
      <c r="AA72" s="26"/>
      <c r="AB72" s="26"/>
      <c r="AC72" s="30"/>
      <c r="AD72" s="26"/>
      <c r="AE72" s="26"/>
      <c r="AF72" s="414"/>
      <c r="AG72" s="26"/>
      <c r="AH72" s="415"/>
      <c r="AI72" s="26"/>
      <c r="AJ72" s="26"/>
      <c r="AK72" s="26"/>
      <c r="AL72" s="26"/>
      <c r="AM72" s="26"/>
      <c r="AN72" s="26"/>
      <c r="AO72" s="26"/>
      <c r="AP72" s="26"/>
      <c r="AQ72" s="26"/>
      <c r="AR72" s="26"/>
      <c r="AS72" s="26"/>
      <c r="AT72" s="26"/>
    </row>
    <row r="73" spans="1:46">
      <c r="A73" s="26"/>
      <c r="B73" s="508"/>
      <c r="C73" s="508"/>
      <c r="D73" s="508"/>
      <c r="E73" s="508"/>
      <c r="F73" s="26"/>
      <c r="G73" s="26"/>
      <c r="H73" s="26"/>
      <c r="I73" s="26"/>
      <c r="J73" s="26"/>
      <c r="K73" s="26"/>
      <c r="L73" s="26"/>
      <c r="M73" s="26"/>
      <c r="N73" s="26"/>
      <c r="O73" s="508"/>
      <c r="P73" s="508"/>
      <c r="Q73" s="321"/>
      <c r="R73" s="328"/>
      <c r="S73" s="26"/>
      <c r="T73" s="26"/>
      <c r="U73" s="26"/>
      <c r="V73" s="26"/>
      <c r="W73" s="26"/>
      <c r="X73" s="26"/>
      <c r="Y73" s="328"/>
      <c r="Z73" s="328"/>
      <c r="AA73" s="328"/>
      <c r="AB73" s="26"/>
      <c r="AC73" s="30"/>
      <c r="AD73" s="26"/>
      <c r="AE73" s="26"/>
      <c r="AF73" s="26"/>
      <c r="AG73" s="26"/>
      <c r="AH73" s="415"/>
      <c r="AI73" s="26"/>
      <c r="AJ73" s="26"/>
      <c r="AK73" s="26"/>
      <c r="AL73" s="26"/>
      <c r="AM73" s="26"/>
      <c r="AN73" s="26"/>
      <c r="AO73" s="26"/>
      <c r="AP73" s="26"/>
      <c r="AQ73" s="26"/>
      <c r="AR73" s="26"/>
      <c r="AS73" s="26"/>
      <c r="AT73" s="26"/>
    </row>
    <row r="74" spans="1:46">
      <c r="A74" s="26"/>
      <c r="B74" s="508"/>
      <c r="C74" s="508"/>
      <c r="D74" s="508"/>
      <c r="E74" s="508"/>
      <c r="F74" s="26"/>
      <c r="G74" s="26"/>
      <c r="H74" s="26"/>
      <c r="I74" s="26"/>
      <c r="J74" s="26"/>
      <c r="K74" s="26"/>
      <c r="L74" s="26"/>
      <c r="M74" s="26"/>
      <c r="N74" s="26"/>
      <c r="O74" s="508"/>
      <c r="P74" s="508"/>
      <c r="Q74" s="321"/>
      <c r="R74" s="328"/>
      <c r="S74" s="26"/>
      <c r="T74" s="26"/>
      <c r="U74" s="26"/>
      <c r="V74" s="26"/>
      <c r="W74" s="26"/>
      <c r="X74" s="30"/>
      <c r="Y74" s="431"/>
      <c r="Z74" s="415"/>
      <c r="AA74" s="30"/>
      <c r="AB74" s="26"/>
      <c r="AC74" s="30"/>
      <c r="AD74" s="30"/>
      <c r="AE74" s="415"/>
      <c r="AF74" s="26"/>
      <c r="AG74" s="26"/>
      <c r="AH74" s="415"/>
      <c r="AI74" s="26"/>
      <c r="AJ74" s="26"/>
      <c r="AK74" s="26"/>
      <c r="AL74" s="26"/>
      <c r="AM74" s="26"/>
      <c r="AN74" s="26"/>
      <c r="AO74" s="26"/>
      <c r="AP74" s="26"/>
      <c r="AQ74" s="26"/>
      <c r="AR74" s="26"/>
      <c r="AS74" s="26"/>
      <c r="AT74" s="26"/>
    </row>
    <row r="75" spans="1:46">
      <c r="A75" s="26"/>
      <c r="B75" s="508"/>
      <c r="C75" s="508"/>
      <c r="D75" s="508"/>
      <c r="E75" s="508"/>
      <c r="F75" s="26"/>
      <c r="G75" s="26"/>
      <c r="H75" s="26"/>
      <c r="I75" s="26"/>
      <c r="J75" s="26"/>
      <c r="K75" s="26"/>
      <c r="L75" s="26"/>
      <c r="M75" s="26"/>
      <c r="N75" s="26"/>
      <c r="O75" s="508"/>
      <c r="P75" s="508"/>
      <c r="Q75" s="321"/>
      <c r="R75" s="328"/>
      <c r="S75" s="26"/>
      <c r="T75" s="26"/>
      <c r="U75" s="26"/>
      <c r="V75" s="26"/>
      <c r="W75" s="26"/>
      <c r="X75" s="30"/>
      <c r="Y75" s="431"/>
      <c r="Z75" s="415"/>
      <c r="AA75" s="30"/>
      <c r="AB75" s="26"/>
      <c r="AC75" s="30"/>
      <c r="AD75" s="30"/>
      <c r="AE75" s="415"/>
      <c r="AF75" s="414"/>
      <c r="AG75" s="26"/>
      <c r="AH75" s="415"/>
      <c r="AI75" s="26"/>
      <c r="AJ75" s="26"/>
      <c r="AK75" s="26"/>
      <c r="AL75" s="26"/>
      <c r="AM75" s="26"/>
      <c r="AN75" s="26"/>
      <c r="AO75" s="26"/>
      <c r="AP75" s="26"/>
      <c r="AQ75" s="26"/>
      <c r="AR75" s="26"/>
      <c r="AS75" s="26"/>
      <c r="AT75" s="26"/>
    </row>
    <row r="76" spans="1:46">
      <c r="A76" s="26"/>
      <c r="B76" s="508"/>
      <c r="C76" s="508"/>
      <c r="D76" s="508"/>
      <c r="E76" s="508"/>
      <c r="F76" s="26"/>
      <c r="G76" s="26"/>
      <c r="H76" s="26"/>
      <c r="I76" s="26"/>
      <c r="J76" s="26"/>
      <c r="K76" s="26"/>
      <c r="L76" s="26"/>
      <c r="M76" s="26"/>
      <c r="N76" s="26"/>
      <c r="O76" s="508"/>
      <c r="P76" s="508"/>
      <c r="Q76" s="321"/>
      <c r="R76" s="328"/>
      <c r="S76" s="26"/>
      <c r="T76" s="26"/>
      <c r="U76" s="26"/>
      <c r="V76" s="26"/>
      <c r="W76" s="26"/>
      <c r="X76" s="30"/>
      <c r="Y76" s="431"/>
      <c r="Z76" s="415"/>
      <c r="AA76" s="30"/>
      <c r="AB76" s="26"/>
      <c r="AC76" s="30"/>
      <c r="AD76" s="30"/>
      <c r="AE76" s="415"/>
      <c r="AF76" s="414"/>
      <c r="AG76" s="26"/>
      <c r="AH76" s="415"/>
      <c r="AI76" s="26"/>
      <c r="AJ76" s="26"/>
      <c r="AK76" s="26"/>
      <c r="AL76" s="26"/>
      <c r="AM76" s="26"/>
      <c r="AN76" s="26"/>
      <c r="AO76" s="26"/>
      <c r="AP76" s="26"/>
      <c r="AQ76" s="26"/>
      <c r="AR76" s="26"/>
      <c r="AS76" s="26"/>
      <c r="AT76" s="26"/>
    </row>
    <row r="77" spans="1:46">
      <c r="A77" s="26"/>
      <c r="B77" s="508"/>
      <c r="C77" s="508"/>
      <c r="D77" s="508"/>
      <c r="E77" s="508"/>
      <c r="F77" s="26"/>
      <c r="G77" s="26"/>
      <c r="H77" s="26"/>
      <c r="I77" s="26"/>
      <c r="J77" s="26"/>
      <c r="K77" s="26"/>
      <c r="L77" s="26"/>
      <c r="M77" s="26"/>
      <c r="N77" s="26"/>
      <c r="O77" s="508"/>
      <c r="P77" s="508"/>
      <c r="Q77" s="321"/>
      <c r="R77" s="328"/>
      <c r="S77" s="26"/>
      <c r="T77" s="26"/>
      <c r="U77" s="26"/>
      <c r="V77" s="26"/>
      <c r="W77" s="26"/>
      <c r="X77" s="30"/>
      <c r="Y77" s="431"/>
      <c r="Z77" s="415"/>
      <c r="AA77" s="30"/>
      <c r="AB77" s="26"/>
      <c r="AC77" s="30"/>
      <c r="AD77" s="30"/>
      <c r="AE77" s="415"/>
      <c r="AF77" s="414"/>
      <c r="AG77" s="26"/>
      <c r="AH77" s="415"/>
      <c r="AI77" s="26"/>
      <c r="AJ77" s="26"/>
      <c r="AK77" s="26"/>
      <c r="AL77" s="26"/>
      <c r="AM77" s="26"/>
      <c r="AN77" s="26"/>
      <c r="AO77" s="26"/>
      <c r="AP77" s="26"/>
      <c r="AQ77" s="26"/>
      <c r="AR77" s="26"/>
      <c r="AS77" s="26"/>
      <c r="AT77" s="26"/>
    </row>
    <row r="78" spans="1:46">
      <c r="A78" s="26"/>
      <c r="B78" s="508"/>
      <c r="C78" s="508"/>
      <c r="D78" s="508"/>
      <c r="E78" s="508"/>
      <c r="F78" s="26"/>
      <c r="G78" s="26"/>
      <c r="H78" s="26"/>
      <c r="I78" s="26"/>
      <c r="J78" s="26"/>
      <c r="K78" s="26"/>
      <c r="L78" s="26"/>
      <c r="M78" s="26"/>
      <c r="N78" s="26"/>
      <c r="O78" s="508"/>
      <c r="P78" s="508"/>
      <c r="Q78" s="321"/>
      <c r="R78" s="328"/>
      <c r="S78" s="26"/>
      <c r="T78" s="26"/>
      <c r="U78" s="26"/>
      <c r="V78" s="26"/>
      <c r="W78" s="26"/>
      <c r="X78" s="26"/>
      <c r="Y78" s="26"/>
      <c r="Z78" s="26"/>
      <c r="AA78" s="26"/>
      <c r="AB78" s="26"/>
      <c r="AC78" s="30"/>
      <c r="AD78" s="26"/>
      <c r="AE78" s="26"/>
      <c r="AF78" s="414"/>
      <c r="AG78" s="26"/>
      <c r="AH78" s="415"/>
      <c r="AI78" s="26"/>
      <c r="AJ78" s="26"/>
      <c r="AK78" s="26"/>
      <c r="AL78" s="26"/>
      <c r="AM78" s="26"/>
      <c r="AN78" s="26"/>
      <c r="AO78" s="26"/>
      <c r="AP78" s="26"/>
      <c r="AQ78" s="26"/>
      <c r="AR78" s="26"/>
      <c r="AS78" s="26"/>
      <c r="AT78" s="26"/>
    </row>
    <row r="79" spans="1:46">
      <c r="A79" s="26"/>
      <c r="B79" s="508"/>
      <c r="C79" s="508"/>
      <c r="D79" s="508"/>
      <c r="E79" s="508"/>
      <c r="F79" s="26"/>
      <c r="G79" s="26"/>
      <c r="H79" s="26"/>
      <c r="I79" s="26"/>
      <c r="J79" s="26"/>
      <c r="K79" s="26"/>
      <c r="L79" s="26"/>
      <c r="M79" s="26"/>
      <c r="N79" s="26"/>
      <c r="O79" s="508"/>
      <c r="P79" s="508"/>
      <c r="Q79" s="321"/>
      <c r="R79" s="328"/>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row>
    <row r="80" spans="1:46">
      <c r="A80" s="26"/>
      <c r="B80" s="508"/>
      <c r="C80" s="508"/>
      <c r="D80" s="508"/>
      <c r="E80" s="508"/>
      <c r="F80" s="26"/>
      <c r="G80" s="26"/>
      <c r="H80" s="26"/>
      <c r="I80" s="26"/>
      <c r="J80" s="26"/>
      <c r="K80" s="26"/>
      <c r="L80" s="26"/>
      <c r="M80" s="26"/>
      <c r="N80" s="26"/>
      <c r="O80" s="508"/>
      <c r="P80" s="508"/>
      <c r="Q80" s="321"/>
      <c r="R80" s="328"/>
      <c r="S80" s="26"/>
      <c r="T80" s="26"/>
      <c r="U80" s="26"/>
      <c r="V80" s="26"/>
      <c r="W80" s="26"/>
      <c r="X80" s="30"/>
      <c r="Y80" s="431"/>
      <c r="Z80" s="415"/>
      <c r="AA80" s="30"/>
      <c r="AB80" s="26"/>
      <c r="AC80" s="26"/>
      <c r="AD80" s="30"/>
      <c r="AE80" s="415"/>
      <c r="AF80" s="26"/>
      <c r="AG80" s="26"/>
      <c r="AH80" s="26"/>
      <c r="AI80" s="26"/>
      <c r="AJ80" s="26"/>
      <c r="AK80" s="26"/>
      <c r="AL80" s="26"/>
      <c r="AM80" s="26"/>
      <c r="AN80" s="26"/>
      <c r="AO80" s="26"/>
      <c r="AP80" s="26"/>
      <c r="AQ80" s="26"/>
      <c r="AR80" s="26"/>
      <c r="AS80" s="26"/>
      <c r="AT80" s="26"/>
    </row>
    <row r="81" spans="1:46">
      <c r="A81" s="26"/>
      <c r="B81" s="508"/>
      <c r="C81" s="508"/>
      <c r="D81" s="508"/>
      <c r="E81" s="508"/>
      <c r="F81" s="26"/>
      <c r="G81" s="26"/>
      <c r="H81" s="26"/>
      <c r="I81" s="26"/>
      <c r="J81" s="26"/>
      <c r="K81" s="26"/>
      <c r="L81" s="26"/>
      <c r="M81" s="26"/>
      <c r="N81" s="26"/>
      <c r="O81" s="508"/>
      <c r="P81" s="508"/>
      <c r="Q81" s="321"/>
      <c r="R81" s="328"/>
      <c r="S81" s="26"/>
      <c r="T81" s="26"/>
      <c r="U81" s="26"/>
      <c r="V81" s="26"/>
      <c r="W81" s="26"/>
      <c r="X81" s="30"/>
      <c r="Y81" s="431"/>
      <c r="Z81" s="415"/>
      <c r="AA81" s="30"/>
      <c r="AB81" s="26"/>
      <c r="AC81" s="26"/>
      <c r="AD81" s="30"/>
      <c r="AE81" s="415"/>
      <c r="AF81" s="414"/>
      <c r="AG81" s="26"/>
      <c r="AH81" s="26"/>
      <c r="AI81" s="26"/>
      <c r="AJ81" s="26"/>
      <c r="AK81" s="26"/>
      <c r="AL81" s="26"/>
      <c r="AM81" s="26"/>
      <c r="AN81" s="26"/>
      <c r="AO81" s="26"/>
      <c r="AP81" s="26"/>
      <c r="AQ81" s="26"/>
      <c r="AR81" s="26"/>
      <c r="AS81" s="26"/>
      <c r="AT81" s="26"/>
    </row>
    <row r="82" spans="1:46">
      <c r="A82" s="26"/>
      <c r="B82" s="508"/>
      <c r="C82" s="508"/>
      <c r="D82" s="508"/>
      <c r="E82" s="508"/>
      <c r="F82" s="26"/>
      <c r="G82" s="26"/>
      <c r="H82" s="26"/>
      <c r="I82" s="26"/>
      <c r="J82" s="26"/>
      <c r="K82" s="26"/>
      <c r="L82" s="26"/>
      <c r="M82" s="26"/>
      <c r="N82" s="26"/>
      <c r="O82" s="508"/>
      <c r="P82" s="508"/>
      <c r="Q82" s="321"/>
      <c r="R82" s="328"/>
      <c r="S82" s="26"/>
      <c r="T82" s="26"/>
      <c r="U82" s="26"/>
      <c r="V82" s="26"/>
      <c r="W82" s="26"/>
      <c r="X82" s="30"/>
      <c r="Y82" s="431"/>
      <c r="Z82" s="415"/>
      <c r="AA82" s="30"/>
      <c r="AB82" s="26"/>
      <c r="AC82" s="26"/>
      <c r="AD82" s="30"/>
      <c r="AE82" s="415"/>
      <c r="AF82" s="414"/>
      <c r="AG82" s="26"/>
      <c r="AH82" s="26"/>
      <c r="AI82" s="26"/>
      <c r="AJ82" s="26"/>
      <c r="AK82" s="26"/>
      <c r="AL82" s="26"/>
      <c r="AM82" s="26"/>
      <c r="AN82" s="26"/>
      <c r="AO82" s="26"/>
      <c r="AP82" s="26"/>
      <c r="AQ82" s="26"/>
      <c r="AR82" s="26"/>
      <c r="AS82" s="26"/>
      <c r="AT82" s="26"/>
    </row>
    <row r="83" spans="1:46">
      <c r="A83" s="26"/>
      <c r="B83" s="508"/>
      <c r="C83" s="508"/>
      <c r="D83" s="508"/>
      <c r="E83" s="508"/>
      <c r="F83" s="26"/>
      <c r="G83" s="26"/>
      <c r="H83" s="26"/>
      <c r="I83" s="26"/>
      <c r="J83" s="26"/>
      <c r="K83" s="26"/>
      <c r="L83" s="26"/>
      <c r="M83" s="26"/>
      <c r="N83" s="26"/>
      <c r="O83" s="508"/>
      <c r="P83" s="508"/>
      <c r="Q83" s="321"/>
      <c r="R83" s="328"/>
      <c r="S83" s="26"/>
      <c r="T83" s="26"/>
      <c r="U83" s="26"/>
      <c r="V83" s="26"/>
      <c r="W83" s="26"/>
      <c r="X83" s="30"/>
      <c r="Y83" s="431"/>
      <c r="Z83" s="415"/>
      <c r="AA83" s="30"/>
      <c r="AB83" s="26"/>
      <c r="AC83" s="26"/>
      <c r="AD83" s="30"/>
      <c r="AE83" s="415"/>
      <c r="AF83" s="414"/>
      <c r="AG83" s="26"/>
      <c r="AH83" s="26"/>
      <c r="AI83" s="26"/>
      <c r="AJ83" s="26"/>
      <c r="AK83" s="26"/>
      <c r="AL83" s="26"/>
      <c r="AM83" s="26"/>
      <c r="AN83" s="26"/>
      <c r="AO83" s="26"/>
      <c r="AP83" s="26"/>
      <c r="AQ83" s="26"/>
      <c r="AR83" s="26"/>
      <c r="AS83" s="26"/>
      <c r="AT83" s="26"/>
    </row>
    <row r="84" spans="1:46">
      <c r="A84" s="26"/>
      <c r="B84" s="508"/>
      <c r="C84" s="508"/>
      <c r="D84" s="508"/>
      <c r="E84" s="508"/>
      <c r="F84" s="26"/>
      <c r="G84" s="26"/>
      <c r="H84" s="26"/>
      <c r="I84" s="26"/>
      <c r="J84" s="26"/>
      <c r="K84" s="26"/>
      <c r="L84" s="26"/>
      <c r="M84" s="26"/>
      <c r="N84" s="26"/>
      <c r="O84" s="508"/>
      <c r="P84" s="508"/>
      <c r="Q84" s="321"/>
      <c r="R84" s="328"/>
      <c r="S84" s="26"/>
      <c r="T84" s="26"/>
      <c r="U84" s="26"/>
      <c r="V84" s="26"/>
      <c r="W84" s="26"/>
      <c r="X84" s="26"/>
      <c r="Y84" s="26"/>
      <c r="Z84" s="26"/>
      <c r="AA84" s="26"/>
      <c r="AB84" s="26"/>
      <c r="AC84" s="26"/>
      <c r="AD84" s="26"/>
      <c r="AE84" s="26"/>
      <c r="AF84" s="414"/>
      <c r="AG84" s="26"/>
      <c r="AH84" s="26"/>
      <c r="AI84" s="26"/>
      <c r="AJ84" s="26"/>
      <c r="AK84" s="26"/>
      <c r="AL84" s="26"/>
      <c r="AM84" s="26"/>
      <c r="AN84" s="26"/>
      <c r="AO84" s="26"/>
      <c r="AP84" s="26"/>
      <c r="AQ84" s="26"/>
      <c r="AR84" s="26"/>
      <c r="AS84" s="26"/>
      <c r="AT84" s="26"/>
    </row>
    <row r="85" spans="1:46">
      <c r="A85" s="26"/>
      <c r="B85" s="508"/>
      <c r="C85" s="508"/>
      <c r="D85" s="508"/>
      <c r="E85" s="508"/>
      <c r="F85" s="26"/>
      <c r="G85" s="26"/>
      <c r="H85" s="26"/>
      <c r="I85" s="26"/>
      <c r="J85" s="26"/>
      <c r="K85" s="26"/>
      <c r="L85" s="26"/>
      <c r="M85" s="26"/>
      <c r="N85" s="26"/>
      <c r="O85" s="508"/>
      <c r="P85" s="508"/>
      <c r="Q85" s="321"/>
      <c r="R85" s="328"/>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row>
    <row r="86" spans="1:46">
      <c r="A86" s="26"/>
      <c r="B86" s="508"/>
      <c r="C86" s="508"/>
      <c r="D86" s="508"/>
      <c r="E86" s="508"/>
      <c r="F86" s="26"/>
      <c r="G86" s="26"/>
      <c r="H86" s="26"/>
      <c r="I86" s="26"/>
      <c r="J86" s="26"/>
      <c r="K86" s="26"/>
      <c r="L86" s="26"/>
      <c r="M86" s="26"/>
      <c r="N86" s="26"/>
      <c r="O86" s="508"/>
      <c r="P86" s="508"/>
      <c r="Q86" s="321"/>
      <c r="R86" s="328"/>
      <c r="S86" s="26"/>
      <c r="T86" s="26"/>
      <c r="U86" s="26"/>
      <c r="V86" s="26"/>
      <c r="W86" s="26"/>
      <c r="X86" s="30"/>
      <c r="Y86" s="431"/>
      <c r="Z86" s="415"/>
      <c r="AA86" s="30"/>
      <c r="AB86" s="26"/>
      <c r="AC86" s="26"/>
      <c r="AD86" s="30"/>
      <c r="AE86" s="415"/>
      <c r="AF86" s="26"/>
      <c r="AG86" s="26"/>
      <c r="AH86" s="26"/>
      <c r="AI86" s="26"/>
      <c r="AJ86" s="26"/>
      <c r="AK86" s="26"/>
      <c r="AL86" s="26"/>
      <c r="AM86" s="26"/>
      <c r="AN86" s="26"/>
      <c r="AO86" s="26"/>
      <c r="AP86" s="26"/>
      <c r="AQ86" s="26"/>
      <c r="AR86" s="26"/>
      <c r="AS86" s="26"/>
      <c r="AT86" s="26"/>
    </row>
    <row r="87" spans="1:46">
      <c r="A87" s="26"/>
      <c r="B87" s="508"/>
      <c r="C87" s="508"/>
      <c r="D87" s="508"/>
      <c r="E87" s="508"/>
      <c r="F87" s="26"/>
      <c r="G87" s="26"/>
      <c r="H87" s="26"/>
      <c r="I87" s="26"/>
      <c r="J87" s="26"/>
      <c r="K87" s="26"/>
      <c r="L87" s="26"/>
      <c r="M87" s="26"/>
      <c r="N87" s="26"/>
      <c r="O87" s="508"/>
      <c r="P87" s="508"/>
      <c r="Q87" s="321"/>
      <c r="R87" s="328"/>
      <c r="S87" s="26"/>
      <c r="T87" s="26"/>
      <c r="U87" s="26"/>
      <c r="V87" s="26"/>
      <c r="W87" s="26"/>
      <c r="X87" s="30"/>
      <c r="Y87" s="431"/>
      <c r="Z87" s="415"/>
      <c r="AA87" s="30"/>
      <c r="AB87" s="26"/>
      <c r="AC87" s="26"/>
      <c r="AD87" s="30"/>
      <c r="AE87" s="415"/>
      <c r="AF87" s="414"/>
      <c r="AG87" s="26"/>
      <c r="AH87" s="26"/>
      <c r="AI87" s="26"/>
      <c r="AJ87" s="26"/>
      <c r="AK87" s="26"/>
      <c r="AL87" s="26"/>
      <c r="AM87" s="26"/>
      <c r="AN87" s="26"/>
      <c r="AO87" s="26"/>
      <c r="AP87" s="26"/>
      <c r="AQ87" s="26"/>
      <c r="AR87" s="26"/>
      <c r="AS87" s="26"/>
      <c r="AT87" s="26"/>
    </row>
    <row r="88" spans="1:46">
      <c r="A88" s="26"/>
      <c r="B88" s="508"/>
      <c r="C88" s="508"/>
      <c r="D88" s="508"/>
      <c r="E88" s="508"/>
      <c r="F88" s="26"/>
      <c r="G88" s="26"/>
      <c r="H88" s="26"/>
      <c r="I88" s="26"/>
      <c r="J88" s="26"/>
      <c r="K88" s="26"/>
      <c r="L88" s="26"/>
      <c r="M88" s="26"/>
      <c r="N88" s="26"/>
      <c r="O88" s="508"/>
      <c r="P88" s="508"/>
      <c r="Q88" s="321"/>
      <c r="R88" s="328"/>
      <c r="S88" s="26"/>
      <c r="T88" s="26"/>
      <c r="U88" s="26"/>
      <c r="V88" s="26"/>
      <c r="W88" s="26"/>
      <c r="X88" s="30"/>
      <c r="Y88" s="431"/>
      <c r="Z88" s="415"/>
      <c r="AA88" s="30"/>
      <c r="AB88" s="26"/>
      <c r="AC88" s="26"/>
      <c r="AD88" s="30"/>
      <c r="AE88" s="415"/>
      <c r="AF88" s="414"/>
      <c r="AG88" s="26"/>
      <c r="AH88" s="26"/>
      <c r="AI88" s="26"/>
      <c r="AJ88" s="26"/>
      <c r="AK88" s="26"/>
      <c r="AL88" s="26"/>
      <c r="AM88" s="26"/>
      <c r="AN88" s="26"/>
      <c r="AO88" s="26"/>
      <c r="AP88" s="26"/>
      <c r="AQ88" s="26"/>
      <c r="AR88" s="26"/>
      <c r="AS88" s="26"/>
      <c r="AT88" s="26"/>
    </row>
    <row r="89" spans="1:46">
      <c r="A89" s="26"/>
      <c r="B89" s="508"/>
      <c r="C89" s="508"/>
      <c r="D89" s="508"/>
      <c r="E89" s="508"/>
      <c r="F89" s="26"/>
      <c r="G89" s="26"/>
      <c r="H89" s="26"/>
      <c r="I89" s="26"/>
      <c r="J89" s="26"/>
      <c r="K89" s="26"/>
      <c r="L89" s="26"/>
      <c r="M89" s="26"/>
      <c r="N89" s="26"/>
      <c r="O89" s="508"/>
      <c r="P89" s="508"/>
      <c r="Q89" s="321"/>
      <c r="R89" s="328"/>
      <c r="S89" s="26"/>
      <c r="T89" s="26"/>
      <c r="U89" s="26"/>
      <c r="V89" s="26"/>
      <c r="W89" s="26"/>
      <c r="X89" s="30"/>
      <c r="Y89" s="431"/>
      <c r="Z89" s="415"/>
      <c r="AA89" s="30"/>
      <c r="AB89" s="26"/>
      <c r="AC89" s="26"/>
      <c r="AD89" s="30"/>
      <c r="AE89" s="415"/>
      <c r="AF89" s="414"/>
      <c r="AG89" s="26"/>
      <c r="AH89" s="26"/>
      <c r="AI89" s="26"/>
      <c r="AJ89" s="26"/>
      <c r="AK89" s="26"/>
      <c r="AL89" s="26"/>
      <c r="AM89" s="26"/>
      <c r="AN89" s="26"/>
      <c r="AO89" s="26"/>
      <c r="AP89" s="26"/>
      <c r="AQ89" s="26"/>
      <c r="AR89" s="26"/>
      <c r="AS89" s="26"/>
      <c r="AT89" s="26"/>
    </row>
    <row r="90" spans="1:46">
      <c r="A90" s="26"/>
      <c r="B90" s="508"/>
      <c r="C90" s="508"/>
      <c r="D90" s="508"/>
      <c r="E90" s="508"/>
      <c r="F90" s="26"/>
      <c r="G90" s="26"/>
      <c r="H90" s="26"/>
      <c r="I90" s="26"/>
      <c r="J90" s="26"/>
      <c r="K90" s="26"/>
      <c r="L90" s="26"/>
      <c r="M90" s="26"/>
      <c r="N90" s="26"/>
      <c r="O90" s="508"/>
      <c r="P90" s="508"/>
      <c r="Q90" s="321"/>
      <c r="R90" s="328"/>
      <c r="S90" s="26"/>
      <c r="T90" s="26"/>
      <c r="U90" s="26"/>
      <c r="V90" s="26"/>
      <c r="W90" s="26"/>
      <c r="X90" s="26"/>
      <c r="Y90" s="26"/>
      <c r="Z90" s="26"/>
      <c r="AA90" s="26"/>
      <c r="AB90" s="26"/>
      <c r="AC90" s="26"/>
      <c r="AD90" s="26"/>
      <c r="AE90" s="26"/>
      <c r="AF90" s="414"/>
      <c r="AG90" s="26"/>
      <c r="AH90" s="26"/>
      <c r="AI90" s="26"/>
      <c r="AJ90" s="26"/>
      <c r="AK90" s="26"/>
      <c r="AL90" s="26"/>
      <c r="AM90" s="26"/>
      <c r="AN90" s="26"/>
      <c r="AO90" s="26"/>
      <c r="AP90" s="26"/>
      <c r="AQ90" s="26"/>
      <c r="AR90" s="26"/>
      <c r="AS90" s="26"/>
      <c r="AT90" s="26"/>
    </row>
    <row r="91" spans="1:46">
      <c r="A91" s="26"/>
      <c r="B91" s="508"/>
      <c r="C91" s="508"/>
      <c r="D91" s="508"/>
      <c r="E91" s="508"/>
      <c r="F91" s="26"/>
      <c r="G91" s="26"/>
      <c r="H91" s="26"/>
      <c r="I91" s="26"/>
      <c r="J91" s="26"/>
      <c r="K91" s="26"/>
      <c r="L91" s="26"/>
      <c r="M91" s="26"/>
      <c r="N91" s="26"/>
      <c r="O91" s="508"/>
      <c r="P91" s="508"/>
      <c r="Q91" s="321"/>
      <c r="R91" s="328"/>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row>
    <row r="92" spans="1:46">
      <c r="A92" s="26"/>
      <c r="B92" s="508"/>
      <c r="C92" s="508"/>
      <c r="D92" s="508"/>
      <c r="E92" s="508"/>
      <c r="F92" s="26"/>
      <c r="G92" s="26"/>
      <c r="H92" s="26"/>
      <c r="I92" s="26"/>
      <c r="J92" s="26"/>
      <c r="K92" s="26"/>
      <c r="L92" s="26"/>
      <c r="M92" s="26"/>
      <c r="N92" s="26"/>
      <c r="O92" s="508"/>
      <c r="P92" s="508"/>
      <c r="Q92" s="321"/>
      <c r="R92" s="328"/>
      <c r="S92" s="26"/>
      <c r="T92" s="26"/>
      <c r="U92" s="26"/>
      <c r="V92" s="26"/>
      <c r="W92" s="26"/>
      <c r="X92" s="30"/>
      <c r="Y92" s="431"/>
      <c r="Z92" s="415"/>
      <c r="AA92" s="30"/>
      <c r="AB92" s="26"/>
      <c r="AC92" s="26"/>
      <c r="AD92" s="30"/>
      <c r="AE92" s="415"/>
      <c r="AF92" s="26"/>
      <c r="AG92" s="26"/>
      <c r="AH92" s="26"/>
      <c r="AI92" s="26"/>
      <c r="AJ92" s="26"/>
      <c r="AK92" s="26"/>
      <c r="AL92" s="26"/>
      <c r="AM92" s="26"/>
      <c r="AN92" s="26"/>
      <c r="AO92" s="26"/>
      <c r="AP92" s="26"/>
      <c r="AQ92" s="26"/>
      <c r="AR92" s="26"/>
      <c r="AS92" s="26"/>
      <c r="AT92" s="26"/>
    </row>
    <row r="93" spans="1:46">
      <c r="A93" s="26"/>
      <c r="B93" s="508"/>
      <c r="C93" s="508"/>
      <c r="D93" s="508"/>
      <c r="E93" s="508"/>
      <c r="F93" s="26"/>
      <c r="G93" s="26"/>
      <c r="H93" s="26"/>
      <c r="I93" s="26"/>
      <c r="J93" s="26"/>
      <c r="K93" s="26"/>
      <c r="L93" s="26"/>
      <c r="M93" s="26"/>
      <c r="N93" s="26"/>
      <c r="O93" s="508"/>
      <c r="P93" s="508"/>
      <c r="Q93" s="321"/>
      <c r="R93" s="328"/>
      <c r="S93" s="26"/>
      <c r="T93" s="26"/>
      <c r="U93" s="26"/>
      <c r="V93" s="26"/>
      <c r="W93" s="26"/>
      <c r="X93" s="30"/>
      <c r="Y93" s="431"/>
      <c r="Z93" s="415"/>
      <c r="AA93" s="30"/>
      <c r="AB93" s="26"/>
      <c r="AC93" s="26"/>
      <c r="AD93" s="30"/>
      <c r="AE93" s="415"/>
      <c r="AF93" s="414"/>
      <c r="AG93" s="26"/>
      <c r="AH93" s="26"/>
      <c r="AI93" s="26"/>
      <c r="AJ93" s="26"/>
      <c r="AK93" s="26"/>
      <c r="AL93" s="26"/>
      <c r="AM93" s="26"/>
      <c r="AN93" s="26"/>
      <c r="AO93" s="26"/>
      <c r="AP93" s="26"/>
      <c r="AQ93" s="26"/>
      <c r="AR93" s="26"/>
      <c r="AS93" s="26"/>
      <c r="AT93" s="26"/>
    </row>
    <row r="94" spans="1:46">
      <c r="A94" s="26"/>
      <c r="B94" s="508"/>
      <c r="C94" s="508"/>
      <c r="D94" s="508"/>
      <c r="E94" s="508"/>
      <c r="F94" s="26"/>
      <c r="G94" s="26"/>
      <c r="H94" s="26"/>
      <c r="I94" s="26"/>
      <c r="J94" s="26"/>
      <c r="K94" s="26"/>
      <c r="L94" s="26"/>
      <c r="M94" s="26"/>
      <c r="N94" s="26"/>
      <c r="O94" s="508"/>
      <c r="P94" s="508"/>
      <c r="Q94" s="321"/>
      <c r="R94" s="328"/>
      <c r="S94" s="26"/>
      <c r="T94" s="26"/>
      <c r="U94" s="26"/>
      <c r="V94" s="26"/>
      <c r="W94" s="26"/>
      <c r="X94" s="30"/>
      <c r="Y94" s="431"/>
      <c r="Z94" s="415"/>
      <c r="AA94" s="30"/>
      <c r="AB94" s="26"/>
      <c r="AC94" s="26"/>
      <c r="AD94" s="30"/>
      <c r="AE94" s="415"/>
      <c r="AF94" s="414"/>
      <c r="AG94" s="26"/>
      <c r="AH94" s="26"/>
      <c r="AI94" s="26"/>
      <c r="AJ94" s="26"/>
      <c r="AK94" s="26"/>
      <c r="AL94" s="26"/>
      <c r="AM94" s="26"/>
      <c r="AN94" s="26"/>
      <c r="AO94" s="26"/>
      <c r="AP94" s="26"/>
      <c r="AQ94" s="26"/>
      <c r="AR94" s="26"/>
      <c r="AS94" s="26"/>
      <c r="AT94" s="26"/>
    </row>
    <row r="95" spans="1:46">
      <c r="A95" s="26"/>
      <c r="B95" s="508"/>
      <c r="C95" s="508"/>
      <c r="D95" s="508"/>
      <c r="E95" s="508"/>
      <c r="F95" s="26"/>
      <c r="G95" s="26"/>
      <c r="H95" s="26"/>
      <c r="I95" s="26"/>
      <c r="J95" s="26"/>
      <c r="K95" s="26"/>
      <c r="L95" s="26"/>
      <c r="M95" s="26"/>
      <c r="N95" s="26"/>
      <c r="O95" s="508"/>
      <c r="P95" s="508"/>
      <c r="Q95" s="321"/>
      <c r="R95" s="328"/>
      <c r="S95" s="26"/>
      <c r="T95" s="26"/>
      <c r="U95" s="26"/>
      <c r="V95" s="26"/>
      <c r="W95" s="26"/>
      <c r="X95" s="30"/>
      <c r="Y95" s="431"/>
      <c r="Z95" s="415"/>
      <c r="AA95" s="30"/>
      <c r="AB95" s="26"/>
      <c r="AC95" s="26"/>
      <c r="AD95" s="30"/>
      <c r="AE95" s="415"/>
      <c r="AF95" s="414"/>
      <c r="AG95" s="26"/>
      <c r="AH95" s="26"/>
      <c r="AI95" s="26"/>
      <c r="AJ95" s="26"/>
      <c r="AK95" s="26"/>
      <c r="AL95" s="26"/>
      <c r="AM95" s="26"/>
      <c r="AN95" s="26"/>
      <c r="AO95" s="26"/>
      <c r="AP95" s="26"/>
      <c r="AQ95" s="26"/>
      <c r="AR95" s="26"/>
      <c r="AS95" s="26"/>
      <c r="AT95" s="26"/>
    </row>
    <row r="96" spans="1:46">
      <c r="A96" s="26"/>
      <c r="B96" s="508"/>
      <c r="C96" s="508"/>
      <c r="D96" s="508"/>
      <c r="E96" s="508"/>
      <c r="F96" s="26"/>
      <c r="G96" s="26"/>
      <c r="H96" s="26"/>
      <c r="I96" s="26"/>
      <c r="J96" s="26"/>
      <c r="K96" s="26"/>
      <c r="L96" s="26"/>
      <c r="M96" s="26"/>
      <c r="N96" s="26"/>
      <c r="O96" s="508"/>
      <c r="P96" s="508"/>
      <c r="Q96" s="321"/>
      <c r="R96" s="328"/>
      <c r="S96" s="26"/>
      <c r="T96" s="26"/>
      <c r="U96" s="26"/>
      <c r="V96" s="26"/>
      <c r="W96" s="26"/>
      <c r="X96" s="26"/>
      <c r="Y96" s="26"/>
      <c r="Z96" s="26"/>
      <c r="AA96" s="26"/>
      <c r="AB96" s="26"/>
      <c r="AC96" s="26"/>
      <c r="AD96" s="26"/>
      <c r="AE96" s="26"/>
      <c r="AF96" s="414"/>
      <c r="AG96" s="26"/>
      <c r="AH96" s="26"/>
      <c r="AI96" s="26"/>
      <c r="AJ96" s="26"/>
      <c r="AK96" s="26"/>
      <c r="AL96" s="26"/>
      <c r="AM96" s="26"/>
      <c r="AN96" s="26"/>
      <c r="AO96" s="26"/>
      <c r="AP96" s="26"/>
      <c r="AQ96" s="26"/>
      <c r="AR96" s="26"/>
      <c r="AS96" s="26"/>
      <c r="AT96" s="26"/>
    </row>
    <row r="97" spans="1:46">
      <c r="A97" s="26"/>
      <c r="B97" s="508"/>
      <c r="C97" s="508"/>
      <c r="D97" s="508"/>
      <c r="E97" s="508"/>
      <c r="F97" s="26"/>
      <c r="G97" s="26"/>
      <c r="H97" s="26"/>
      <c r="I97" s="26"/>
      <c r="J97" s="26"/>
      <c r="K97" s="26"/>
      <c r="L97" s="26"/>
      <c r="M97" s="26"/>
      <c r="N97" s="26"/>
      <c r="O97" s="508"/>
      <c r="P97" s="508"/>
      <c r="Q97" s="321"/>
      <c r="R97" s="328"/>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row>
    <row r="98" spans="1:46">
      <c r="A98" s="26"/>
      <c r="B98" s="508"/>
      <c r="C98" s="508"/>
      <c r="D98" s="508"/>
      <c r="E98" s="508"/>
      <c r="F98" s="26"/>
      <c r="G98" s="26"/>
      <c r="H98" s="26"/>
      <c r="I98" s="26"/>
      <c r="J98" s="26"/>
      <c r="K98" s="26"/>
      <c r="L98" s="26"/>
      <c r="M98" s="26"/>
      <c r="N98" s="26"/>
      <c r="O98" s="508"/>
      <c r="P98" s="508"/>
      <c r="Q98" s="321"/>
      <c r="R98" s="328"/>
      <c r="S98" s="26"/>
      <c r="T98" s="26"/>
      <c r="U98" s="26"/>
      <c r="V98" s="26"/>
      <c r="W98" s="26"/>
      <c r="X98" s="30"/>
      <c r="Y98" s="431"/>
      <c r="Z98" s="415"/>
      <c r="AA98" s="30"/>
      <c r="AB98" s="26"/>
      <c r="AC98" s="26"/>
      <c r="AD98" s="30"/>
      <c r="AE98" s="415"/>
      <c r="AF98" s="26"/>
      <c r="AG98" s="26"/>
      <c r="AH98" s="26"/>
      <c r="AI98" s="26"/>
      <c r="AJ98" s="26"/>
      <c r="AK98" s="26"/>
      <c r="AL98" s="26"/>
      <c r="AM98" s="26"/>
      <c r="AN98" s="26"/>
      <c r="AO98" s="26"/>
      <c r="AP98" s="26"/>
      <c r="AQ98" s="26"/>
      <c r="AR98" s="26"/>
      <c r="AS98" s="26"/>
      <c r="AT98" s="26"/>
    </row>
    <row r="99" spans="1:46">
      <c r="A99" s="26"/>
      <c r="B99" s="508"/>
      <c r="C99" s="508"/>
      <c r="D99" s="508"/>
      <c r="E99" s="508"/>
      <c r="F99" s="26"/>
      <c r="G99" s="26"/>
      <c r="H99" s="26"/>
      <c r="I99" s="26"/>
      <c r="J99" s="26"/>
      <c r="K99" s="26"/>
      <c r="L99" s="26"/>
      <c r="M99" s="26"/>
      <c r="N99" s="26"/>
      <c r="O99" s="508"/>
      <c r="P99" s="508"/>
      <c r="Q99" s="321"/>
      <c r="R99" s="328"/>
      <c r="S99" s="26"/>
      <c r="T99" s="26"/>
      <c r="U99" s="26"/>
      <c r="V99" s="26"/>
      <c r="W99" s="26"/>
      <c r="X99" s="30"/>
      <c r="Y99" s="431"/>
      <c r="Z99" s="415"/>
      <c r="AA99" s="30"/>
      <c r="AB99" s="26"/>
      <c r="AC99" s="26"/>
      <c r="AD99" s="30"/>
      <c r="AE99" s="415"/>
      <c r="AF99" s="414"/>
      <c r="AG99" s="26"/>
      <c r="AH99" s="26"/>
      <c r="AI99" s="26"/>
      <c r="AJ99" s="26"/>
      <c r="AK99" s="26"/>
      <c r="AL99" s="26"/>
      <c r="AM99" s="26"/>
      <c r="AN99" s="26"/>
      <c r="AO99" s="26"/>
      <c r="AP99" s="26"/>
      <c r="AQ99" s="26"/>
      <c r="AR99" s="26"/>
      <c r="AS99" s="26"/>
      <c r="AT99" s="26"/>
    </row>
    <row r="100" spans="1:46">
      <c r="A100" s="26"/>
      <c r="B100" s="508"/>
      <c r="C100" s="508"/>
      <c r="D100" s="508"/>
      <c r="E100" s="508"/>
      <c r="F100" s="26"/>
      <c r="G100" s="26"/>
      <c r="H100" s="26"/>
      <c r="I100" s="26"/>
      <c r="J100" s="26"/>
      <c r="K100" s="26"/>
      <c r="L100" s="26"/>
      <c r="M100" s="26"/>
      <c r="N100" s="26"/>
      <c r="O100" s="508"/>
      <c r="P100" s="508"/>
      <c r="Q100" s="321"/>
      <c r="R100" s="328"/>
      <c r="S100" s="26"/>
      <c r="T100" s="26"/>
      <c r="U100" s="26"/>
      <c r="V100" s="26"/>
      <c r="W100" s="26"/>
      <c r="X100" s="30"/>
      <c r="Y100" s="431"/>
      <c r="Z100" s="415"/>
      <c r="AA100" s="30"/>
      <c r="AB100" s="26"/>
      <c r="AC100" s="26"/>
      <c r="AD100" s="30"/>
      <c r="AE100" s="415"/>
      <c r="AF100" s="414"/>
      <c r="AG100" s="26"/>
      <c r="AH100" s="26"/>
      <c r="AI100" s="26"/>
      <c r="AJ100" s="26"/>
      <c r="AK100" s="26"/>
      <c r="AL100" s="26"/>
      <c r="AM100" s="26"/>
      <c r="AN100" s="26"/>
      <c r="AO100" s="26"/>
      <c r="AP100" s="26"/>
      <c r="AQ100" s="26"/>
      <c r="AR100" s="26"/>
      <c r="AS100" s="26"/>
      <c r="AT100" s="26"/>
    </row>
    <row r="101" spans="1:46">
      <c r="A101" s="26"/>
      <c r="B101" s="508"/>
      <c r="C101" s="508"/>
      <c r="D101" s="508"/>
      <c r="E101" s="508"/>
      <c r="F101" s="26"/>
      <c r="G101" s="26"/>
      <c r="H101" s="26"/>
      <c r="I101" s="26"/>
      <c r="J101" s="26"/>
      <c r="K101" s="26"/>
      <c r="L101" s="26"/>
      <c r="M101" s="26"/>
      <c r="N101" s="26"/>
      <c r="O101" s="508"/>
      <c r="P101" s="508"/>
      <c r="Q101" s="321"/>
      <c r="R101" s="328"/>
      <c r="S101" s="26"/>
      <c r="T101" s="26"/>
      <c r="U101" s="26"/>
      <c r="V101" s="26"/>
      <c r="W101" s="26"/>
      <c r="X101" s="30"/>
      <c r="Y101" s="431"/>
      <c r="Z101" s="415"/>
      <c r="AA101" s="30"/>
      <c r="AB101" s="26"/>
      <c r="AC101" s="26"/>
      <c r="AD101" s="30"/>
      <c r="AE101" s="415"/>
      <c r="AF101" s="414"/>
      <c r="AG101" s="26"/>
      <c r="AH101" s="26"/>
      <c r="AI101" s="26"/>
      <c r="AJ101" s="26"/>
      <c r="AK101" s="26"/>
      <c r="AL101" s="26"/>
      <c r="AM101" s="26"/>
      <c r="AN101" s="26"/>
      <c r="AO101" s="26"/>
      <c r="AP101" s="26"/>
      <c r="AQ101" s="26"/>
      <c r="AR101" s="26"/>
      <c r="AS101" s="26"/>
      <c r="AT101" s="26"/>
    </row>
    <row r="102" spans="1:46">
      <c r="A102" s="26"/>
      <c r="B102" s="508"/>
      <c r="C102" s="508"/>
      <c r="D102" s="508"/>
      <c r="E102" s="508"/>
      <c r="F102" s="26"/>
      <c r="G102" s="26"/>
      <c r="H102" s="26"/>
      <c r="I102" s="26"/>
      <c r="J102" s="26"/>
      <c r="K102" s="26"/>
      <c r="L102" s="26"/>
      <c r="M102" s="26"/>
      <c r="N102" s="26"/>
      <c r="O102" s="508"/>
      <c r="P102" s="508"/>
      <c r="Q102" s="321"/>
      <c r="R102" s="328"/>
      <c r="S102" s="26"/>
      <c r="T102" s="26"/>
      <c r="U102" s="26"/>
      <c r="V102" s="26"/>
      <c r="W102" s="26"/>
      <c r="X102" s="26"/>
      <c r="Y102" s="26"/>
      <c r="Z102" s="26"/>
      <c r="AA102" s="26"/>
      <c r="AB102" s="26"/>
      <c r="AC102" s="26"/>
      <c r="AD102" s="26"/>
      <c r="AE102" s="26"/>
      <c r="AF102" s="414"/>
      <c r="AG102" s="26"/>
      <c r="AH102" s="26"/>
      <c r="AI102" s="26"/>
      <c r="AJ102" s="26"/>
      <c r="AK102" s="26"/>
      <c r="AL102" s="26"/>
      <c r="AM102" s="26"/>
      <c r="AN102" s="26"/>
      <c r="AO102" s="26"/>
      <c r="AP102" s="26"/>
      <c r="AQ102" s="26"/>
      <c r="AR102" s="26"/>
      <c r="AS102" s="26"/>
      <c r="AT102" s="26"/>
    </row>
    <row r="103" spans="1:46">
      <c r="A103" s="26"/>
      <c r="B103" s="508"/>
      <c r="C103" s="508"/>
      <c r="D103" s="508"/>
      <c r="E103" s="508"/>
      <c r="F103" s="26"/>
      <c r="G103" s="26"/>
      <c r="H103" s="26"/>
      <c r="I103" s="26"/>
      <c r="J103" s="26"/>
      <c r="K103" s="26"/>
      <c r="L103" s="26"/>
      <c r="M103" s="26"/>
      <c r="N103" s="26"/>
      <c r="O103" s="508"/>
      <c r="P103" s="508"/>
      <c r="Q103" s="321"/>
      <c r="R103" s="328"/>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c r="A104" s="26"/>
      <c r="B104" s="508"/>
      <c r="C104" s="508"/>
      <c r="D104" s="508"/>
      <c r="E104" s="508"/>
      <c r="F104" s="26"/>
      <c r="G104" s="26"/>
      <c r="H104" s="26"/>
      <c r="I104" s="26"/>
      <c r="J104" s="26"/>
      <c r="K104" s="26"/>
      <c r="L104" s="26"/>
      <c r="M104" s="26"/>
      <c r="N104" s="26"/>
      <c r="O104" s="508"/>
      <c r="P104" s="508"/>
      <c r="Q104" s="321"/>
      <c r="R104" s="328"/>
      <c r="S104" s="26"/>
      <c r="T104" s="26"/>
      <c r="U104" s="26"/>
      <c r="V104" s="26"/>
      <c r="W104" s="26"/>
      <c r="X104" s="30"/>
      <c r="Y104" s="431"/>
      <c r="Z104" s="415"/>
      <c r="AA104" s="30"/>
      <c r="AB104" s="26"/>
      <c r="AC104" s="26"/>
      <c r="AD104" s="30"/>
      <c r="AE104" s="415"/>
      <c r="AF104" s="26"/>
      <c r="AG104" s="26"/>
      <c r="AH104" s="26"/>
      <c r="AI104" s="26"/>
      <c r="AJ104" s="26"/>
      <c r="AK104" s="26"/>
      <c r="AL104" s="26"/>
      <c r="AM104" s="26"/>
      <c r="AN104" s="26"/>
      <c r="AO104" s="26"/>
      <c r="AP104" s="26"/>
      <c r="AQ104" s="26"/>
      <c r="AR104" s="26"/>
      <c r="AS104" s="26"/>
      <c r="AT104" s="26"/>
    </row>
    <row r="105" spans="1:46">
      <c r="A105" s="26"/>
      <c r="B105" s="508"/>
      <c r="C105" s="508"/>
      <c r="D105" s="508"/>
      <c r="E105" s="508"/>
      <c r="F105" s="26"/>
      <c r="G105" s="26"/>
      <c r="H105" s="26"/>
      <c r="I105" s="26"/>
      <c r="J105" s="26"/>
      <c r="K105" s="26"/>
      <c r="L105" s="26"/>
      <c r="M105" s="26"/>
      <c r="N105" s="26"/>
      <c r="O105" s="508"/>
      <c r="P105" s="508"/>
      <c r="Q105" s="321"/>
      <c r="R105" s="328"/>
      <c r="S105" s="26"/>
      <c r="T105" s="26"/>
      <c r="U105" s="26"/>
      <c r="V105" s="26"/>
      <c r="W105" s="26"/>
      <c r="X105" s="30"/>
      <c r="Y105" s="431"/>
      <c r="Z105" s="415"/>
      <c r="AA105" s="30"/>
      <c r="AB105" s="26"/>
      <c r="AC105" s="26"/>
      <c r="AD105" s="30"/>
      <c r="AE105" s="415"/>
      <c r="AF105" s="414"/>
      <c r="AG105" s="26"/>
      <c r="AH105" s="26"/>
      <c r="AI105" s="26"/>
      <c r="AJ105" s="26"/>
      <c r="AK105" s="26"/>
      <c r="AL105" s="26"/>
      <c r="AM105" s="26"/>
      <c r="AN105" s="26"/>
      <c r="AO105" s="26"/>
      <c r="AP105" s="26"/>
      <c r="AQ105" s="26"/>
      <c r="AR105" s="26"/>
      <c r="AS105" s="26"/>
      <c r="AT105" s="26"/>
    </row>
    <row r="106" spans="1:46">
      <c r="A106" s="26"/>
      <c r="B106" s="508"/>
      <c r="C106" s="508"/>
      <c r="D106" s="508"/>
      <c r="E106" s="508"/>
      <c r="F106" s="26"/>
      <c r="G106" s="26"/>
      <c r="H106" s="26"/>
      <c r="I106" s="26"/>
      <c r="J106" s="26"/>
      <c r="K106" s="26"/>
      <c r="L106" s="26"/>
      <c r="M106" s="26"/>
      <c r="N106" s="26"/>
      <c r="O106" s="508"/>
      <c r="P106" s="508"/>
      <c r="Q106" s="321"/>
      <c r="R106" s="328"/>
      <c r="S106" s="26"/>
      <c r="T106" s="26"/>
      <c r="U106" s="26"/>
      <c r="V106" s="26"/>
      <c r="W106" s="26"/>
      <c r="X106" s="30"/>
      <c r="Y106" s="431"/>
      <c r="Z106" s="415"/>
      <c r="AA106" s="30"/>
      <c r="AB106" s="26"/>
      <c r="AC106" s="26"/>
      <c r="AD106" s="30"/>
      <c r="AE106" s="415"/>
      <c r="AF106" s="414"/>
      <c r="AG106" s="26"/>
      <c r="AH106" s="26"/>
      <c r="AI106" s="26"/>
      <c r="AJ106" s="26"/>
      <c r="AK106" s="26"/>
      <c r="AL106" s="26"/>
      <c r="AM106" s="26"/>
      <c r="AN106" s="26"/>
      <c r="AO106" s="26"/>
      <c r="AP106" s="26"/>
      <c r="AQ106" s="26"/>
      <c r="AR106" s="26"/>
      <c r="AS106" s="26"/>
      <c r="AT106" s="26"/>
    </row>
    <row r="107" spans="1:46">
      <c r="A107" s="26"/>
      <c r="B107" s="508"/>
      <c r="C107" s="508"/>
      <c r="D107" s="508"/>
      <c r="E107" s="508"/>
      <c r="F107" s="26"/>
      <c r="G107" s="26"/>
      <c r="H107" s="26"/>
      <c r="I107" s="26"/>
      <c r="J107" s="26"/>
      <c r="K107" s="26"/>
      <c r="L107" s="26"/>
      <c r="M107" s="26"/>
      <c r="N107" s="26"/>
      <c r="O107" s="508"/>
      <c r="P107" s="508"/>
      <c r="Q107" s="321"/>
      <c r="R107" s="328"/>
      <c r="S107" s="26"/>
      <c r="T107" s="26"/>
      <c r="U107" s="26"/>
      <c r="V107" s="26"/>
      <c r="W107" s="26"/>
      <c r="X107" s="30"/>
      <c r="Y107" s="431"/>
      <c r="Z107" s="415"/>
      <c r="AA107" s="30"/>
      <c r="AB107" s="26"/>
      <c r="AC107" s="26"/>
      <c r="AD107" s="30"/>
      <c r="AE107" s="415"/>
      <c r="AF107" s="414"/>
      <c r="AG107" s="26"/>
      <c r="AH107" s="26"/>
      <c r="AI107" s="26"/>
      <c r="AJ107" s="26"/>
      <c r="AK107" s="26"/>
      <c r="AL107" s="26"/>
      <c r="AM107" s="26"/>
      <c r="AN107" s="26"/>
      <c r="AO107" s="26"/>
      <c r="AP107" s="26"/>
      <c r="AQ107" s="26"/>
      <c r="AR107" s="26"/>
      <c r="AS107" s="26"/>
      <c r="AT107" s="26"/>
    </row>
    <row r="108" spans="1:46">
      <c r="A108" s="26"/>
      <c r="B108" s="508"/>
      <c r="C108" s="508"/>
      <c r="D108" s="508"/>
      <c r="E108" s="508"/>
      <c r="F108" s="26"/>
      <c r="G108" s="26"/>
      <c r="H108" s="26"/>
      <c r="I108" s="26"/>
      <c r="J108" s="26"/>
      <c r="K108" s="26"/>
      <c r="L108" s="26"/>
      <c r="M108" s="26"/>
      <c r="N108" s="26"/>
      <c r="O108" s="508"/>
      <c r="P108" s="508"/>
      <c r="Q108" s="321"/>
      <c r="R108" s="328"/>
      <c r="S108" s="26"/>
      <c r="T108" s="26"/>
      <c r="U108" s="26"/>
      <c r="V108" s="26"/>
      <c r="W108" s="26"/>
      <c r="X108" s="26"/>
      <c r="Y108" s="26"/>
      <c r="Z108" s="26"/>
      <c r="AA108" s="26"/>
      <c r="AB108" s="26"/>
      <c r="AC108" s="26"/>
      <c r="AD108" s="26"/>
      <c r="AE108" s="26"/>
      <c r="AF108" s="414"/>
      <c r="AG108" s="26"/>
      <c r="AH108" s="26"/>
      <c r="AI108" s="26"/>
      <c r="AJ108" s="26"/>
      <c r="AK108" s="26"/>
      <c r="AL108" s="26"/>
      <c r="AM108" s="26"/>
      <c r="AN108" s="26"/>
      <c r="AO108" s="26"/>
      <c r="AP108" s="26"/>
      <c r="AQ108" s="26"/>
      <c r="AR108" s="26"/>
      <c r="AS108" s="26"/>
      <c r="AT108" s="26"/>
    </row>
    <row r="109" spans="1:46">
      <c r="A109" s="26"/>
      <c r="B109" s="508"/>
      <c r="C109" s="508"/>
      <c r="D109" s="508"/>
      <c r="E109" s="508"/>
      <c r="F109" s="26"/>
      <c r="G109" s="26"/>
      <c r="H109" s="26"/>
      <c r="I109" s="26"/>
      <c r="J109" s="26"/>
      <c r="K109" s="26"/>
      <c r="L109" s="26"/>
      <c r="M109" s="26"/>
      <c r="N109" s="26"/>
      <c r="O109" s="508"/>
      <c r="P109" s="508"/>
      <c r="Q109" s="321"/>
      <c r="R109" s="328"/>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c r="A110" s="26"/>
      <c r="B110" s="508"/>
      <c r="C110" s="508"/>
      <c r="D110" s="508"/>
      <c r="E110" s="508"/>
      <c r="F110" s="26"/>
      <c r="G110" s="26"/>
      <c r="H110" s="26"/>
      <c r="I110" s="26"/>
      <c r="J110" s="26"/>
      <c r="K110" s="26"/>
      <c r="L110" s="26"/>
      <c r="M110" s="26"/>
      <c r="N110" s="26"/>
      <c r="O110" s="508"/>
      <c r="P110" s="508"/>
      <c r="Q110" s="321"/>
      <c r="R110" s="328"/>
      <c r="S110" s="26"/>
      <c r="T110" s="26"/>
      <c r="U110" s="26"/>
      <c r="V110" s="26"/>
      <c r="W110" s="26"/>
      <c r="X110" s="30"/>
      <c r="Y110" s="431"/>
      <c r="Z110" s="415"/>
      <c r="AA110" s="30"/>
      <c r="AB110" s="26"/>
      <c r="AC110" s="26"/>
      <c r="AD110" s="30"/>
      <c r="AE110" s="415"/>
      <c r="AF110" s="26"/>
      <c r="AG110" s="26"/>
      <c r="AH110" s="26"/>
      <c r="AI110" s="26"/>
      <c r="AJ110" s="26"/>
      <c r="AK110" s="26"/>
      <c r="AL110" s="26"/>
      <c r="AM110" s="26"/>
      <c r="AN110" s="26"/>
      <c r="AO110" s="26"/>
      <c r="AP110" s="26"/>
      <c r="AQ110" s="26"/>
      <c r="AR110" s="26"/>
      <c r="AS110" s="26"/>
      <c r="AT110" s="26"/>
    </row>
    <row r="111" spans="1:46">
      <c r="A111" s="26"/>
      <c r="B111" s="508"/>
      <c r="C111" s="508"/>
      <c r="D111" s="508"/>
      <c r="E111" s="508"/>
      <c r="F111" s="26"/>
      <c r="G111" s="26"/>
      <c r="H111" s="26"/>
      <c r="I111" s="26"/>
      <c r="J111" s="26"/>
      <c r="K111" s="26"/>
      <c r="L111" s="26"/>
      <c r="M111" s="26"/>
      <c r="N111" s="26"/>
      <c r="O111" s="508"/>
      <c r="P111" s="508"/>
      <c r="Q111" s="321"/>
      <c r="R111" s="328"/>
      <c r="S111" s="26"/>
      <c r="T111" s="26"/>
      <c r="U111" s="26"/>
      <c r="V111" s="26"/>
      <c r="W111" s="26"/>
      <c r="X111" s="30"/>
      <c r="Y111" s="431"/>
      <c r="Z111" s="415"/>
      <c r="AA111" s="30"/>
      <c r="AB111" s="26"/>
      <c r="AC111" s="26"/>
      <c r="AD111" s="30"/>
      <c r="AE111" s="415"/>
      <c r="AF111" s="26"/>
      <c r="AG111" s="26"/>
      <c r="AH111" s="26"/>
      <c r="AI111" s="26"/>
      <c r="AJ111" s="26"/>
      <c r="AK111" s="26"/>
      <c r="AL111" s="26"/>
      <c r="AM111" s="26"/>
      <c r="AN111" s="26"/>
      <c r="AO111" s="26"/>
      <c r="AP111" s="26"/>
      <c r="AQ111" s="26"/>
      <c r="AR111" s="26"/>
      <c r="AS111" s="26"/>
      <c r="AT111" s="26"/>
    </row>
    <row r="112" spans="1:46">
      <c r="A112" s="26"/>
      <c r="B112" s="508"/>
      <c r="C112" s="508"/>
      <c r="D112" s="508"/>
      <c r="E112" s="508"/>
      <c r="F112" s="26"/>
      <c r="G112" s="26"/>
      <c r="H112" s="26"/>
      <c r="I112" s="26"/>
      <c r="J112" s="26"/>
      <c r="K112" s="26"/>
      <c r="L112" s="26"/>
      <c r="M112" s="26"/>
      <c r="N112" s="26"/>
      <c r="O112" s="508"/>
      <c r="P112" s="508"/>
      <c r="Q112" s="321"/>
      <c r="R112" s="328"/>
      <c r="S112" s="26"/>
      <c r="T112" s="26"/>
      <c r="U112" s="26"/>
      <c r="V112" s="26"/>
      <c r="W112" s="26"/>
      <c r="X112" s="30"/>
      <c r="Y112" s="431"/>
      <c r="Z112" s="415"/>
      <c r="AA112" s="30"/>
      <c r="AB112" s="26"/>
      <c r="AC112" s="26"/>
      <c r="AD112" s="30"/>
      <c r="AE112" s="415"/>
      <c r="AF112" s="26"/>
      <c r="AG112" s="26"/>
      <c r="AH112" s="26"/>
      <c r="AI112" s="26"/>
      <c r="AJ112" s="26"/>
      <c r="AK112" s="26"/>
      <c r="AL112" s="26"/>
      <c r="AM112" s="26"/>
      <c r="AN112" s="26"/>
      <c r="AO112" s="26"/>
      <c r="AP112" s="26"/>
      <c r="AQ112" s="26"/>
      <c r="AR112" s="26"/>
      <c r="AS112" s="26"/>
      <c r="AT112" s="26"/>
    </row>
    <row r="113" spans="1:46">
      <c r="A113" s="26"/>
      <c r="B113" s="508"/>
      <c r="C113" s="508"/>
      <c r="D113" s="508"/>
      <c r="E113" s="508"/>
      <c r="F113" s="26"/>
      <c r="G113" s="26"/>
      <c r="H113" s="26"/>
      <c r="I113" s="26"/>
      <c r="J113" s="26"/>
      <c r="K113" s="26"/>
      <c r="L113" s="26"/>
      <c r="M113" s="26"/>
      <c r="N113" s="26"/>
      <c r="O113" s="508"/>
      <c r="P113" s="508"/>
      <c r="Q113" s="321"/>
      <c r="R113" s="328"/>
      <c r="S113" s="26"/>
      <c r="T113" s="26"/>
      <c r="U113" s="26"/>
      <c r="V113" s="26"/>
      <c r="W113" s="26"/>
      <c r="X113" s="30"/>
      <c r="Y113" s="431"/>
      <c r="Z113" s="415"/>
      <c r="AA113" s="30"/>
      <c r="AB113" s="26"/>
      <c r="AC113" s="26"/>
      <c r="AD113" s="30"/>
      <c r="AE113" s="415"/>
      <c r="AF113" s="26"/>
      <c r="AG113" s="26"/>
      <c r="AH113" s="26"/>
      <c r="AI113" s="26"/>
      <c r="AJ113" s="26"/>
      <c r="AK113" s="26"/>
      <c r="AL113" s="26"/>
      <c r="AM113" s="26"/>
      <c r="AN113" s="26"/>
      <c r="AO113" s="26"/>
      <c r="AP113" s="26"/>
      <c r="AQ113" s="26"/>
      <c r="AR113" s="26"/>
      <c r="AS113" s="26"/>
      <c r="AT113" s="26"/>
    </row>
  </sheetData>
  <mergeCells count="6">
    <mergeCell ref="B18:C18"/>
    <mergeCell ref="B2:C2"/>
    <mergeCell ref="AF2:AI2"/>
    <mergeCell ref="B15:C15"/>
    <mergeCell ref="C16:D16"/>
    <mergeCell ref="B17:C17"/>
  </mergeCells>
  <pageMargins left="0.7" right="0.7" top="0.75" bottom="0.75" header="0.3" footer="0.3"/>
  <pageSetup scale="66" orientation="landscape"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898B1-EF6F-4B9C-80CC-92849A3BD5B4}">
  <sheetPr>
    <pageSetUpPr fitToPage="1"/>
  </sheetPr>
  <dimension ref="A1:S65"/>
  <sheetViews>
    <sheetView workbookViewId="0">
      <selection activeCell="M16" sqref="M16"/>
    </sheetView>
  </sheetViews>
  <sheetFormatPr defaultRowHeight="15"/>
  <cols>
    <col min="1" max="1" width="14.5546875" bestFit="1" customWidth="1"/>
    <col min="7" max="7" width="9.6640625" bestFit="1" customWidth="1"/>
  </cols>
  <sheetData>
    <row r="1" spans="1:19">
      <c r="A1" s="521" t="s">
        <v>16</v>
      </c>
      <c r="B1" s="521"/>
      <c r="C1" s="521"/>
      <c r="D1" s="521"/>
      <c r="E1" s="521"/>
      <c r="F1" s="521"/>
      <c r="G1" s="521"/>
      <c r="H1" s="521"/>
      <c r="I1" s="518"/>
      <c r="J1" s="518"/>
      <c r="K1" s="518"/>
      <c r="L1" s="518"/>
      <c r="M1" s="518"/>
      <c r="N1" s="518"/>
      <c r="O1" s="518"/>
      <c r="P1" s="518"/>
      <c r="Q1" s="518"/>
      <c r="R1" s="518"/>
      <c r="S1" s="518"/>
    </row>
    <row r="2" spans="1:19">
      <c r="A2" s="521" t="s">
        <v>1125</v>
      </c>
      <c r="B2" s="521"/>
      <c r="C2" s="521"/>
      <c r="D2" s="521"/>
      <c r="E2" s="521"/>
      <c r="F2" s="521"/>
      <c r="G2" s="521"/>
      <c r="H2" s="521"/>
      <c r="I2" s="518"/>
      <c r="J2" s="518"/>
      <c r="K2" s="518"/>
      <c r="L2" s="518"/>
      <c r="M2" s="518"/>
      <c r="N2" s="518"/>
      <c r="O2" s="518"/>
      <c r="P2" s="518"/>
      <c r="Q2" s="518"/>
      <c r="R2" s="518"/>
      <c r="S2" s="518"/>
    </row>
    <row r="3" spans="1:19">
      <c r="A3" s="521" t="s">
        <v>1124</v>
      </c>
      <c r="B3" s="521"/>
      <c r="C3" s="521"/>
      <c r="D3" s="521"/>
      <c r="E3" s="521"/>
      <c r="F3" s="521"/>
      <c r="G3" s="521"/>
      <c r="H3" s="521"/>
      <c r="I3" s="518"/>
      <c r="J3" s="518"/>
      <c r="K3" s="518"/>
      <c r="L3" s="518"/>
      <c r="M3" s="518"/>
      <c r="N3" s="518"/>
      <c r="O3" s="518"/>
      <c r="P3" s="518"/>
      <c r="Q3" s="518"/>
      <c r="R3" s="518"/>
      <c r="S3" s="518"/>
    </row>
    <row r="4" spans="1:19">
      <c r="A4" s="518"/>
      <c r="B4" s="518"/>
      <c r="C4" s="518"/>
      <c r="D4" s="518"/>
      <c r="E4" s="518"/>
      <c r="F4" s="518"/>
      <c r="G4" s="518"/>
      <c r="H4" s="518"/>
      <c r="I4" s="518"/>
      <c r="J4" s="518"/>
      <c r="K4" s="518"/>
      <c r="L4" s="518"/>
      <c r="M4" s="518"/>
      <c r="N4" s="518"/>
      <c r="O4" s="518"/>
      <c r="P4" s="518"/>
      <c r="Q4" s="518"/>
      <c r="R4" s="518"/>
      <c r="S4" s="518"/>
    </row>
    <row r="5" spans="1:19">
      <c r="A5" s="518"/>
      <c r="B5" s="518"/>
      <c r="C5" s="518"/>
      <c r="D5" s="518"/>
      <c r="E5" s="518"/>
      <c r="F5" s="518"/>
      <c r="G5" s="518"/>
      <c r="H5" s="518" t="s">
        <v>770</v>
      </c>
      <c r="I5" s="518"/>
      <c r="J5" s="518"/>
      <c r="K5" s="518"/>
      <c r="L5" s="518"/>
      <c r="M5" s="518"/>
      <c r="N5" s="518"/>
      <c r="O5" s="518"/>
      <c r="P5" s="518"/>
      <c r="Q5" s="518"/>
      <c r="R5" s="518"/>
      <c r="S5" s="518"/>
    </row>
    <row r="6" spans="1:19">
      <c r="A6" s="518" t="s">
        <v>1126</v>
      </c>
      <c r="B6" s="518"/>
      <c r="C6" s="518"/>
      <c r="D6" s="518"/>
      <c r="E6" s="518"/>
      <c r="F6" s="518"/>
      <c r="G6" s="518" t="s">
        <v>529</v>
      </c>
      <c r="H6" s="518" t="s">
        <v>1133</v>
      </c>
      <c r="I6" s="518"/>
      <c r="J6" s="518"/>
      <c r="K6" s="518"/>
      <c r="L6" s="518"/>
      <c r="M6" s="518"/>
      <c r="N6" s="518"/>
      <c r="O6" s="518"/>
      <c r="P6" s="518"/>
      <c r="Q6" s="518"/>
      <c r="R6" s="518"/>
      <c r="S6" s="518"/>
    </row>
    <row r="7" spans="1:19">
      <c r="A7" s="518"/>
      <c r="B7" s="518"/>
      <c r="C7" s="518"/>
      <c r="D7" s="518"/>
      <c r="E7" s="518" t="s">
        <v>1131</v>
      </c>
      <c r="F7" s="518" t="s">
        <v>1132</v>
      </c>
      <c r="G7" s="518" t="s">
        <v>1082</v>
      </c>
      <c r="H7" s="518" t="s">
        <v>1134</v>
      </c>
      <c r="I7" s="518"/>
      <c r="J7" s="518"/>
      <c r="K7" s="518"/>
      <c r="L7" s="518"/>
      <c r="M7" s="518"/>
      <c r="N7" s="518"/>
      <c r="O7" s="518"/>
      <c r="P7" s="518"/>
      <c r="Q7" s="518"/>
      <c r="R7" s="518"/>
      <c r="S7" s="518"/>
    </row>
    <row r="8" spans="1:19">
      <c r="A8" s="518" t="s">
        <v>1128</v>
      </c>
      <c r="B8" s="518"/>
      <c r="C8" s="518"/>
      <c r="D8" s="518"/>
      <c r="E8" s="518"/>
      <c r="F8" s="518"/>
      <c r="G8" s="518"/>
      <c r="H8" s="518"/>
      <c r="I8" s="518"/>
      <c r="J8" s="518"/>
      <c r="K8" s="518"/>
      <c r="L8" s="518"/>
      <c r="M8" s="518"/>
      <c r="N8" s="518"/>
      <c r="O8" s="518"/>
      <c r="P8" s="518"/>
      <c r="Q8" s="518"/>
      <c r="R8" s="518"/>
      <c r="S8" s="518"/>
    </row>
    <row r="9" spans="1:19">
      <c r="A9" s="518" t="s">
        <v>1127</v>
      </c>
      <c r="B9" s="518"/>
      <c r="C9" s="518">
        <f>4+5+2+16</f>
        <v>27</v>
      </c>
      <c r="D9" s="518"/>
      <c r="E9" s="518">
        <v>1314.7</v>
      </c>
      <c r="F9" s="518">
        <v>1353.1</v>
      </c>
      <c r="G9" s="518">
        <f>+F9-E9</f>
        <v>38.399999999999864</v>
      </c>
      <c r="H9" s="518">
        <f>(+C9*G9)*12</f>
        <v>12441.599999999955</v>
      </c>
      <c r="I9" s="518"/>
      <c r="J9" s="518"/>
      <c r="K9" s="518"/>
      <c r="L9" s="518"/>
      <c r="M9" s="518"/>
      <c r="N9" s="518"/>
      <c r="O9" s="518"/>
      <c r="P9" s="518"/>
      <c r="Q9" s="518"/>
      <c r="R9" s="518"/>
      <c r="S9" s="518"/>
    </row>
    <row r="10" spans="1:19">
      <c r="A10" s="518"/>
      <c r="B10" s="518"/>
      <c r="C10" s="518"/>
      <c r="D10" s="518"/>
      <c r="E10" s="518"/>
      <c r="F10" s="518"/>
      <c r="G10" s="518"/>
      <c r="H10" s="518"/>
      <c r="I10" s="518"/>
      <c r="J10" s="518"/>
      <c r="K10" s="518"/>
      <c r="L10" s="518"/>
      <c r="M10" s="518"/>
      <c r="N10" s="518"/>
      <c r="O10" s="518"/>
      <c r="P10" s="518"/>
      <c r="Q10" s="518"/>
      <c r="R10" s="518"/>
      <c r="S10" s="518"/>
    </row>
    <row r="11" spans="1:19">
      <c r="A11" s="518" t="s">
        <v>1129</v>
      </c>
      <c r="B11" s="518"/>
      <c r="C11" s="518">
        <v>22</v>
      </c>
      <c r="D11" s="518"/>
      <c r="E11" s="518">
        <v>1548.8</v>
      </c>
      <c r="F11" s="518">
        <v>1600.6</v>
      </c>
      <c r="G11" s="518">
        <f t="shared" ref="G11:G12" si="0">+F11-E11</f>
        <v>51.799999999999955</v>
      </c>
      <c r="H11" s="518">
        <f t="shared" ref="H11:H12" si="1">(+C11*G11)*12</f>
        <v>13675.199999999988</v>
      </c>
      <c r="I11" s="518"/>
      <c r="J11" s="518"/>
      <c r="K11" s="518"/>
      <c r="L11" s="518"/>
      <c r="M11" s="518"/>
      <c r="N11" s="518"/>
      <c r="O11" s="518"/>
      <c r="P11" s="518"/>
      <c r="Q11" s="518"/>
      <c r="R11" s="518"/>
      <c r="S11" s="518"/>
    </row>
    <row r="12" spans="1:19">
      <c r="A12" s="518" t="s">
        <v>1130</v>
      </c>
      <c r="B12" s="518"/>
      <c r="C12" s="518">
        <v>8</v>
      </c>
      <c r="D12" s="518"/>
      <c r="E12" s="518">
        <v>1548.8</v>
      </c>
      <c r="F12" s="518">
        <v>1600.6</v>
      </c>
      <c r="G12" s="518">
        <f t="shared" si="0"/>
        <v>51.799999999999955</v>
      </c>
      <c r="H12" s="519">
        <f t="shared" si="1"/>
        <v>4972.7999999999956</v>
      </c>
      <c r="I12" s="518"/>
      <c r="J12" s="518"/>
      <c r="K12" s="518"/>
      <c r="L12" s="518"/>
      <c r="M12" s="518"/>
      <c r="N12" s="518"/>
      <c r="O12" s="518"/>
      <c r="P12" s="518"/>
      <c r="Q12" s="518"/>
      <c r="R12" s="518"/>
      <c r="S12" s="518"/>
    </row>
    <row r="13" spans="1:19">
      <c r="A13" s="518" t="s">
        <v>1134</v>
      </c>
      <c r="B13" s="518"/>
      <c r="C13" s="518"/>
      <c r="D13" s="518"/>
      <c r="E13" s="518"/>
      <c r="F13" s="518"/>
      <c r="G13" s="518"/>
      <c r="H13" s="518">
        <f>SUM(H9:H12)</f>
        <v>31089.59999999994</v>
      </c>
      <c r="I13" s="518"/>
      <c r="J13" s="518"/>
      <c r="K13" s="518"/>
      <c r="L13" s="518"/>
      <c r="M13" s="518"/>
      <c r="N13" s="518"/>
      <c r="O13" s="518"/>
      <c r="P13" s="518"/>
      <c r="Q13" s="518"/>
      <c r="R13" s="518"/>
      <c r="S13" s="518"/>
    </row>
    <row r="14" spans="1:19">
      <c r="A14" s="518"/>
      <c r="B14" s="518"/>
      <c r="C14" s="518"/>
      <c r="D14" s="518"/>
      <c r="E14" s="518"/>
      <c r="F14" s="518"/>
      <c r="G14" s="518"/>
      <c r="H14" s="518"/>
      <c r="I14" s="518"/>
      <c r="J14" s="518"/>
      <c r="K14" s="518"/>
      <c r="L14" s="518"/>
      <c r="M14" s="518"/>
      <c r="N14" s="518"/>
      <c r="O14" s="518"/>
      <c r="P14" s="518"/>
      <c r="Q14" s="518"/>
      <c r="R14" s="518"/>
      <c r="S14" s="518"/>
    </row>
    <row r="15" spans="1:19">
      <c r="A15" s="518"/>
      <c r="B15" s="518"/>
      <c r="C15" s="518"/>
      <c r="D15" s="518"/>
      <c r="E15" s="518"/>
      <c r="F15" s="518"/>
      <c r="G15" s="518"/>
      <c r="H15" s="518"/>
      <c r="I15" s="518"/>
      <c r="J15" s="518"/>
      <c r="K15" s="518"/>
      <c r="L15" s="518"/>
      <c r="M15" s="518"/>
      <c r="N15" s="518"/>
      <c r="O15" s="518"/>
      <c r="P15" s="518"/>
      <c r="Q15" s="518"/>
      <c r="R15" s="518"/>
      <c r="S15" s="518"/>
    </row>
    <row r="16" spans="1:19">
      <c r="A16" s="518"/>
      <c r="B16" s="518"/>
      <c r="C16" s="518"/>
      <c r="D16" s="518"/>
      <c r="E16" s="518"/>
      <c r="F16" s="518"/>
      <c r="G16" s="518"/>
      <c r="H16" s="518"/>
      <c r="I16" s="518"/>
      <c r="J16" s="518"/>
      <c r="K16" s="518"/>
      <c r="L16" s="518"/>
      <c r="M16" s="518"/>
      <c r="N16" s="518"/>
      <c r="O16" s="518"/>
      <c r="P16" s="518"/>
      <c r="Q16" s="518"/>
      <c r="R16" s="518"/>
      <c r="S16" s="518"/>
    </row>
    <row r="17" spans="1:19">
      <c r="A17" s="518"/>
      <c r="B17" s="518"/>
      <c r="C17" s="518"/>
      <c r="D17" s="518"/>
      <c r="E17" s="518"/>
      <c r="F17" s="518"/>
      <c r="G17" s="518"/>
      <c r="H17" s="518"/>
      <c r="I17" s="518"/>
      <c r="J17" s="518"/>
      <c r="K17" s="518"/>
      <c r="L17" s="518"/>
      <c r="M17" s="518"/>
      <c r="N17" s="518"/>
      <c r="O17" s="518"/>
      <c r="P17" s="518"/>
      <c r="Q17" s="518"/>
      <c r="R17" s="518"/>
      <c r="S17" s="518"/>
    </row>
    <row r="18" spans="1:19">
      <c r="A18" s="518"/>
      <c r="B18" s="518"/>
      <c r="C18" s="518"/>
      <c r="D18" s="518"/>
      <c r="E18" s="518"/>
      <c r="F18" s="518"/>
      <c r="G18" s="518"/>
      <c r="H18" s="518"/>
      <c r="I18" s="518"/>
      <c r="J18" s="518"/>
      <c r="K18" s="518"/>
      <c r="L18" s="518"/>
      <c r="M18" s="518"/>
      <c r="N18" s="518"/>
      <c r="O18" s="518"/>
      <c r="P18" s="518"/>
      <c r="Q18" s="518"/>
      <c r="R18" s="518"/>
      <c r="S18" s="518"/>
    </row>
    <row r="19" spans="1:19">
      <c r="A19" s="518"/>
      <c r="B19" s="518"/>
      <c r="C19" s="518"/>
      <c r="D19" s="518"/>
      <c r="E19" s="518"/>
      <c r="F19" s="518"/>
      <c r="G19" s="518"/>
      <c r="H19" s="518"/>
      <c r="I19" s="518"/>
      <c r="J19" s="518"/>
      <c r="K19" s="518"/>
      <c r="L19" s="518"/>
      <c r="M19" s="518"/>
      <c r="N19" s="518"/>
      <c r="O19" s="518"/>
      <c r="P19" s="518"/>
      <c r="Q19" s="518"/>
      <c r="R19" s="518"/>
      <c r="S19" s="518"/>
    </row>
    <row r="20" spans="1:19">
      <c r="A20" s="518"/>
      <c r="B20" s="518"/>
      <c r="C20" s="518"/>
      <c r="D20" s="518"/>
      <c r="E20" s="518"/>
      <c r="F20" s="518"/>
      <c r="G20" s="518"/>
      <c r="H20" s="518"/>
      <c r="I20" s="518"/>
      <c r="J20" s="518"/>
      <c r="K20" s="518"/>
      <c r="L20" s="518"/>
      <c r="M20" s="518"/>
      <c r="N20" s="518"/>
      <c r="O20" s="518"/>
      <c r="P20" s="518"/>
      <c r="Q20" s="518"/>
      <c r="R20" s="518"/>
      <c r="S20" s="518"/>
    </row>
    <row r="21" spans="1:19">
      <c r="A21" s="518"/>
      <c r="B21" s="518"/>
      <c r="C21" s="518"/>
      <c r="D21" s="518"/>
      <c r="E21" s="518"/>
      <c r="F21" s="518"/>
      <c r="G21" s="518"/>
      <c r="H21" s="518"/>
      <c r="I21" s="518"/>
      <c r="J21" s="518"/>
      <c r="K21" s="518"/>
      <c r="L21" s="518"/>
      <c r="M21" s="518"/>
      <c r="N21" s="518"/>
      <c r="O21" s="518"/>
      <c r="P21" s="518"/>
      <c r="Q21" s="518"/>
      <c r="R21" s="518"/>
      <c r="S21" s="518"/>
    </row>
    <row r="22" spans="1:19">
      <c r="A22" s="518"/>
      <c r="B22" s="518"/>
      <c r="C22" s="518"/>
      <c r="D22" s="518"/>
      <c r="E22" s="518"/>
      <c r="F22" s="518"/>
      <c r="G22" s="518"/>
      <c r="H22" s="518"/>
      <c r="I22" s="518"/>
      <c r="J22" s="518"/>
      <c r="K22" s="518"/>
      <c r="L22" s="518"/>
      <c r="M22" s="518"/>
      <c r="N22" s="518"/>
      <c r="O22" s="518"/>
      <c r="P22" s="518"/>
      <c r="Q22" s="518"/>
      <c r="R22" s="518"/>
      <c r="S22" s="518"/>
    </row>
    <row r="23" spans="1:19">
      <c r="A23" s="518"/>
      <c r="B23" s="518"/>
      <c r="C23" s="518"/>
      <c r="D23" s="518"/>
      <c r="E23" s="518"/>
      <c r="F23" s="518"/>
      <c r="G23" s="518"/>
      <c r="H23" s="518"/>
      <c r="I23" s="518"/>
      <c r="J23" s="518"/>
      <c r="K23" s="518"/>
      <c r="L23" s="518"/>
      <c r="M23" s="518"/>
      <c r="N23" s="518"/>
      <c r="O23" s="518"/>
      <c r="P23" s="518"/>
      <c r="Q23" s="518"/>
      <c r="R23" s="518"/>
      <c r="S23" s="518"/>
    </row>
    <row r="24" spans="1:19">
      <c r="A24" s="518"/>
      <c r="B24" s="518"/>
      <c r="C24" s="518"/>
      <c r="D24" s="518"/>
      <c r="E24" s="518"/>
      <c r="F24" s="518"/>
      <c r="G24" s="518"/>
      <c r="H24" s="518"/>
      <c r="I24" s="518"/>
      <c r="J24" s="518"/>
      <c r="K24" s="518"/>
      <c r="L24" s="518"/>
      <c r="M24" s="518"/>
      <c r="N24" s="518"/>
      <c r="O24" s="518"/>
      <c r="P24" s="518"/>
      <c r="Q24" s="518"/>
      <c r="R24" s="518"/>
      <c r="S24" s="518"/>
    </row>
    <row r="25" spans="1:19">
      <c r="A25" s="518"/>
      <c r="B25" s="518"/>
      <c r="C25" s="518"/>
      <c r="D25" s="518"/>
      <c r="E25" s="518"/>
      <c r="F25" s="518"/>
      <c r="G25" s="518"/>
      <c r="H25" s="518"/>
      <c r="I25" s="518"/>
      <c r="J25" s="518"/>
      <c r="K25" s="518"/>
      <c r="L25" s="518"/>
      <c r="M25" s="518"/>
      <c r="N25" s="518"/>
      <c r="O25" s="518"/>
      <c r="P25" s="518"/>
      <c r="Q25" s="518"/>
      <c r="R25" s="518"/>
      <c r="S25" s="518"/>
    </row>
    <row r="26" spans="1:19">
      <c r="A26" s="518"/>
      <c r="B26" s="518"/>
      <c r="C26" s="518"/>
      <c r="D26" s="518"/>
      <c r="E26" s="518"/>
      <c r="F26" s="518"/>
      <c r="G26" s="518"/>
      <c r="H26" s="518"/>
      <c r="I26" s="518"/>
      <c r="J26" s="518"/>
      <c r="K26" s="518"/>
      <c r="L26" s="518"/>
      <c r="M26" s="518"/>
      <c r="N26" s="518"/>
      <c r="O26" s="518"/>
      <c r="P26" s="518"/>
      <c r="Q26" s="518"/>
      <c r="R26" s="518"/>
      <c r="S26" s="518"/>
    </row>
    <row r="27" spans="1:19">
      <c r="A27" s="518"/>
      <c r="B27" s="518"/>
      <c r="C27" s="518"/>
      <c r="D27" s="518"/>
      <c r="E27" s="518"/>
      <c r="F27" s="518"/>
      <c r="G27" s="518"/>
      <c r="H27" s="518"/>
      <c r="I27" s="518"/>
      <c r="J27" s="518"/>
      <c r="K27" s="518"/>
      <c r="L27" s="518"/>
      <c r="M27" s="518"/>
      <c r="N27" s="518"/>
      <c r="O27" s="518"/>
      <c r="P27" s="518"/>
      <c r="Q27" s="518"/>
      <c r="R27" s="518"/>
      <c r="S27" s="518"/>
    </row>
    <row r="28" spans="1:19">
      <c r="A28" s="518"/>
      <c r="B28" s="518"/>
      <c r="C28" s="518"/>
      <c r="D28" s="518"/>
      <c r="E28" s="518"/>
      <c r="F28" s="518"/>
      <c r="G28" s="518"/>
      <c r="H28" s="518"/>
      <c r="I28" s="518"/>
      <c r="J28" s="518"/>
      <c r="K28" s="518"/>
      <c r="L28" s="518"/>
      <c r="M28" s="518"/>
      <c r="N28" s="518"/>
      <c r="O28" s="518"/>
      <c r="P28" s="518"/>
      <c r="Q28" s="518"/>
      <c r="R28" s="518"/>
      <c r="S28" s="518"/>
    </row>
    <row r="29" spans="1:19">
      <c r="A29" s="518"/>
      <c r="B29" s="518"/>
      <c r="C29" s="518"/>
      <c r="D29" s="518"/>
      <c r="E29" s="518"/>
      <c r="F29" s="518"/>
      <c r="G29" s="518"/>
      <c r="H29" s="518"/>
      <c r="I29" s="518"/>
      <c r="J29" s="518"/>
      <c r="K29" s="518"/>
      <c r="L29" s="518"/>
      <c r="M29" s="518"/>
      <c r="N29" s="518"/>
      <c r="O29" s="518"/>
      <c r="P29" s="518"/>
      <c r="Q29" s="518"/>
      <c r="R29" s="518"/>
      <c r="S29" s="518"/>
    </row>
    <row r="30" spans="1:19">
      <c r="A30" s="518"/>
      <c r="B30" s="518"/>
      <c r="C30" s="518"/>
      <c r="D30" s="518"/>
      <c r="E30" s="518"/>
      <c r="F30" s="518"/>
      <c r="G30" s="518"/>
      <c r="H30" s="518"/>
      <c r="I30" s="518"/>
      <c r="J30" s="518"/>
      <c r="K30" s="518"/>
      <c r="L30" s="518"/>
      <c r="M30" s="518"/>
      <c r="N30" s="518"/>
      <c r="O30" s="518"/>
      <c r="P30" s="518"/>
      <c r="Q30" s="518"/>
      <c r="R30" s="518"/>
      <c r="S30" s="518"/>
    </row>
    <row r="31" spans="1:19">
      <c r="A31" s="518"/>
      <c r="B31" s="518"/>
      <c r="C31" s="518"/>
      <c r="D31" s="518"/>
      <c r="E31" s="518"/>
      <c r="F31" s="518"/>
      <c r="G31" s="518"/>
      <c r="H31" s="518"/>
      <c r="I31" s="518"/>
      <c r="J31" s="518"/>
      <c r="K31" s="518"/>
      <c r="L31" s="518"/>
      <c r="M31" s="518"/>
      <c r="N31" s="518"/>
      <c r="O31" s="518"/>
      <c r="P31" s="518"/>
      <c r="Q31" s="518"/>
      <c r="R31" s="518"/>
      <c r="S31" s="518"/>
    </row>
    <row r="32" spans="1:19">
      <c r="A32" s="518"/>
      <c r="B32" s="518"/>
      <c r="C32" s="518"/>
      <c r="D32" s="518"/>
      <c r="E32" s="518"/>
      <c r="F32" s="518"/>
      <c r="G32" s="518"/>
      <c r="H32" s="518"/>
      <c r="I32" s="518"/>
      <c r="J32" s="518"/>
      <c r="K32" s="518"/>
      <c r="L32" s="518"/>
      <c r="M32" s="518"/>
      <c r="N32" s="518"/>
      <c r="O32" s="518"/>
      <c r="P32" s="518"/>
      <c r="Q32" s="518"/>
      <c r="R32" s="518"/>
      <c r="S32" s="518"/>
    </row>
    <row r="33" spans="1:19">
      <c r="A33" s="518"/>
      <c r="B33" s="518"/>
      <c r="C33" s="518"/>
      <c r="D33" s="518"/>
      <c r="E33" s="518"/>
      <c r="F33" s="518"/>
      <c r="G33" s="518"/>
      <c r="H33" s="518"/>
      <c r="I33" s="518"/>
      <c r="J33" s="518"/>
      <c r="K33" s="518"/>
      <c r="L33" s="518"/>
      <c r="M33" s="518"/>
      <c r="N33" s="518"/>
      <c r="O33" s="518"/>
      <c r="P33" s="518"/>
      <c r="Q33" s="518"/>
      <c r="R33" s="518"/>
      <c r="S33" s="518"/>
    </row>
    <row r="34" spans="1:19">
      <c r="A34" s="518"/>
      <c r="B34" s="518"/>
      <c r="C34" s="518"/>
      <c r="D34" s="518"/>
      <c r="E34" s="518"/>
      <c r="F34" s="518"/>
      <c r="G34" s="518"/>
      <c r="H34" s="518"/>
      <c r="I34" s="518"/>
      <c r="J34" s="518"/>
      <c r="K34" s="518"/>
      <c r="L34" s="518"/>
      <c r="M34" s="518"/>
      <c r="N34" s="518"/>
      <c r="O34" s="518"/>
      <c r="P34" s="518"/>
      <c r="Q34" s="518"/>
      <c r="R34" s="518"/>
      <c r="S34" s="518"/>
    </row>
    <row r="35" spans="1:19">
      <c r="A35" s="518"/>
      <c r="B35" s="518"/>
      <c r="C35" s="518"/>
      <c r="D35" s="518"/>
      <c r="E35" s="518"/>
      <c r="F35" s="518"/>
      <c r="G35" s="518"/>
      <c r="H35" s="518"/>
      <c r="I35" s="518"/>
      <c r="J35" s="518"/>
      <c r="K35" s="518"/>
      <c r="L35" s="518"/>
      <c r="M35" s="518"/>
      <c r="N35" s="518"/>
      <c r="O35" s="518"/>
      <c r="P35" s="518"/>
      <c r="Q35" s="518"/>
      <c r="R35" s="518"/>
      <c r="S35" s="518"/>
    </row>
    <row r="36" spans="1:19">
      <c r="A36" s="518"/>
      <c r="B36" s="518"/>
      <c r="C36" s="518"/>
      <c r="D36" s="518"/>
      <c r="E36" s="518"/>
      <c r="F36" s="518"/>
      <c r="G36" s="518"/>
      <c r="H36" s="518"/>
      <c r="I36" s="518"/>
      <c r="J36" s="518"/>
      <c r="K36" s="518"/>
      <c r="L36" s="518"/>
      <c r="M36" s="518"/>
      <c r="N36" s="518"/>
      <c r="O36" s="518"/>
      <c r="P36" s="518"/>
      <c r="Q36" s="518"/>
      <c r="R36" s="518"/>
      <c r="S36" s="518"/>
    </row>
    <row r="37" spans="1:19">
      <c r="A37" s="518"/>
      <c r="B37" s="518"/>
      <c r="C37" s="518"/>
      <c r="D37" s="518"/>
      <c r="E37" s="518"/>
      <c r="F37" s="518"/>
      <c r="G37" s="518"/>
      <c r="H37" s="518"/>
      <c r="I37" s="518"/>
      <c r="J37" s="518"/>
      <c r="K37" s="518"/>
      <c r="L37" s="518"/>
      <c r="M37" s="518"/>
      <c r="N37" s="518"/>
      <c r="O37" s="518"/>
      <c r="P37" s="518"/>
      <c r="Q37" s="518"/>
      <c r="R37" s="518"/>
      <c r="S37" s="518"/>
    </row>
    <row r="38" spans="1:19">
      <c r="A38" s="518"/>
      <c r="B38" s="518"/>
      <c r="C38" s="518"/>
      <c r="D38" s="518"/>
      <c r="E38" s="518"/>
      <c r="F38" s="518"/>
      <c r="G38" s="518"/>
      <c r="H38" s="518"/>
      <c r="I38" s="518"/>
      <c r="J38" s="518"/>
      <c r="K38" s="518"/>
      <c r="L38" s="518"/>
      <c r="M38" s="518"/>
      <c r="N38" s="518"/>
      <c r="O38" s="518"/>
      <c r="P38" s="518"/>
      <c r="Q38" s="518"/>
      <c r="R38" s="518"/>
      <c r="S38" s="518"/>
    </row>
    <row r="39" spans="1:19">
      <c r="A39" s="518"/>
      <c r="B39" s="518"/>
      <c r="C39" s="518"/>
      <c r="D39" s="518"/>
      <c r="E39" s="518"/>
      <c r="F39" s="518"/>
      <c r="G39" s="518"/>
      <c r="H39" s="518"/>
      <c r="I39" s="518"/>
      <c r="J39" s="518"/>
      <c r="K39" s="518"/>
      <c r="L39" s="518"/>
      <c r="M39" s="518"/>
      <c r="N39" s="518"/>
      <c r="O39" s="518"/>
      <c r="P39" s="518"/>
      <c r="Q39" s="518"/>
      <c r="R39" s="518"/>
      <c r="S39" s="518"/>
    </row>
    <row r="40" spans="1:19">
      <c r="A40" s="518"/>
      <c r="B40" s="518"/>
      <c r="C40" s="518"/>
      <c r="D40" s="518"/>
      <c r="E40" s="518"/>
      <c r="F40" s="518"/>
      <c r="G40" s="518"/>
      <c r="H40" s="518"/>
      <c r="I40" s="518"/>
      <c r="J40" s="518"/>
      <c r="K40" s="518"/>
      <c r="L40" s="518"/>
      <c r="M40" s="518"/>
      <c r="N40" s="518"/>
      <c r="O40" s="518"/>
      <c r="P40" s="518"/>
      <c r="Q40" s="518"/>
      <c r="R40" s="518"/>
      <c r="S40" s="518"/>
    </row>
    <row r="41" spans="1:19">
      <c r="A41" s="518"/>
      <c r="B41" s="518"/>
      <c r="C41" s="518"/>
      <c r="D41" s="518"/>
      <c r="E41" s="518"/>
      <c r="F41" s="518"/>
      <c r="G41" s="518"/>
      <c r="H41" s="518"/>
      <c r="I41" s="518"/>
      <c r="J41" s="518"/>
      <c r="K41" s="518"/>
      <c r="L41" s="518"/>
      <c r="M41" s="518"/>
      <c r="N41" s="518"/>
      <c r="O41" s="518"/>
      <c r="P41" s="518"/>
      <c r="Q41" s="518"/>
      <c r="R41" s="518"/>
      <c r="S41" s="518"/>
    </row>
    <row r="42" spans="1:19">
      <c r="A42" s="518"/>
      <c r="B42" s="518"/>
      <c r="C42" s="518"/>
      <c r="D42" s="518"/>
      <c r="E42" s="518"/>
      <c r="F42" s="518"/>
      <c r="G42" s="518"/>
      <c r="H42" s="518"/>
      <c r="I42" s="518"/>
      <c r="J42" s="518"/>
      <c r="K42" s="518"/>
      <c r="L42" s="518"/>
      <c r="M42" s="518"/>
      <c r="N42" s="518"/>
      <c r="O42" s="518"/>
      <c r="P42" s="518"/>
      <c r="Q42" s="518"/>
      <c r="R42" s="518"/>
      <c r="S42" s="518"/>
    </row>
    <row r="43" spans="1:19">
      <c r="A43" s="518"/>
      <c r="B43" s="518"/>
      <c r="C43" s="518"/>
      <c r="D43" s="518"/>
      <c r="E43" s="518"/>
      <c r="F43" s="518"/>
      <c r="G43" s="518"/>
      <c r="H43" s="518"/>
      <c r="I43" s="518"/>
      <c r="J43" s="518"/>
      <c r="K43" s="518"/>
      <c r="L43" s="518"/>
      <c r="M43" s="518"/>
      <c r="N43" s="518"/>
      <c r="O43" s="518"/>
      <c r="P43" s="518"/>
      <c r="Q43" s="518"/>
      <c r="R43" s="518"/>
      <c r="S43" s="518"/>
    </row>
    <row r="44" spans="1:19">
      <c r="A44" s="518"/>
      <c r="B44" s="518"/>
      <c r="C44" s="518"/>
      <c r="D44" s="518"/>
      <c r="E44" s="518"/>
      <c r="F44" s="518"/>
      <c r="G44" s="518"/>
      <c r="H44" s="518"/>
      <c r="I44" s="518"/>
      <c r="J44" s="518"/>
      <c r="K44" s="518"/>
      <c r="L44" s="518"/>
      <c r="M44" s="518"/>
      <c r="N44" s="518"/>
      <c r="O44" s="518"/>
      <c r="P44" s="518"/>
      <c r="Q44" s="518"/>
      <c r="R44" s="518"/>
      <c r="S44" s="518"/>
    </row>
    <row r="45" spans="1:19">
      <c r="A45" s="518"/>
      <c r="B45" s="518"/>
      <c r="C45" s="518"/>
      <c r="D45" s="518"/>
      <c r="E45" s="518"/>
      <c r="F45" s="518"/>
      <c r="G45" s="518"/>
      <c r="H45" s="518"/>
      <c r="I45" s="518"/>
      <c r="J45" s="518"/>
      <c r="K45" s="518"/>
      <c r="L45" s="518"/>
      <c r="M45" s="518"/>
      <c r="N45" s="518"/>
      <c r="O45" s="518"/>
      <c r="P45" s="518"/>
      <c r="Q45" s="518"/>
      <c r="R45" s="518"/>
      <c r="S45" s="518"/>
    </row>
    <row r="46" spans="1:19">
      <c r="A46" s="518"/>
      <c r="B46" s="518"/>
      <c r="C46" s="518"/>
      <c r="D46" s="518"/>
      <c r="E46" s="518"/>
      <c r="F46" s="518"/>
      <c r="G46" s="518"/>
      <c r="H46" s="518"/>
      <c r="I46" s="518"/>
      <c r="J46" s="518"/>
      <c r="K46" s="518"/>
      <c r="L46" s="518"/>
      <c r="M46" s="518"/>
      <c r="N46" s="518"/>
      <c r="O46" s="518"/>
      <c r="P46" s="518"/>
      <c r="Q46" s="518"/>
      <c r="R46" s="518"/>
      <c r="S46" s="518"/>
    </row>
    <row r="47" spans="1:19">
      <c r="A47" s="518"/>
      <c r="B47" s="518"/>
      <c r="C47" s="518"/>
      <c r="D47" s="518"/>
      <c r="E47" s="518"/>
      <c r="F47" s="518"/>
      <c r="G47" s="518"/>
      <c r="H47" s="518"/>
      <c r="I47" s="518"/>
      <c r="J47" s="518"/>
      <c r="K47" s="518"/>
      <c r="L47" s="518"/>
      <c r="M47" s="518"/>
      <c r="N47" s="518"/>
      <c r="O47" s="518"/>
      <c r="P47" s="518"/>
      <c r="Q47" s="518"/>
      <c r="R47" s="518"/>
      <c r="S47" s="518"/>
    </row>
    <row r="48" spans="1:19">
      <c r="A48" s="518"/>
      <c r="B48" s="518"/>
      <c r="C48" s="518"/>
      <c r="D48" s="518"/>
      <c r="E48" s="518"/>
      <c r="F48" s="518"/>
      <c r="G48" s="518"/>
      <c r="H48" s="518"/>
      <c r="I48" s="518"/>
      <c r="J48" s="518"/>
      <c r="K48" s="518"/>
      <c r="L48" s="518"/>
      <c r="M48" s="518"/>
      <c r="N48" s="518"/>
      <c r="O48" s="518"/>
      <c r="P48" s="518"/>
      <c r="Q48" s="518"/>
      <c r="R48" s="518"/>
      <c r="S48" s="518"/>
    </row>
    <row r="49" spans="1:19">
      <c r="A49" s="518"/>
      <c r="B49" s="518"/>
      <c r="C49" s="518"/>
      <c r="D49" s="518"/>
      <c r="E49" s="518"/>
      <c r="F49" s="518"/>
      <c r="G49" s="518"/>
      <c r="H49" s="518"/>
      <c r="I49" s="518"/>
      <c r="J49" s="518"/>
      <c r="K49" s="518"/>
      <c r="L49" s="518"/>
      <c r="M49" s="518"/>
      <c r="N49" s="518"/>
      <c r="O49" s="518"/>
      <c r="P49" s="518"/>
      <c r="Q49" s="518"/>
      <c r="R49" s="518"/>
      <c r="S49" s="518"/>
    </row>
    <row r="65" spans="1:1">
      <c r="A65" s="520"/>
    </row>
  </sheetData>
  <pageMargins left="0.2" right="0.7" top="0.75" bottom="0.5" header="0.3" footer="0.3"/>
  <pageSetup scale="8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9F44B-B524-47BF-B210-FC8D5965F240}">
  <dimension ref="A1:H7"/>
  <sheetViews>
    <sheetView workbookViewId="0">
      <selection activeCell="A3" sqref="A3"/>
    </sheetView>
  </sheetViews>
  <sheetFormatPr defaultRowHeight="15"/>
  <cols>
    <col min="1" max="1" width="14.5546875" bestFit="1" customWidth="1"/>
    <col min="7" max="7" width="9.6640625" bestFit="1" customWidth="1"/>
  </cols>
  <sheetData>
    <row r="1" spans="1:8">
      <c r="A1" s="521" t="s">
        <v>16</v>
      </c>
      <c r="B1" s="521"/>
      <c r="C1" s="521"/>
      <c r="D1" s="521"/>
      <c r="E1" s="521"/>
      <c r="F1" s="521"/>
      <c r="G1" s="521"/>
      <c r="H1" s="521"/>
    </row>
    <row r="2" spans="1:8">
      <c r="A2" s="521" t="s">
        <v>1136</v>
      </c>
      <c r="B2" s="521"/>
      <c r="C2" s="521"/>
      <c r="D2" s="521"/>
      <c r="E2" s="521"/>
      <c r="F2" s="521"/>
      <c r="G2" s="521"/>
      <c r="H2" s="521"/>
    </row>
    <row r="3" spans="1:8">
      <c r="A3" s="518"/>
      <c r="B3" s="518"/>
      <c r="C3" s="518"/>
      <c r="D3" s="518"/>
      <c r="E3" s="518"/>
      <c r="F3" s="518"/>
      <c r="G3" s="518"/>
      <c r="H3" s="518"/>
    </row>
    <row r="4" spans="1:8">
      <c r="A4" s="518"/>
      <c r="B4" s="518"/>
      <c r="C4" s="518"/>
      <c r="D4" s="518"/>
      <c r="E4" s="518"/>
      <c r="F4" s="518"/>
      <c r="G4" s="518"/>
      <c r="H4" s="518" t="s">
        <v>770</v>
      </c>
    </row>
    <row r="5" spans="1:8">
      <c r="A5" s="518" t="s">
        <v>1135</v>
      </c>
      <c r="B5" s="518"/>
      <c r="C5" s="518"/>
      <c r="D5" s="518"/>
      <c r="E5" s="518"/>
      <c r="F5" s="518"/>
      <c r="G5" s="518" t="s">
        <v>529</v>
      </c>
      <c r="H5" s="518" t="s">
        <v>1133</v>
      </c>
    </row>
    <row r="6" spans="1:8">
      <c r="A6" s="518"/>
      <c r="B6" s="518"/>
      <c r="C6" s="518" t="s">
        <v>1137</v>
      </c>
      <c r="D6" s="518"/>
      <c r="E6" s="518" t="s">
        <v>1131</v>
      </c>
      <c r="F6" s="518" t="s">
        <v>1132</v>
      </c>
      <c r="G6" s="518" t="s">
        <v>1082</v>
      </c>
      <c r="H6" s="518" t="s">
        <v>1134</v>
      </c>
    </row>
    <row r="7" spans="1:8">
      <c r="A7" s="518" t="s">
        <v>1128</v>
      </c>
      <c r="B7" s="518"/>
      <c r="C7" s="518">
        <f>+'Recycling Payroll'!C39</f>
        <v>35770.459999999992</v>
      </c>
      <c r="D7" s="518"/>
      <c r="E7" s="518">
        <v>4.76</v>
      </c>
      <c r="F7" s="518">
        <v>4.8899999999999997</v>
      </c>
      <c r="G7" s="518">
        <f>+F7-E7</f>
        <v>0.12999999999999989</v>
      </c>
      <c r="H7" s="518">
        <f>+C7*0.13</f>
        <v>4650.1597999999994</v>
      </c>
    </row>
  </sheetData>
  <pageMargins left="0.2" right="0.2" top="0.75" bottom="0.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EDA0-0F7E-4218-B1C7-C9B6828D6CB6}">
  <dimension ref="A1:I34"/>
  <sheetViews>
    <sheetView workbookViewId="0">
      <selection activeCell="D9" sqref="D9"/>
    </sheetView>
  </sheetViews>
  <sheetFormatPr defaultRowHeight="15"/>
  <cols>
    <col min="1" max="1" width="14.5546875" bestFit="1" customWidth="1"/>
    <col min="7" max="7" width="9.6640625" bestFit="1" customWidth="1"/>
  </cols>
  <sheetData>
    <row r="1" spans="1:9">
      <c r="A1" s="521" t="s">
        <v>16</v>
      </c>
      <c r="B1" s="521"/>
      <c r="C1" s="521"/>
      <c r="D1" s="521"/>
      <c r="E1" s="521"/>
      <c r="F1" s="521"/>
      <c r="G1" s="521"/>
      <c r="H1" s="521"/>
    </row>
    <row r="2" spans="1:9">
      <c r="A2" s="521" t="s">
        <v>1136</v>
      </c>
      <c r="B2" s="521"/>
      <c r="C2" s="521"/>
      <c r="D2" s="521"/>
      <c r="E2" s="521"/>
      <c r="F2" s="521"/>
      <c r="G2" s="521"/>
      <c r="H2" s="521"/>
    </row>
    <row r="3" spans="1:9">
      <c r="A3" s="521"/>
      <c r="B3" s="521"/>
      <c r="C3" s="521"/>
      <c r="D3" s="521"/>
      <c r="E3" s="521"/>
      <c r="F3" s="521"/>
      <c r="G3" s="521"/>
      <c r="H3" s="521"/>
    </row>
    <row r="4" spans="1:9">
      <c r="A4" s="518"/>
      <c r="B4" s="518"/>
      <c r="C4" s="518"/>
      <c r="D4" s="518"/>
      <c r="E4" s="518"/>
      <c r="F4" s="518"/>
      <c r="G4" s="518"/>
      <c r="H4" s="518" t="s">
        <v>770</v>
      </c>
    </row>
    <row r="5" spans="1:9">
      <c r="A5" s="518" t="s">
        <v>1135</v>
      </c>
      <c r="B5" s="518"/>
      <c r="C5" s="518"/>
      <c r="D5" s="518"/>
      <c r="E5" s="518"/>
      <c r="F5" s="518"/>
      <c r="G5" s="518" t="s">
        <v>529</v>
      </c>
      <c r="H5" s="518" t="s">
        <v>1133</v>
      </c>
    </row>
    <row r="6" spans="1:9">
      <c r="A6" s="518"/>
      <c r="B6" s="518"/>
      <c r="C6" s="518" t="s">
        <v>1137</v>
      </c>
      <c r="D6" s="518"/>
      <c r="E6" s="518" t="s">
        <v>1131</v>
      </c>
      <c r="F6" s="518" t="s">
        <v>1132</v>
      </c>
      <c r="G6" s="518" t="s">
        <v>1082</v>
      </c>
      <c r="H6" s="518" t="s">
        <v>1134</v>
      </c>
    </row>
    <row r="7" spans="1:9">
      <c r="A7" s="518" t="s">
        <v>1129</v>
      </c>
      <c r="B7" s="518"/>
      <c r="C7" s="518">
        <f>+'Garbage Payroll'!C38</f>
        <v>55757.359999999993</v>
      </c>
      <c r="D7" s="518"/>
      <c r="E7" s="518">
        <v>8.2100000000000009</v>
      </c>
      <c r="F7" s="518">
        <v>8.7100000000000009</v>
      </c>
      <c r="G7" s="518">
        <f>+F7-E7</f>
        <v>0.5</v>
      </c>
      <c r="H7" s="518">
        <f>+G7*C7</f>
        <v>27878.679999999997</v>
      </c>
      <c r="I7" s="518"/>
    </row>
    <row r="8" spans="1:9">
      <c r="A8" s="518"/>
      <c r="B8" s="518"/>
      <c r="C8" s="518"/>
      <c r="D8" s="518"/>
      <c r="E8" s="518"/>
      <c r="F8" s="518"/>
      <c r="G8" s="518"/>
      <c r="H8" s="518"/>
      <c r="I8" s="518"/>
    </row>
    <row r="9" spans="1:9">
      <c r="A9" s="518"/>
      <c r="B9" s="518"/>
      <c r="C9" s="518"/>
      <c r="D9" s="518"/>
      <c r="E9" s="518"/>
      <c r="F9" s="518"/>
      <c r="G9" s="518"/>
      <c r="H9" s="518"/>
      <c r="I9" s="518"/>
    </row>
    <row r="10" spans="1:9">
      <c r="A10" s="518"/>
      <c r="B10" s="518"/>
      <c r="C10" s="518"/>
      <c r="D10" s="518"/>
      <c r="E10" s="518"/>
      <c r="F10" s="518"/>
      <c r="G10" s="518"/>
      <c r="H10" s="518"/>
      <c r="I10" s="518"/>
    </row>
    <row r="11" spans="1:9">
      <c r="A11" s="518"/>
      <c r="B11" s="518"/>
      <c r="C11" s="518"/>
      <c r="D11" s="518"/>
      <c r="E11" s="518"/>
      <c r="F11" s="518"/>
      <c r="G11" s="518"/>
      <c r="H11" s="518"/>
      <c r="I11" s="518"/>
    </row>
    <row r="12" spans="1:9">
      <c r="A12" s="518"/>
      <c r="B12" s="518"/>
      <c r="C12" s="518"/>
      <c r="D12" s="518"/>
      <c r="E12" s="518"/>
      <c r="F12" s="518"/>
      <c r="G12" s="518"/>
      <c r="H12" s="518"/>
      <c r="I12" s="518"/>
    </row>
    <row r="13" spans="1:9">
      <c r="A13" s="518"/>
      <c r="B13" s="518"/>
      <c r="C13" s="518"/>
      <c r="D13" s="518"/>
      <c r="E13" s="518"/>
      <c r="F13" s="518"/>
      <c r="G13" s="518"/>
      <c r="H13" s="518"/>
      <c r="I13" s="518"/>
    </row>
    <row r="14" spans="1:9">
      <c r="A14" s="518"/>
      <c r="B14" s="518"/>
      <c r="C14" s="518"/>
      <c r="D14" s="518"/>
      <c r="E14" s="518"/>
      <c r="F14" s="518"/>
      <c r="G14" s="518"/>
      <c r="H14" s="518"/>
      <c r="I14" s="518"/>
    </row>
    <row r="15" spans="1:9">
      <c r="A15" s="518"/>
      <c r="B15" s="518"/>
      <c r="C15" s="518"/>
      <c r="D15" s="518"/>
      <c r="E15" s="518"/>
      <c r="F15" s="518"/>
      <c r="G15" s="518"/>
      <c r="H15" s="518"/>
      <c r="I15" s="518"/>
    </row>
    <row r="16" spans="1:9">
      <c r="A16" s="518"/>
      <c r="B16" s="518"/>
      <c r="C16" s="518"/>
      <c r="D16" s="518"/>
      <c r="E16" s="518"/>
      <c r="F16" s="518"/>
      <c r="G16" s="518"/>
      <c r="H16" s="518"/>
      <c r="I16" s="518"/>
    </row>
    <row r="17" spans="1:9">
      <c r="A17" s="518"/>
      <c r="B17" s="518"/>
      <c r="C17" s="518"/>
      <c r="D17" s="518"/>
      <c r="E17" s="518"/>
      <c r="F17" s="518"/>
      <c r="G17" s="518"/>
      <c r="H17" s="518"/>
      <c r="I17" s="518"/>
    </row>
    <row r="18" spans="1:9">
      <c r="A18" s="518"/>
      <c r="B18" s="518"/>
      <c r="C18" s="518"/>
      <c r="D18" s="518"/>
      <c r="E18" s="518"/>
      <c r="F18" s="518"/>
      <c r="G18" s="518"/>
      <c r="H18" s="518"/>
      <c r="I18" s="518"/>
    </row>
    <row r="19" spans="1:9">
      <c r="A19" s="518"/>
      <c r="B19" s="518"/>
      <c r="C19" s="518"/>
      <c r="D19" s="518"/>
      <c r="E19" s="518"/>
      <c r="F19" s="518"/>
      <c r="G19" s="518"/>
      <c r="H19" s="518"/>
      <c r="I19" s="518"/>
    </row>
    <row r="20" spans="1:9">
      <c r="A20" s="518"/>
      <c r="B20" s="518"/>
      <c r="C20" s="518"/>
      <c r="D20" s="518"/>
      <c r="E20" s="518"/>
      <c r="F20" s="518"/>
      <c r="G20" s="518"/>
      <c r="H20" s="518"/>
      <c r="I20" s="518"/>
    </row>
    <row r="21" spans="1:9">
      <c r="A21" s="518"/>
      <c r="B21" s="518"/>
      <c r="C21" s="518"/>
      <c r="D21" s="518"/>
      <c r="E21" s="518"/>
      <c r="F21" s="518"/>
      <c r="G21" s="518"/>
      <c r="H21" s="518"/>
      <c r="I21" s="518"/>
    </row>
    <row r="22" spans="1:9">
      <c r="A22" s="518"/>
      <c r="B22" s="518"/>
      <c r="C22" s="518"/>
      <c r="D22" s="518"/>
      <c r="E22" s="518"/>
      <c r="F22" s="518"/>
      <c r="G22" s="518"/>
      <c r="H22" s="518"/>
      <c r="I22" s="518"/>
    </row>
    <row r="23" spans="1:9">
      <c r="A23" s="518"/>
      <c r="B23" s="518"/>
      <c r="C23" s="518"/>
      <c r="D23" s="518"/>
      <c r="E23" s="518"/>
      <c r="F23" s="518"/>
      <c r="G23" s="518"/>
      <c r="H23" s="518"/>
      <c r="I23" s="518"/>
    </row>
    <row r="24" spans="1:9">
      <c r="A24" s="518"/>
      <c r="B24" s="518"/>
      <c r="C24" s="518"/>
      <c r="D24" s="518"/>
      <c r="E24" s="518"/>
      <c r="F24" s="518"/>
      <c r="G24" s="518"/>
      <c r="H24" s="518"/>
      <c r="I24" s="518"/>
    </row>
    <row r="25" spans="1:9">
      <c r="A25" s="518"/>
      <c r="B25" s="518"/>
      <c r="C25" s="518"/>
      <c r="D25" s="518"/>
      <c r="E25" s="518"/>
      <c r="F25" s="518"/>
      <c r="G25" s="518"/>
      <c r="H25" s="518"/>
      <c r="I25" s="518"/>
    </row>
    <row r="26" spans="1:9">
      <c r="A26" s="518"/>
      <c r="B26" s="518"/>
      <c r="C26" s="518"/>
      <c r="D26" s="518"/>
      <c r="E26" s="518"/>
      <c r="F26" s="518"/>
      <c r="G26" s="518"/>
      <c r="H26" s="518"/>
      <c r="I26" s="518"/>
    </row>
    <row r="27" spans="1:9">
      <c r="A27" s="518"/>
      <c r="B27" s="518"/>
      <c r="C27" s="518"/>
      <c r="D27" s="518"/>
      <c r="E27" s="518"/>
      <c r="F27" s="518"/>
      <c r="G27" s="518"/>
      <c r="H27" s="518"/>
      <c r="I27" s="518"/>
    </row>
    <row r="28" spans="1:9">
      <c r="A28" s="518"/>
      <c r="B28" s="518"/>
      <c r="C28" s="518"/>
      <c r="D28" s="518"/>
      <c r="E28" s="518"/>
      <c r="F28" s="518"/>
      <c r="G28" s="518"/>
      <c r="H28" s="518"/>
      <c r="I28" s="518"/>
    </row>
    <row r="29" spans="1:9">
      <c r="A29" s="518"/>
      <c r="B29" s="518"/>
      <c r="C29" s="518"/>
      <c r="D29" s="518"/>
      <c r="E29" s="518"/>
      <c r="F29" s="518"/>
      <c r="G29" s="518"/>
      <c r="H29" s="518"/>
      <c r="I29" s="518"/>
    </row>
    <row r="30" spans="1:9">
      <c r="A30" s="518"/>
      <c r="B30" s="518"/>
      <c r="C30" s="518"/>
      <c r="D30" s="518"/>
      <c r="E30" s="518"/>
      <c r="F30" s="518"/>
      <c r="G30" s="518"/>
      <c r="H30" s="518"/>
      <c r="I30" s="518"/>
    </row>
    <row r="31" spans="1:9">
      <c r="A31" s="518"/>
      <c r="B31" s="518"/>
      <c r="C31" s="518"/>
      <c r="D31" s="518"/>
      <c r="E31" s="518"/>
      <c r="F31" s="518"/>
      <c r="G31" s="518"/>
      <c r="H31" s="518"/>
      <c r="I31" s="518"/>
    </row>
    <row r="32" spans="1:9">
      <c r="A32" s="518"/>
      <c r="B32" s="518"/>
      <c r="C32" s="518"/>
      <c r="D32" s="518"/>
      <c r="E32" s="518"/>
      <c r="F32" s="518"/>
      <c r="G32" s="518"/>
      <c r="H32" s="518"/>
      <c r="I32" s="518"/>
    </row>
    <row r="33" spans="1:9">
      <c r="A33" s="518"/>
      <c r="B33" s="518"/>
      <c r="C33" s="518"/>
      <c r="D33" s="518"/>
      <c r="E33" s="518"/>
      <c r="F33" s="518"/>
      <c r="G33" s="518"/>
      <c r="H33" s="518"/>
      <c r="I33" s="518"/>
    </row>
    <row r="34" spans="1:9">
      <c r="A34" s="518"/>
      <c r="B34" s="518"/>
      <c r="C34" s="518"/>
      <c r="D34" s="518"/>
      <c r="E34" s="518"/>
      <c r="F34" s="518"/>
      <c r="G34" s="518"/>
      <c r="H34" s="518"/>
      <c r="I34" s="518"/>
    </row>
  </sheetData>
  <pageMargins left="0.2" right="0.2" top="0.75" bottom="0.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2983-3322-48BA-92BC-AC7DAF665C70}">
  <dimension ref="A1:D35"/>
  <sheetViews>
    <sheetView workbookViewId="0">
      <selection activeCell="C15" sqref="C15"/>
    </sheetView>
  </sheetViews>
  <sheetFormatPr defaultRowHeight="15"/>
  <cols>
    <col min="1" max="1" width="86" customWidth="1"/>
    <col min="2" max="2" width="9.5546875" bestFit="1" customWidth="1"/>
    <col min="3" max="3" width="11" bestFit="1" customWidth="1"/>
    <col min="4" max="4" width="10" bestFit="1" customWidth="1"/>
  </cols>
  <sheetData>
    <row r="1" spans="1:4" ht="21">
      <c r="A1" s="877" t="s">
        <v>1289</v>
      </c>
      <c r="B1" s="877"/>
      <c r="C1" s="877"/>
      <c r="D1" s="877"/>
    </row>
    <row r="2" spans="1:4" ht="21">
      <c r="A2" s="877">
        <v>2018</v>
      </c>
      <c r="B2" s="877"/>
      <c r="C2" s="877"/>
      <c r="D2" s="877"/>
    </row>
    <row r="3" spans="1:4">
      <c r="A3" s="878" t="s">
        <v>1290</v>
      </c>
      <c r="B3" s="879"/>
      <c r="C3" s="879"/>
      <c r="D3" s="879"/>
    </row>
    <row r="4" spans="1:4">
      <c r="A4" s="879"/>
      <c r="B4" s="879"/>
      <c r="C4" s="879"/>
      <c r="D4" s="879"/>
    </row>
    <row r="5" spans="1:4" ht="15.75">
      <c r="A5" s="27"/>
      <c r="B5" s="27"/>
      <c r="C5" s="27"/>
      <c r="D5" s="27"/>
    </row>
    <row r="6" spans="1:4" ht="15.75">
      <c r="A6" s="602" t="s">
        <v>1140</v>
      </c>
      <c r="B6" s="602" t="s">
        <v>1291</v>
      </c>
      <c r="C6" s="602" t="s">
        <v>1292</v>
      </c>
      <c r="D6" s="603">
        <v>0.1</v>
      </c>
    </row>
    <row r="7" spans="1:4">
      <c r="A7" s="604" t="s">
        <v>1293</v>
      </c>
      <c r="B7" s="605" t="s">
        <v>1294</v>
      </c>
      <c r="C7" s="606"/>
      <c r="D7" s="606">
        <f>C7*$D$6</f>
        <v>0</v>
      </c>
    </row>
    <row r="8" spans="1:4">
      <c r="A8" s="604" t="s">
        <v>1295</v>
      </c>
      <c r="B8" s="605" t="s">
        <v>1296</v>
      </c>
      <c r="C8" s="606">
        <f>+'Payroll Summary'!D46</f>
        <v>41672.559999999998</v>
      </c>
      <c r="D8" s="606">
        <f t="shared" ref="D8:D24" si="0">C8*$D$6</f>
        <v>4167.2560000000003</v>
      </c>
    </row>
    <row r="9" spans="1:4">
      <c r="A9" s="604" t="s">
        <v>1297</v>
      </c>
      <c r="B9" s="605" t="s">
        <v>1298</v>
      </c>
      <c r="C9" s="606">
        <f>+'Payroll Summary'!D51</f>
        <v>43668.83</v>
      </c>
      <c r="D9" s="606">
        <f t="shared" si="0"/>
        <v>4366.8830000000007</v>
      </c>
    </row>
    <row r="10" spans="1:4">
      <c r="A10" s="604" t="s">
        <v>1299</v>
      </c>
      <c r="B10" s="607"/>
      <c r="C10" s="608"/>
      <c r="D10" s="608">
        <f t="shared" si="0"/>
        <v>0</v>
      </c>
    </row>
    <row r="11" spans="1:4">
      <c r="A11" s="604" t="s">
        <v>742</v>
      </c>
      <c r="B11" s="605" t="s">
        <v>1300</v>
      </c>
      <c r="C11" s="606">
        <f>+'Payroll Summary'!D50</f>
        <v>43456.95</v>
      </c>
      <c r="D11" s="606">
        <f t="shared" si="0"/>
        <v>4345.6949999999997</v>
      </c>
    </row>
    <row r="12" spans="1:4">
      <c r="A12" s="604" t="s">
        <v>1301</v>
      </c>
      <c r="B12" s="605" t="s">
        <v>1302</v>
      </c>
      <c r="C12" s="606">
        <f>+'Payroll Summary'!D48</f>
        <v>98111.52</v>
      </c>
      <c r="D12" s="606">
        <f t="shared" si="0"/>
        <v>9811.152</v>
      </c>
    </row>
    <row r="13" spans="1:4">
      <c r="A13" s="604" t="s">
        <v>1303</v>
      </c>
      <c r="B13" s="605" t="s">
        <v>1304</v>
      </c>
      <c r="C13" s="606">
        <f>+'Payroll Summary'!D49</f>
        <v>106878.32</v>
      </c>
      <c r="D13" s="606">
        <f t="shared" si="0"/>
        <v>10687.832000000002</v>
      </c>
    </row>
    <row r="14" spans="1:4">
      <c r="A14" s="604" t="s">
        <v>739</v>
      </c>
      <c r="B14" s="605" t="s">
        <v>1305</v>
      </c>
      <c r="C14" s="606">
        <f>+'Payroll Summary'!D44</f>
        <v>139950.79999999999</v>
      </c>
      <c r="D14" s="609">
        <v>27000</v>
      </c>
    </row>
    <row r="15" spans="1:4">
      <c r="A15" s="610" t="s">
        <v>743</v>
      </c>
      <c r="B15" s="605"/>
      <c r="C15" s="605"/>
      <c r="D15" s="605"/>
    </row>
    <row r="16" spans="1:4">
      <c r="A16" s="604"/>
      <c r="B16" s="605"/>
      <c r="C16" s="606"/>
      <c r="D16" s="606">
        <f t="shared" si="0"/>
        <v>0</v>
      </c>
    </row>
    <row r="17" spans="1:4">
      <c r="A17" s="604"/>
      <c r="B17" s="605"/>
      <c r="C17" s="606"/>
      <c r="D17" s="606">
        <f t="shared" si="0"/>
        <v>0</v>
      </c>
    </row>
    <row r="18" spans="1:4">
      <c r="A18" s="604"/>
      <c r="B18" s="605"/>
      <c r="C18" s="606"/>
      <c r="D18" s="606">
        <f t="shared" si="0"/>
        <v>0</v>
      </c>
    </row>
    <row r="19" spans="1:4">
      <c r="A19" s="604"/>
      <c r="B19" s="605"/>
      <c r="C19" s="606"/>
      <c r="D19" s="606">
        <f t="shared" si="0"/>
        <v>0</v>
      </c>
    </row>
    <row r="20" spans="1:4">
      <c r="A20" s="604"/>
      <c r="B20" s="605"/>
      <c r="C20" s="606"/>
      <c r="D20" s="606">
        <f t="shared" si="0"/>
        <v>0</v>
      </c>
    </row>
    <row r="21" spans="1:4">
      <c r="A21" s="604"/>
      <c r="B21" s="605"/>
      <c r="C21" s="606"/>
      <c r="D21" s="606">
        <f t="shared" si="0"/>
        <v>0</v>
      </c>
    </row>
    <row r="22" spans="1:4">
      <c r="A22" s="604"/>
      <c r="B22" s="605"/>
      <c r="C22" s="606"/>
      <c r="D22" s="606">
        <f t="shared" si="0"/>
        <v>0</v>
      </c>
    </row>
    <row r="23" spans="1:4">
      <c r="A23" s="604"/>
      <c r="B23" s="605"/>
      <c r="C23" s="606"/>
      <c r="D23" s="606">
        <f t="shared" si="0"/>
        <v>0</v>
      </c>
    </row>
    <row r="24" spans="1:4">
      <c r="A24" s="604"/>
      <c r="B24" s="605"/>
      <c r="C24" s="606"/>
      <c r="D24" s="606">
        <f t="shared" si="0"/>
        <v>0</v>
      </c>
    </row>
    <row r="25" spans="1:4" ht="15.75">
      <c r="A25" s="611" t="s">
        <v>648</v>
      </c>
      <c r="B25" s="611"/>
      <c r="C25" s="612">
        <f>SUM(C7:C24)</f>
        <v>473738.98</v>
      </c>
      <c r="D25" s="613">
        <f>SUM(D7:D24)</f>
        <v>60378.817999999999</v>
      </c>
    </row>
    <row r="26" spans="1:4">
      <c r="C26" s="614"/>
      <c r="D26" s="614"/>
    </row>
    <row r="27" spans="1:4">
      <c r="C27" s="614"/>
      <c r="D27" s="614"/>
    </row>
    <row r="28" spans="1:4" ht="15.75">
      <c r="A28" s="615" t="s">
        <v>1306</v>
      </c>
      <c r="C28" s="614"/>
      <c r="D28" s="614"/>
    </row>
    <row r="29" spans="1:4" ht="37.5">
      <c r="A29" s="618" t="s">
        <v>1307</v>
      </c>
      <c r="B29" s="616"/>
      <c r="C29" s="617"/>
      <c r="D29" s="617"/>
    </row>
    <row r="30" spans="1:4" ht="37.5">
      <c r="A30" s="618" t="s">
        <v>1308</v>
      </c>
      <c r="B30" s="616"/>
      <c r="C30" s="617"/>
      <c r="D30" s="617"/>
    </row>
    <row r="31" spans="1:4" ht="18.75">
      <c r="A31" s="616" t="s">
        <v>1309</v>
      </c>
      <c r="B31" s="616"/>
      <c r="C31" s="617"/>
      <c r="D31" s="617"/>
    </row>
    <row r="32" spans="1:4">
      <c r="C32" s="614"/>
      <c r="D32" s="614"/>
    </row>
    <row r="33" spans="1:4" ht="18.75">
      <c r="A33" s="616" t="s">
        <v>1310</v>
      </c>
      <c r="C33" s="614">
        <f>SUM(D25,I25,N25)</f>
        <v>60378.817999999999</v>
      </c>
      <c r="D33" s="614"/>
    </row>
    <row r="34" spans="1:4">
      <c r="A34" t="s">
        <v>1311</v>
      </c>
      <c r="C34" s="614"/>
      <c r="D34" s="614"/>
    </row>
    <row r="35" spans="1:4" ht="18.75">
      <c r="A35" s="616" t="s">
        <v>1312</v>
      </c>
      <c r="C35" s="614">
        <f>SUM(C33-C34)</f>
        <v>60378.817999999999</v>
      </c>
      <c r="D35" s="614"/>
    </row>
  </sheetData>
  <mergeCells count="3">
    <mergeCell ref="A1:D1"/>
    <mergeCell ref="A2:D2"/>
    <mergeCell ref="A3:D4"/>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10282-0D35-4E24-AA16-7D07AF4622F5}">
  <dimension ref="A1:Y23"/>
  <sheetViews>
    <sheetView workbookViewId="0">
      <selection activeCell="AO7" sqref="AO7"/>
    </sheetView>
  </sheetViews>
  <sheetFormatPr defaultRowHeight="15"/>
  <cols>
    <col min="1" max="3" width="2.33203125" customWidth="1"/>
    <col min="4" max="4" width="11" customWidth="1"/>
    <col min="5" max="6" width="1.77734375" customWidth="1"/>
    <col min="7" max="7" width="9.21875" bestFit="1" customWidth="1"/>
    <col min="8" max="8" width="1.77734375" customWidth="1"/>
    <col min="9" max="9" width="8.77734375" bestFit="1" customWidth="1"/>
    <col min="10" max="10" width="1.77734375" customWidth="1"/>
    <col min="11" max="11" width="11.21875" customWidth="1"/>
    <col min="12" max="12" width="1.77734375" customWidth="1"/>
    <col min="13" max="13" width="9.5546875" bestFit="1" customWidth="1"/>
    <col min="14" max="14" width="1.77734375" customWidth="1"/>
    <col min="15" max="15" width="23.88671875" customWidth="1"/>
    <col min="16" max="16" width="1.77734375" customWidth="1"/>
    <col min="17" max="17" width="23.88671875" customWidth="1"/>
    <col min="18" max="18" width="1.77734375" customWidth="1"/>
    <col min="19" max="19" width="7.88671875" bestFit="1" customWidth="1"/>
    <col min="20" max="20" width="1.77734375" customWidth="1"/>
    <col min="21" max="21" width="8.21875" bestFit="1" customWidth="1"/>
    <col min="22" max="22" width="1.77734375" customWidth="1"/>
    <col min="23" max="23" width="9.109375" bestFit="1" customWidth="1"/>
  </cols>
  <sheetData>
    <row r="1" spans="1:25" ht="16.5" thickBot="1">
      <c r="A1" s="557"/>
      <c r="B1" s="557"/>
      <c r="C1" s="557"/>
      <c r="D1" s="557"/>
      <c r="E1" s="557"/>
      <c r="F1" s="557"/>
      <c r="G1" s="558" t="s">
        <v>1092</v>
      </c>
      <c r="H1" s="557"/>
      <c r="I1" s="558" t="s">
        <v>1138</v>
      </c>
      <c r="J1" s="557"/>
      <c r="K1" s="558" t="s">
        <v>1139</v>
      </c>
      <c r="L1" s="557"/>
      <c r="M1" s="558" t="s">
        <v>1140</v>
      </c>
      <c r="N1" s="557"/>
      <c r="O1" s="558" t="s">
        <v>1141</v>
      </c>
      <c r="P1" s="557"/>
      <c r="Q1" s="558" t="s">
        <v>1144</v>
      </c>
      <c r="R1" s="557"/>
      <c r="S1" s="558" t="s">
        <v>1145</v>
      </c>
      <c r="T1" s="557"/>
      <c r="U1" s="558" t="s">
        <v>1146</v>
      </c>
      <c r="V1" s="557"/>
      <c r="W1" s="558" t="s">
        <v>1147</v>
      </c>
      <c r="X1" s="89"/>
      <c r="Y1" s="89"/>
    </row>
    <row r="2" spans="1:25" ht="16.5" thickTop="1">
      <c r="A2" s="559"/>
      <c r="B2" s="559" t="s">
        <v>275</v>
      </c>
      <c r="C2" s="559"/>
      <c r="D2" s="559"/>
      <c r="E2" s="559"/>
      <c r="F2" s="559"/>
      <c r="G2" s="559"/>
      <c r="H2" s="559"/>
      <c r="I2" s="560"/>
      <c r="J2" s="559"/>
      <c r="K2" s="559"/>
      <c r="L2" s="559"/>
      <c r="M2" s="559"/>
      <c r="N2" s="559"/>
      <c r="O2" s="559"/>
      <c r="P2" s="559"/>
      <c r="Q2" s="559"/>
      <c r="R2" s="559"/>
      <c r="S2" s="561"/>
      <c r="T2" s="559"/>
      <c r="U2" s="561"/>
      <c r="V2" s="559"/>
      <c r="W2" s="561">
        <v>0</v>
      </c>
      <c r="X2" s="89"/>
      <c r="Y2" s="89"/>
    </row>
    <row r="3" spans="1:25" ht="15.75">
      <c r="A3" s="559"/>
      <c r="B3" s="559"/>
      <c r="C3" s="559" t="s">
        <v>276</v>
      </c>
      <c r="D3" s="559"/>
      <c r="E3" s="559"/>
      <c r="F3" s="559"/>
      <c r="G3" s="559"/>
      <c r="H3" s="559"/>
      <c r="I3" s="560"/>
      <c r="J3" s="559"/>
      <c r="K3" s="559"/>
      <c r="L3" s="559"/>
      <c r="M3" s="559"/>
      <c r="N3" s="559"/>
      <c r="O3" s="559"/>
      <c r="P3" s="559"/>
      <c r="Q3" s="559"/>
      <c r="R3" s="559"/>
      <c r="S3" s="780"/>
      <c r="T3" s="780"/>
      <c r="U3" s="780"/>
      <c r="V3" s="780"/>
      <c r="W3" s="780">
        <v>0</v>
      </c>
      <c r="X3" s="127"/>
      <c r="Y3" s="89"/>
    </row>
    <row r="4" spans="1:25" ht="15.75">
      <c r="A4" s="559"/>
      <c r="B4" s="559"/>
      <c r="C4" s="559"/>
      <c r="D4" s="559" t="s">
        <v>277</v>
      </c>
      <c r="E4" s="559"/>
      <c r="F4" s="559"/>
      <c r="G4" s="559"/>
      <c r="H4" s="559"/>
      <c r="I4" s="560"/>
      <c r="J4" s="559"/>
      <c r="K4" s="559"/>
      <c r="L4" s="559"/>
      <c r="M4" s="559"/>
      <c r="N4" s="559"/>
      <c r="O4" s="559"/>
      <c r="P4" s="559"/>
      <c r="Q4" s="559"/>
      <c r="R4" s="559"/>
      <c r="S4" s="780"/>
      <c r="T4" s="780"/>
      <c r="U4" s="780"/>
      <c r="V4" s="780"/>
      <c r="W4" s="780">
        <v>0</v>
      </c>
      <c r="X4" s="127"/>
      <c r="Y4" s="89"/>
    </row>
    <row r="5" spans="1:25" ht="30">
      <c r="A5" s="562"/>
      <c r="B5" s="562"/>
      <c r="C5" s="562"/>
      <c r="D5" s="562"/>
      <c r="E5" s="562"/>
      <c r="F5" s="562"/>
      <c r="G5" s="778" t="s">
        <v>1164</v>
      </c>
      <c r="H5" s="562"/>
      <c r="I5" s="563">
        <v>43190</v>
      </c>
      <c r="J5" s="562"/>
      <c r="K5" s="562" t="s">
        <v>1448</v>
      </c>
      <c r="L5" s="562"/>
      <c r="M5" s="562"/>
      <c r="N5" s="562"/>
      <c r="O5" s="779" t="s">
        <v>1449</v>
      </c>
      <c r="P5" s="562"/>
      <c r="Q5" s="562" t="s">
        <v>1450</v>
      </c>
      <c r="R5" s="562"/>
      <c r="S5" s="781">
        <v>9665.6200000000008</v>
      </c>
      <c r="T5" s="781"/>
      <c r="U5" s="781"/>
      <c r="V5" s="781"/>
      <c r="W5" s="781">
        <v>9665.6200000000008</v>
      </c>
      <c r="X5" s="127"/>
      <c r="Y5" s="89"/>
    </row>
    <row r="6" spans="1:25" ht="30">
      <c r="A6" s="562"/>
      <c r="B6" s="562"/>
      <c r="C6" s="562"/>
      <c r="D6" s="562"/>
      <c r="E6" s="562"/>
      <c r="F6" s="562"/>
      <c r="G6" s="562" t="s">
        <v>1451</v>
      </c>
      <c r="H6" s="562"/>
      <c r="I6" s="563">
        <v>43221</v>
      </c>
      <c r="J6" s="562"/>
      <c r="K6" s="778" t="s">
        <v>1452</v>
      </c>
      <c r="L6" s="562"/>
      <c r="M6" s="778" t="s">
        <v>1453</v>
      </c>
      <c r="N6" s="562"/>
      <c r="O6" s="779" t="s">
        <v>1454</v>
      </c>
      <c r="P6" s="562"/>
      <c r="Q6" s="562" t="s">
        <v>22</v>
      </c>
      <c r="R6" s="562"/>
      <c r="S6" s="781">
        <v>13932.89</v>
      </c>
      <c r="T6" s="781"/>
      <c r="U6" s="781"/>
      <c r="V6" s="781"/>
      <c r="W6" s="781">
        <v>23598.51</v>
      </c>
      <c r="X6" s="127"/>
      <c r="Y6" s="89"/>
    </row>
    <row r="7" spans="1:25" ht="30">
      <c r="A7" s="562"/>
      <c r="B7" s="562"/>
      <c r="C7" s="562"/>
      <c r="D7" s="562"/>
      <c r="E7" s="562"/>
      <c r="F7" s="562"/>
      <c r="G7" s="562" t="s">
        <v>1451</v>
      </c>
      <c r="H7" s="562"/>
      <c r="I7" s="563">
        <v>43221</v>
      </c>
      <c r="J7" s="562"/>
      <c r="K7" s="778" t="s">
        <v>1452</v>
      </c>
      <c r="L7" s="562"/>
      <c r="M7" s="778" t="s">
        <v>1453</v>
      </c>
      <c r="N7" s="562"/>
      <c r="O7" s="779" t="s">
        <v>1454</v>
      </c>
      <c r="P7" s="562"/>
      <c r="Q7" s="562" t="s">
        <v>22</v>
      </c>
      <c r="R7" s="562"/>
      <c r="S7" s="781">
        <v>1899.94</v>
      </c>
      <c r="T7" s="781"/>
      <c r="U7" s="781"/>
      <c r="V7" s="781"/>
      <c r="W7" s="781">
        <v>25498.45</v>
      </c>
      <c r="X7" s="127"/>
      <c r="Y7" s="89"/>
    </row>
    <row r="8" spans="1:25" ht="60">
      <c r="A8" s="562"/>
      <c r="B8" s="562"/>
      <c r="C8" s="562"/>
      <c r="D8" s="562"/>
      <c r="E8" s="562"/>
      <c r="F8" s="562"/>
      <c r="G8" s="562" t="s">
        <v>1164</v>
      </c>
      <c r="H8" s="562"/>
      <c r="I8" s="563">
        <v>43404</v>
      </c>
      <c r="J8" s="562"/>
      <c r="K8" s="562" t="s">
        <v>1455</v>
      </c>
      <c r="L8" s="562"/>
      <c r="M8" s="562"/>
      <c r="N8" s="562"/>
      <c r="O8" s="779" t="s">
        <v>1456</v>
      </c>
      <c r="P8" s="562"/>
      <c r="Q8" s="562" t="s">
        <v>1450</v>
      </c>
      <c r="R8" s="562"/>
      <c r="S8" s="781"/>
      <c r="T8" s="781"/>
      <c r="U8" s="781">
        <v>9665.6200000000008</v>
      </c>
      <c r="V8" s="781"/>
      <c r="W8" s="781">
        <v>15832.83</v>
      </c>
      <c r="X8" s="127"/>
      <c r="Y8" s="89"/>
    </row>
    <row r="9" spans="1:25" ht="30.75" thickBot="1">
      <c r="A9" s="562"/>
      <c r="B9" s="562"/>
      <c r="C9" s="562"/>
      <c r="D9" s="562"/>
      <c r="E9" s="562"/>
      <c r="F9" s="562"/>
      <c r="G9" s="562" t="s">
        <v>1164</v>
      </c>
      <c r="H9" s="562"/>
      <c r="I9" s="563">
        <v>43465</v>
      </c>
      <c r="J9" s="562"/>
      <c r="K9" s="562" t="s">
        <v>1457</v>
      </c>
      <c r="L9" s="562"/>
      <c r="M9" s="562"/>
      <c r="N9" s="562"/>
      <c r="O9" s="779" t="s">
        <v>1458</v>
      </c>
      <c r="P9" s="562"/>
      <c r="Q9" s="778" t="s">
        <v>98</v>
      </c>
      <c r="R9" s="562"/>
      <c r="S9" s="782">
        <v>58243.08</v>
      </c>
      <c r="T9" s="781"/>
      <c r="U9" s="782"/>
      <c r="V9" s="781"/>
      <c r="W9" s="782">
        <v>74075.91</v>
      </c>
      <c r="X9" s="127"/>
      <c r="Y9" s="89"/>
    </row>
    <row r="10" spans="1:25" ht="15.75">
      <c r="A10" s="562"/>
      <c r="B10" s="562"/>
      <c r="C10" s="562"/>
      <c r="D10" s="562" t="s">
        <v>1459</v>
      </c>
      <c r="E10" s="562"/>
      <c r="F10" s="562"/>
      <c r="G10" s="562"/>
      <c r="H10" s="562"/>
      <c r="I10" s="563"/>
      <c r="J10" s="562"/>
      <c r="K10" s="562"/>
      <c r="L10" s="562"/>
      <c r="M10" s="562"/>
      <c r="N10" s="562"/>
      <c r="O10" s="562"/>
      <c r="P10" s="562"/>
      <c r="Q10" s="562"/>
      <c r="R10" s="562"/>
      <c r="S10" s="781">
        <f>ROUND(SUM(S4:S9),5)</f>
        <v>83741.53</v>
      </c>
      <c r="T10" s="781"/>
      <c r="U10" s="781">
        <f>ROUND(SUM(U4:U9),5)</f>
        <v>9665.6200000000008</v>
      </c>
      <c r="V10" s="781"/>
      <c r="W10" s="781">
        <f>W9</f>
        <v>74075.91</v>
      </c>
      <c r="X10" s="127"/>
      <c r="Y10" s="89"/>
    </row>
    <row r="11" spans="1:25" ht="15.75">
      <c r="A11" s="569"/>
      <c r="B11" s="569"/>
      <c r="C11" s="569"/>
      <c r="D11" s="569"/>
      <c r="E11" s="569"/>
      <c r="F11" s="569"/>
      <c r="G11" s="569" t="s">
        <v>1460</v>
      </c>
      <c r="H11" s="569"/>
      <c r="I11" s="569"/>
      <c r="J11" s="569"/>
      <c r="K11" s="569"/>
      <c r="L11" s="569"/>
      <c r="M11" s="569"/>
      <c r="N11" s="569"/>
      <c r="O11" s="569"/>
      <c r="P11" s="569"/>
      <c r="Q11" s="569"/>
      <c r="R11" s="569"/>
      <c r="S11" s="127"/>
      <c r="T11" s="127"/>
      <c r="U11" s="127">
        <f>+S6</f>
        <v>13932.89</v>
      </c>
      <c r="V11" s="127"/>
      <c r="W11" s="127"/>
      <c r="X11" s="127"/>
      <c r="Y11" s="89"/>
    </row>
    <row r="12" spans="1:25" ht="15.75">
      <c r="A12" s="569"/>
      <c r="B12" s="569"/>
      <c r="C12" s="569"/>
      <c r="D12" s="569"/>
      <c r="E12" s="569"/>
      <c r="F12" s="569"/>
      <c r="G12" s="569"/>
      <c r="H12" s="569"/>
      <c r="I12" s="569"/>
      <c r="J12" s="569"/>
      <c r="K12" s="569"/>
      <c r="L12" s="569"/>
      <c r="M12" s="569"/>
      <c r="N12" s="569"/>
      <c r="O12" s="569"/>
      <c r="P12" s="569"/>
      <c r="Q12" s="569"/>
      <c r="R12" s="569"/>
      <c r="S12" s="776"/>
      <c r="T12" s="776"/>
      <c r="U12" s="776">
        <f>+S7</f>
        <v>1899.94</v>
      </c>
      <c r="V12" s="776"/>
      <c r="W12" s="776"/>
      <c r="X12" s="127"/>
      <c r="Y12" s="89"/>
    </row>
    <row r="13" spans="1:25" ht="15.75">
      <c r="A13" s="569"/>
      <c r="B13" s="569"/>
      <c r="C13" s="569"/>
      <c r="D13" s="569" t="s">
        <v>1038</v>
      </c>
      <c r="E13" s="569"/>
      <c r="F13" s="569"/>
      <c r="G13" s="569"/>
      <c r="H13" s="569"/>
      <c r="I13" s="569"/>
      <c r="J13" s="569"/>
      <c r="K13" s="569"/>
      <c r="L13" s="569"/>
      <c r="M13" s="569"/>
      <c r="N13" s="569"/>
      <c r="O13" s="569"/>
      <c r="P13" s="569"/>
      <c r="Q13" s="569"/>
      <c r="R13" s="569"/>
      <c r="S13" s="127"/>
      <c r="T13" s="127"/>
      <c r="U13" s="127"/>
      <c r="V13" s="127"/>
      <c r="W13" s="127">
        <f>+W10-U11-U12</f>
        <v>58243.08</v>
      </c>
      <c r="X13" s="127"/>
      <c r="Y13" s="89"/>
    </row>
    <row r="14" spans="1:25" ht="15.75">
      <c r="A14" s="569"/>
      <c r="B14" s="569"/>
      <c r="C14" s="569"/>
      <c r="D14" s="569" t="s">
        <v>1461</v>
      </c>
      <c r="E14" s="569"/>
      <c r="F14" s="569"/>
      <c r="G14" s="569"/>
      <c r="H14" s="569"/>
      <c r="I14" s="569"/>
      <c r="J14" s="569"/>
      <c r="K14" s="569"/>
      <c r="L14" s="569"/>
      <c r="M14" s="569"/>
      <c r="N14" s="569"/>
      <c r="O14" s="569"/>
      <c r="P14" s="569"/>
      <c r="Q14" s="569"/>
      <c r="R14" s="569"/>
      <c r="S14" s="127"/>
      <c r="T14" s="127"/>
      <c r="U14" s="127"/>
      <c r="V14" s="127"/>
      <c r="W14" s="776">
        <f>+'Pension Admin'!D25-'Pension Admin Ledger'!W13</f>
        <v>2135.7379999999976</v>
      </c>
      <c r="X14" s="127"/>
      <c r="Y14" s="89"/>
    </row>
    <row r="15" spans="1:25" ht="15.75">
      <c r="A15" s="569"/>
      <c r="B15" s="569"/>
      <c r="C15" s="569"/>
      <c r="D15" s="569"/>
      <c r="E15" s="569"/>
      <c r="F15" s="569"/>
      <c r="G15" s="569"/>
      <c r="H15" s="569"/>
      <c r="I15" s="569"/>
      <c r="J15" s="569"/>
      <c r="K15" s="569"/>
      <c r="L15" s="569"/>
      <c r="M15" s="569"/>
      <c r="N15" s="569"/>
      <c r="O15" s="569"/>
      <c r="P15" s="569"/>
      <c r="Q15" s="569"/>
      <c r="R15" s="569"/>
      <c r="S15" s="127"/>
      <c r="T15" s="127"/>
      <c r="U15" s="127"/>
      <c r="V15" s="127"/>
      <c r="W15" s="127">
        <f>SUM(W13:W14)</f>
        <v>60378.817999999999</v>
      </c>
      <c r="X15" s="127"/>
      <c r="Y15" s="89"/>
    </row>
    <row r="16" spans="1:25" ht="15.75">
      <c r="A16" s="569"/>
      <c r="B16" s="569"/>
      <c r="C16" s="569"/>
      <c r="D16" s="569"/>
      <c r="E16" s="569"/>
      <c r="F16" s="569"/>
      <c r="G16" s="569"/>
      <c r="H16" s="569"/>
      <c r="I16" s="569"/>
      <c r="J16" s="569"/>
      <c r="K16" s="569"/>
      <c r="L16" s="569"/>
      <c r="M16" s="569"/>
      <c r="N16" s="569"/>
      <c r="O16" s="569"/>
      <c r="P16" s="569"/>
      <c r="Q16" s="569"/>
      <c r="R16" s="569"/>
      <c r="S16" s="127"/>
      <c r="T16" s="127"/>
      <c r="U16" s="127"/>
      <c r="V16" s="127"/>
      <c r="W16" s="127"/>
      <c r="X16" s="127"/>
      <c r="Y16" s="89"/>
    </row>
    <row r="17" spans="1:25" ht="15.75">
      <c r="A17" s="569"/>
      <c r="B17" s="569"/>
      <c r="C17" s="569"/>
      <c r="D17" s="569"/>
      <c r="E17" s="569"/>
      <c r="F17" s="569"/>
      <c r="G17" s="569"/>
      <c r="H17" s="569"/>
      <c r="I17" s="569"/>
      <c r="J17" s="569"/>
      <c r="K17" s="569"/>
      <c r="L17" s="569"/>
      <c r="M17" s="569"/>
      <c r="N17" s="569"/>
      <c r="O17" s="569"/>
      <c r="P17" s="569"/>
      <c r="Q17" s="569"/>
      <c r="R17" s="569"/>
      <c r="S17" s="127"/>
      <c r="T17" s="127"/>
      <c r="U17" s="127"/>
      <c r="V17" s="127"/>
      <c r="W17" s="127"/>
      <c r="X17" s="127"/>
      <c r="Y17" s="89"/>
    </row>
    <row r="18" spans="1:25" ht="15.75">
      <c r="A18" s="569"/>
      <c r="B18" s="569"/>
      <c r="C18" s="569"/>
      <c r="D18" s="569"/>
      <c r="E18" s="569"/>
      <c r="F18" s="569"/>
      <c r="G18" s="569"/>
      <c r="H18" s="569"/>
      <c r="I18" s="569"/>
      <c r="J18" s="569"/>
      <c r="K18" s="569"/>
      <c r="L18" s="569"/>
      <c r="M18" s="569"/>
      <c r="N18" s="569"/>
      <c r="O18" s="569"/>
      <c r="P18" s="569"/>
      <c r="Q18" s="569"/>
      <c r="R18" s="569"/>
      <c r="S18" s="569"/>
      <c r="T18" s="569"/>
      <c r="U18" s="569"/>
      <c r="V18" s="569"/>
      <c r="W18" s="127"/>
      <c r="X18" s="89"/>
      <c r="Y18" s="89"/>
    </row>
    <row r="19" spans="1:25" ht="15.75">
      <c r="A19" s="569"/>
      <c r="B19" s="569"/>
      <c r="C19" s="569"/>
      <c r="D19" s="569"/>
      <c r="E19" s="569"/>
      <c r="F19" s="569"/>
      <c r="G19" s="569"/>
      <c r="H19" s="569"/>
      <c r="I19" s="569"/>
      <c r="J19" s="569"/>
      <c r="K19" s="569"/>
      <c r="L19" s="569"/>
      <c r="M19" s="569"/>
      <c r="N19" s="569"/>
      <c r="O19" s="569"/>
      <c r="P19" s="569"/>
      <c r="Q19" s="569"/>
      <c r="R19" s="569"/>
      <c r="S19" s="569"/>
      <c r="T19" s="569"/>
      <c r="U19" s="569"/>
      <c r="V19" s="569"/>
      <c r="W19" s="127"/>
      <c r="X19" s="89"/>
      <c r="Y19" s="89"/>
    </row>
    <row r="20" spans="1:25" ht="15.75">
      <c r="A20" s="569"/>
      <c r="B20" s="569"/>
      <c r="C20" s="569"/>
      <c r="D20" s="569"/>
      <c r="E20" s="569"/>
      <c r="F20" s="569"/>
      <c r="G20" s="569"/>
      <c r="H20" s="569"/>
      <c r="I20" s="569"/>
      <c r="J20" s="569"/>
      <c r="K20" s="569"/>
      <c r="L20" s="569"/>
      <c r="M20" s="569"/>
      <c r="N20" s="569"/>
      <c r="O20" s="569"/>
      <c r="P20" s="569"/>
      <c r="Q20" s="569"/>
      <c r="R20" s="569"/>
      <c r="S20" s="569"/>
      <c r="T20" s="569"/>
      <c r="U20" s="569"/>
      <c r="V20" s="569"/>
      <c r="W20" s="569"/>
      <c r="X20" s="89"/>
      <c r="Y20" s="89"/>
    </row>
    <row r="21" spans="1:25" ht="15.75">
      <c r="A21" s="569"/>
      <c r="B21" s="569"/>
      <c r="C21" s="569"/>
      <c r="D21" s="569"/>
      <c r="E21" s="569"/>
      <c r="F21" s="569"/>
      <c r="G21" s="569"/>
      <c r="H21" s="569"/>
      <c r="I21" s="569"/>
      <c r="J21" s="569"/>
      <c r="K21" s="569"/>
      <c r="L21" s="569"/>
      <c r="M21" s="569"/>
      <c r="N21" s="569"/>
      <c r="O21" s="569"/>
      <c r="P21" s="569"/>
      <c r="Q21" s="569"/>
      <c r="R21" s="569"/>
      <c r="S21" s="569"/>
      <c r="T21" s="569"/>
      <c r="U21" s="569"/>
      <c r="V21" s="569"/>
      <c r="W21" s="569"/>
      <c r="X21" s="89"/>
      <c r="Y21" s="89"/>
    </row>
    <row r="22" spans="1:25" ht="15.75">
      <c r="A22" s="569"/>
      <c r="B22" s="569"/>
      <c r="C22" s="569"/>
      <c r="D22" s="569"/>
      <c r="E22" s="569"/>
      <c r="F22" s="569"/>
      <c r="G22" s="569"/>
      <c r="H22" s="569"/>
      <c r="I22" s="569"/>
      <c r="J22" s="569"/>
      <c r="K22" s="569"/>
      <c r="L22" s="569"/>
      <c r="M22" s="569"/>
      <c r="N22" s="569"/>
      <c r="O22" s="569"/>
      <c r="P22" s="569"/>
      <c r="Q22" s="569"/>
      <c r="R22" s="569"/>
      <c r="S22" s="569"/>
      <c r="T22" s="569"/>
      <c r="U22" s="569"/>
      <c r="V22" s="569"/>
      <c r="W22" s="569"/>
      <c r="X22" s="89"/>
      <c r="Y22" s="89"/>
    </row>
    <row r="23" spans="1:25" ht="15.75">
      <c r="A23" s="569"/>
      <c r="B23" s="569"/>
      <c r="C23" s="569"/>
      <c r="D23" s="569"/>
      <c r="E23" s="569"/>
      <c r="F23" s="569"/>
      <c r="G23" s="569"/>
      <c r="H23" s="569"/>
      <c r="I23" s="569"/>
      <c r="J23" s="569"/>
      <c r="K23" s="569"/>
      <c r="L23" s="569"/>
      <c r="M23" s="569"/>
      <c r="N23" s="569"/>
      <c r="O23" s="569"/>
      <c r="P23" s="569"/>
      <c r="Q23" s="569"/>
      <c r="R23" s="569"/>
      <c r="S23" s="569"/>
      <c r="T23" s="569"/>
      <c r="U23" s="569"/>
      <c r="V23" s="569"/>
      <c r="W23" s="569"/>
      <c r="X23" s="89"/>
      <c r="Y23" s="8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7386B-DF8C-4FE4-B7F7-6768F7805058}">
  <sheetPr>
    <pageSetUpPr fitToPage="1"/>
  </sheetPr>
  <dimension ref="A1:U267"/>
  <sheetViews>
    <sheetView workbookViewId="0">
      <pane ySplit="5" topLeftCell="A175" activePane="bottomLeft" state="frozen"/>
      <selection pane="bottomLeft" activeCell="E178" sqref="E178"/>
    </sheetView>
  </sheetViews>
  <sheetFormatPr defaultRowHeight="15"/>
  <cols>
    <col min="1" max="1" width="16.6640625" customWidth="1"/>
    <col min="2" max="2" width="21.5546875" customWidth="1"/>
    <col min="3" max="3" width="10.88671875" bestFit="1" customWidth="1"/>
    <col min="4" max="4" width="12.5546875" customWidth="1"/>
    <col min="5" max="5" width="11.88671875" customWidth="1"/>
    <col min="6" max="7" width="10.21875" customWidth="1"/>
    <col min="8" max="8" width="10.88671875" customWidth="1"/>
    <col min="9" max="9" width="11.21875" bestFit="1" customWidth="1"/>
    <col min="10" max="10" width="13.109375" customWidth="1"/>
    <col min="11" max="12" width="9.88671875" customWidth="1"/>
    <col min="13" max="13" width="10.21875" bestFit="1" customWidth="1"/>
    <col min="14" max="14" width="10.5546875" customWidth="1"/>
    <col min="15" max="16" width="8.77734375" bestFit="1" customWidth="1"/>
    <col min="17" max="17" width="10.6640625" customWidth="1"/>
    <col min="18" max="18" width="8.77734375" bestFit="1" customWidth="1"/>
    <col min="19" max="19" width="12.5546875" customWidth="1"/>
  </cols>
  <sheetData>
    <row r="1" spans="1:21" ht="15.75">
      <c r="A1" s="276"/>
      <c r="B1" s="277" t="s">
        <v>16</v>
      </c>
      <c r="C1" s="126"/>
      <c r="D1" s="126"/>
      <c r="E1" s="126"/>
      <c r="F1" s="126"/>
      <c r="G1" s="126"/>
      <c r="H1" s="126"/>
      <c r="I1" s="89"/>
      <c r="J1" s="89"/>
      <c r="K1" s="89"/>
      <c r="L1" s="89"/>
      <c r="M1" s="89"/>
      <c r="N1" s="89"/>
      <c r="O1" s="89"/>
      <c r="P1" s="89"/>
      <c r="Q1" s="89"/>
      <c r="R1" s="89"/>
      <c r="S1" s="89"/>
      <c r="T1" s="89"/>
      <c r="U1" s="89"/>
    </row>
    <row r="2" spans="1:21" ht="15.75">
      <c r="A2" s="276"/>
      <c r="B2" s="260" t="s">
        <v>974</v>
      </c>
      <c r="C2" s="126"/>
      <c r="D2" s="126"/>
      <c r="E2" s="126"/>
      <c r="F2" s="126"/>
      <c r="G2" s="126"/>
      <c r="H2" s="126"/>
      <c r="I2" s="89"/>
      <c r="J2" s="89"/>
      <c r="K2" s="89"/>
      <c r="L2" s="89"/>
      <c r="M2" s="89"/>
      <c r="N2" s="89"/>
      <c r="O2" s="89"/>
      <c r="P2" s="89"/>
      <c r="Q2" s="89"/>
      <c r="R2" s="89"/>
      <c r="S2" s="89"/>
      <c r="T2" s="89"/>
      <c r="U2" s="89"/>
    </row>
    <row r="3" spans="1:21" ht="15.75">
      <c r="A3" s="276"/>
      <c r="B3" s="260" t="s">
        <v>975</v>
      </c>
      <c r="C3" s="126"/>
      <c r="D3" s="126"/>
      <c r="E3" s="126"/>
      <c r="F3" s="126"/>
      <c r="G3" s="126"/>
      <c r="H3" s="126"/>
      <c r="I3" s="89"/>
      <c r="J3" s="89"/>
      <c r="K3" s="89"/>
      <c r="L3" s="89"/>
      <c r="M3" s="89"/>
      <c r="N3" s="89"/>
      <c r="O3" s="89"/>
      <c r="P3" s="89"/>
      <c r="Q3" s="89"/>
      <c r="R3" s="89"/>
      <c r="S3" s="89"/>
      <c r="T3" s="89"/>
      <c r="U3" s="89"/>
    </row>
    <row r="4" spans="1:21" ht="15.75">
      <c r="A4" s="260"/>
      <c r="B4" s="260"/>
      <c r="C4" s="260"/>
      <c r="D4" s="260"/>
      <c r="E4" s="260"/>
      <c r="F4" s="260" t="s">
        <v>754</v>
      </c>
      <c r="G4" s="261" t="s">
        <v>664</v>
      </c>
      <c r="H4" s="260" t="s">
        <v>754</v>
      </c>
      <c r="I4" s="260" t="s">
        <v>664</v>
      </c>
      <c r="J4" s="260" t="s">
        <v>976</v>
      </c>
      <c r="K4" s="260" t="s">
        <v>977</v>
      </c>
      <c r="L4" s="260" t="s">
        <v>978</v>
      </c>
      <c r="M4" s="260" t="s">
        <v>979</v>
      </c>
      <c r="N4" s="260" t="s">
        <v>980</v>
      </c>
      <c r="O4" s="260" t="s">
        <v>981</v>
      </c>
      <c r="P4" s="260" t="s">
        <v>982</v>
      </c>
      <c r="Q4" s="262" t="s">
        <v>983</v>
      </c>
      <c r="R4" s="262" t="s">
        <v>984</v>
      </c>
      <c r="S4" s="262" t="s">
        <v>985</v>
      </c>
      <c r="T4" s="262"/>
      <c r="U4" s="262"/>
    </row>
    <row r="5" spans="1:21" ht="15.75">
      <c r="A5" s="260" t="s">
        <v>986</v>
      </c>
      <c r="B5" s="260" t="s">
        <v>987</v>
      </c>
      <c r="C5" s="260" t="s">
        <v>988</v>
      </c>
      <c r="D5" s="260" t="s">
        <v>989</v>
      </c>
      <c r="E5" s="260" t="s">
        <v>648</v>
      </c>
      <c r="F5" s="260" t="s">
        <v>990</v>
      </c>
      <c r="G5" s="260" t="s">
        <v>990</v>
      </c>
      <c r="H5" s="260" t="s">
        <v>672</v>
      </c>
      <c r="I5" s="260" t="s">
        <v>672</v>
      </c>
      <c r="J5" s="260" t="s">
        <v>991</v>
      </c>
      <c r="K5" s="260" t="s">
        <v>670</v>
      </c>
      <c r="L5" s="260" t="s">
        <v>670</v>
      </c>
      <c r="M5" s="260" t="s">
        <v>992</v>
      </c>
      <c r="N5" s="260" t="s">
        <v>670</v>
      </c>
      <c r="O5" s="260" t="s">
        <v>993</v>
      </c>
      <c r="P5" s="260" t="s">
        <v>993</v>
      </c>
      <c r="Q5" s="263" t="s">
        <v>994</v>
      </c>
      <c r="R5" s="262"/>
      <c r="S5" s="262"/>
      <c r="T5" s="262"/>
      <c r="U5" s="262"/>
    </row>
    <row r="6" spans="1:21" ht="15.75">
      <c r="A6" s="276" t="s">
        <v>995</v>
      </c>
      <c r="B6" s="278" t="s">
        <v>943</v>
      </c>
      <c r="C6" s="89">
        <v>42.68</v>
      </c>
      <c r="D6" s="279">
        <v>105</v>
      </c>
      <c r="E6" s="279">
        <v>4615.84</v>
      </c>
      <c r="F6" s="279"/>
      <c r="G6" s="89"/>
      <c r="H6" s="89"/>
      <c r="I6" s="279"/>
      <c r="J6" s="279"/>
      <c r="K6" s="279"/>
      <c r="L6" s="279"/>
      <c r="M6" s="279"/>
      <c r="N6" s="279"/>
      <c r="O6" s="279"/>
      <c r="P6" s="279"/>
      <c r="Q6" s="279"/>
      <c r="R6" s="89"/>
      <c r="S6" s="279">
        <f t="shared" ref="S6:S18" si="0">E6</f>
        <v>4615.84</v>
      </c>
      <c r="T6" s="89"/>
      <c r="U6" s="89"/>
    </row>
    <row r="7" spans="1:21" ht="15.75">
      <c r="A7" s="276"/>
      <c r="B7" s="278" t="s">
        <v>944</v>
      </c>
      <c r="C7" s="89">
        <v>36.4</v>
      </c>
      <c r="D7" s="279">
        <v>105</v>
      </c>
      <c r="E7" s="279">
        <v>3936.66</v>
      </c>
      <c r="F7" s="279"/>
      <c r="G7" s="89"/>
      <c r="H7" s="89"/>
      <c r="I7" s="279"/>
      <c r="J7" s="279"/>
      <c r="K7" s="279"/>
      <c r="L7" s="279"/>
      <c r="M7" s="279"/>
      <c r="N7" s="279"/>
      <c r="O7" s="279"/>
      <c r="P7" s="279"/>
      <c r="Q7" s="279"/>
      <c r="R7" s="89"/>
      <c r="S7" s="279">
        <f t="shared" si="0"/>
        <v>3936.66</v>
      </c>
      <c r="T7" s="89"/>
      <c r="U7" s="89"/>
    </row>
    <row r="8" spans="1:21" ht="15.75">
      <c r="A8" s="276"/>
      <c r="B8" s="278" t="s">
        <v>945</v>
      </c>
      <c r="C8" s="89">
        <v>32.619999999999997</v>
      </c>
      <c r="D8" s="279">
        <v>105</v>
      </c>
      <c r="E8" s="279">
        <v>3527.85</v>
      </c>
      <c r="F8" s="279"/>
      <c r="G8" s="89"/>
      <c r="H8" s="89"/>
      <c r="I8" s="279"/>
      <c r="J8" s="279"/>
      <c r="K8" s="279"/>
      <c r="L8" s="279"/>
      <c r="M8" s="279"/>
      <c r="N8" s="279"/>
      <c r="O8" s="279"/>
      <c r="P8" s="279"/>
      <c r="Q8" s="279"/>
      <c r="R8" s="89"/>
      <c r="S8" s="279">
        <f t="shared" si="0"/>
        <v>3527.85</v>
      </c>
      <c r="T8" s="89"/>
      <c r="U8" s="89"/>
    </row>
    <row r="9" spans="1:21" ht="15.75">
      <c r="A9" s="276"/>
      <c r="B9" s="278" t="s">
        <v>996</v>
      </c>
      <c r="C9" s="89">
        <v>54.76</v>
      </c>
      <c r="D9" s="279">
        <v>105</v>
      </c>
      <c r="E9" s="279">
        <v>5922.29</v>
      </c>
      <c r="F9" s="279"/>
      <c r="G9" s="89"/>
      <c r="H9" s="89"/>
      <c r="I9" s="279"/>
      <c r="J9" s="279"/>
      <c r="K9" s="279"/>
      <c r="L9" s="279"/>
      <c r="M9" s="279"/>
      <c r="N9" s="279"/>
      <c r="O9" s="279"/>
      <c r="P9" s="279"/>
      <c r="Q9" s="279"/>
      <c r="R9" s="89"/>
      <c r="S9" s="279">
        <f t="shared" si="0"/>
        <v>5922.29</v>
      </c>
      <c r="T9" s="89"/>
      <c r="U9" s="89"/>
    </row>
    <row r="10" spans="1:21" ht="15.75">
      <c r="A10" s="276"/>
      <c r="B10" s="278" t="s">
        <v>947</v>
      </c>
      <c r="C10" s="89">
        <v>51.56</v>
      </c>
      <c r="D10" s="279">
        <v>105</v>
      </c>
      <c r="E10" s="279">
        <v>5576.21</v>
      </c>
      <c r="F10" s="279"/>
      <c r="G10" s="89"/>
      <c r="H10" s="89"/>
      <c r="I10" s="279"/>
      <c r="J10" s="279"/>
      <c r="K10" s="279"/>
      <c r="L10" s="279"/>
      <c r="M10" s="279"/>
      <c r="N10" s="279"/>
      <c r="O10" s="279"/>
      <c r="P10" s="279"/>
      <c r="Q10" s="279"/>
      <c r="R10" s="89"/>
      <c r="S10" s="279">
        <f t="shared" si="0"/>
        <v>5576.21</v>
      </c>
      <c r="T10" s="89"/>
      <c r="U10" s="89"/>
    </row>
    <row r="11" spans="1:21" ht="15.75">
      <c r="A11" s="276"/>
      <c r="B11" s="278" t="s">
        <v>948</v>
      </c>
      <c r="C11" s="89">
        <v>64.84</v>
      </c>
      <c r="D11" s="279">
        <v>105</v>
      </c>
      <c r="E11" s="279">
        <v>7012.45</v>
      </c>
      <c r="F11" s="279"/>
      <c r="G11" s="89"/>
      <c r="H11" s="89"/>
      <c r="I11" s="279"/>
      <c r="J11" s="279"/>
      <c r="K11" s="279"/>
      <c r="L11" s="279"/>
      <c r="M11" s="279"/>
      <c r="N11" s="279"/>
      <c r="O11" s="279"/>
      <c r="P11" s="279"/>
      <c r="Q11" s="279"/>
      <c r="R11" s="89"/>
      <c r="S11" s="279">
        <f t="shared" si="0"/>
        <v>7012.45</v>
      </c>
      <c r="T11" s="89"/>
      <c r="U11" s="89"/>
    </row>
    <row r="12" spans="1:21" ht="15.75">
      <c r="A12" s="276"/>
      <c r="B12" s="278" t="s">
        <v>949</v>
      </c>
      <c r="C12" s="89">
        <v>90.8</v>
      </c>
      <c r="D12" s="279">
        <v>105</v>
      </c>
      <c r="E12" s="279">
        <v>9820.02</v>
      </c>
      <c r="F12" s="279"/>
      <c r="G12" s="89"/>
      <c r="H12" s="89"/>
      <c r="I12" s="279"/>
      <c r="J12" s="279"/>
      <c r="K12" s="279"/>
      <c r="L12" s="279"/>
      <c r="M12" s="279"/>
      <c r="N12" s="279"/>
      <c r="O12" s="279"/>
      <c r="P12" s="279"/>
      <c r="Q12" s="279"/>
      <c r="R12" s="89"/>
      <c r="S12" s="279">
        <f t="shared" si="0"/>
        <v>9820.02</v>
      </c>
      <c r="T12" s="89"/>
      <c r="U12" s="89"/>
    </row>
    <row r="13" spans="1:21" ht="15.75">
      <c r="A13" s="276"/>
      <c r="B13" s="278" t="s">
        <v>997</v>
      </c>
      <c r="C13" s="89">
        <v>71.11</v>
      </c>
      <c r="D13" s="279">
        <v>105</v>
      </c>
      <c r="E13" s="279">
        <v>7690.55</v>
      </c>
      <c r="F13" s="279"/>
      <c r="G13" s="89"/>
      <c r="H13" s="89"/>
      <c r="I13" s="279"/>
      <c r="J13" s="279"/>
      <c r="K13" s="279"/>
      <c r="L13" s="279"/>
      <c r="M13" s="279"/>
      <c r="N13" s="279"/>
      <c r="O13" s="279"/>
      <c r="P13" s="279"/>
      <c r="Q13" s="279"/>
      <c r="R13" s="89"/>
      <c r="S13" s="279">
        <f t="shared" si="0"/>
        <v>7690.55</v>
      </c>
      <c r="T13" s="89"/>
      <c r="U13" s="89"/>
    </row>
    <row r="14" spans="1:21" ht="15.75">
      <c r="A14" s="276"/>
      <c r="B14" s="278" t="s">
        <v>951</v>
      </c>
      <c r="C14" s="89">
        <v>69.86</v>
      </c>
      <c r="D14" s="279">
        <v>105</v>
      </c>
      <c r="E14" s="279">
        <v>7555.36</v>
      </c>
      <c r="F14" s="279"/>
      <c r="G14" s="89"/>
      <c r="H14" s="89"/>
      <c r="I14" s="279"/>
      <c r="J14" s="279"/>
      <c r="K14" s="279"/>
      <c r="L14" s="279"/>
      <c r="M14" s="279"/>
      <c r="N14" s="279"/>
      <c r="O14" s="279"/>
      <c r="P14" s="279"/>
      <c r="Q14" s="279"/>
      <c r="R14" s="89"/>
      <c r="S14" s="279">
        <f t="shared" si="0"/>
        <v>7555.36</v>
      </c>
      <c r="T14" s="89"/>
      <c r="U14" s="89"/>
    </row>
    <row r="15" spans="1:21" ht="15.75">
      <c r="A15" s="276"/>
      <c r="B15" s="278" t="s">
        <v>952</v>
      </c>
      <c r="C15" s="89">
        <v>142.44</v>
      </c>
      <c r="D15" s="279">
        <v>105</v>
      </c>
      <c r="E15" s="279">
        <v>15404.89</v>
      </c>
      <c r="F15" s="279"/>
      <c r="G15" s="89"/>
      <c r="H15" s="89"/>
      <c r="I15" s="279"/>
      <c r="J15" s="279"/>
      <c r="K15" s="279"/>
      <c r="L15" s="279"/>
      <c r="M15" s="279"/>
      <c r="N15" s="279"/>
      <c r="O15" s="279"/>
      <c r="P15" s="279"/>
      <c r="Q15" s="279"/>
      <c r="R15" s="89"/>
      <c r="S15" s="279">
        <f t="shared" si="0"/>
        <v>15404.89</v>
      </c>
      <c r="T15" s="89"/>
      <c r="U15" s="89"/>
    </row>
    <row r="16" spans="1:21" ht="15.75">
      <c r="A16" s="276"/>
      <c r="B16" s="278" t="s">
        <v>953</v>
      </c>
      <c r="C16" s="89">
        <v>63.35</v>
      </c>
      <c r="D16" s="279">
        <v>105</v>
      </c>
      <c r="E16" s="279">
        <v>6851.3</v>
      </c>
      <c r="F16" s="279"/>
      <c r="G16" s="89"/>
      <c r="H16" s="89"/>
      <c r="I16" s="279"/>
      <c r="J16" s="279"/>
      <c r="K16" s="279"/>
      <c r="L16" s="279"/>
      <c r="M16" s="279"/>
      <c r="N16" s="279"/>
      <c r="O16" s="279"/>
      <c r="P16" s="279"/>
      <c r="Q16" s="279"/>
      <c r="R16" s="89"/>
      <c r="S16" s="279">
        <f t="shared" si="0"/>
        <v>6851.3</v>
      </c>
      <c r="T16" s="89"/>
      <c r="U16" s="89"/>
    </row>
    <row r="17" spans="1:21" ht="15.75">
      <c r="A17" s="199"/>
      <c r="B17" s="302" t="s">
        <v>954</v>
      </c>
      <c r="C17" s="200">
        <v>59.94</v>
      </c>
      <c r="D17" s="201">
        <v>105</v>
      </c>
      <c r="E17" s="201">
        <v>6293.7</v>
      </c>
      <c r="F17" s="201"/>
      <c r="G17" s="200"/>
      <c r="H17" s="200"/>
      <c r="I17" s="201"/>
      <c r="J17" s="201"/>
      <c r="K17" s="201"/>
      <c r="L17" s="201"/>
      <c r="M17" s="201"/>
      <c r="N17" s="201"/>
      <c r="O17" s="201"/>
      <c r="P17" s="201"/>
      <c r="Q17" s="201"/>
      <c r="R17" s="200"/>
      <c r="S17" s="201">
        <f t="shared" si="0"/>
        <v>6293.7</v>
      </c>
      <c r="T17" s="200"/>
      <c r="U17" s="200"/>
    </row>
    <row r="18" spans="1:21" ht="15.75">
      <c r="A18" s="265"/>
      <c r="B18" s="265"/>
      <c r="C18" s="266"/>
      <c r="D18" s="267"/>
      <c r="E18" s="267">
        <f>SUM(E6:E17)</f>
        <v>84207.12</v>
      </c>
      <c r="F18" s="267"/>
      <c r="G18" s="267"/>
      <c r="H18" s="267"/>
      <c r="I18" s="267"/>
      <c r="J18" s="267"/>
      <c r="K18" s="267"/>
      <c r="L18" s="267"/>
      <c r="M18" s="267"/>
      <c r="N18" s="267"/>
      <c r="O18" s="267"/>
      <c r="P18" s="267"/>
      <c r="Q18" s="267"/>
      <c r="R18" s="266"/>
      <c r="S18" s="267">
        <f t="shared" si="0"/>
        <v>84207.12</v>
      </c>
      <c r="T18" s="266"/>
      <c r="U18" s="266"/>
    </row>
    <row r="19" spans="1:21" ht="15.75">
      <c r="A19" s="276" t="s">
        <v>998</v>
      </c>
      <c r="B19" s="280">
        <v>43102</v>
      </c>
      <c r="C19" s="89">
        <v>1.88</v>
      </c>
      <c r="D19" s="279">
        <v>90</v>
      </c>
      <c r="E19" s="279">
        <f t="shared" ref="E19:E35" si="1">SUM(C19*D19)</f>
        <v>169.2</v>
      </c>
      <c r="F19" s="279"/>
      <c r="G19" s="279"/>
      <c r="H19" s="279"/>
      <c r="I19" s="279"/>
      <c r="J19" s="279"/>
      <c r="K19" s="279"/>
      <c r="L19" s="279"/>
      <c r="M19" s="279"/>
      <c r="N19" s="279"/>
      <c r="O19" s="279"/>
      <c r="P19" s="279"/>
      <c r="Q19" s="279">
        <v>169.2</v>
      </c>
      <c r="R19" s="89"/>
      <c r="S19" s="89"/>
      <c r="T19" s="89"/>
      <c r="U19" s="89"/>
    </row>
    <row r="20" spans="1:21" ht="15.75">
      <c r="A20" s="276"/>
      <c r="B20" s="280">
        <v>43108</v>
      </c>
      <c r="C20" s="89">
        <v>8.1199999999999992</v>
      </c>
      <c r="D20" s="279">
        <v>104</v>
      </c>
      <c r="E20" s="279">
        <f t="shared" si="1"/>
        <v>844.4799999999999</v>
      </c>
      <c r="F20" s="279"/>
      <c r="G20" s="279"/>
      <c r="H20" s="279"/>
      <c r="I20" s="279"/>
      <c r="J20" s="279"/>
      <c r="K20" s="279"/>
      <c r="L20" s="279"/>
      <c r="M20" s="279"/>
      <c r="N20" s="279"/>
      <c r="O20" s="279"/>
      <c r="P20" s="279"/>
      <c r="Q20" s="279">
        <v>844.48</v>
      </c>
      <c r="R20" s="89"/>
      <c r="S20" s="89"/>
      <c r="T20" s="89"/>
      <c r="U20" s="89"/>
    </row>
    <row r="21" spans="1:21" ht="15.75">
      <c r="A21" s="276"/>
      <c r="B21" s="276"/>
      <c r="C21" s="89">
        <f>SUM(5.8+7.03)</f>
        <v>12.83</v>
      </c>
      <c r="D21" s="279">
        <v>90</v>
      </c>
      <c r="E21" s="279">
        <f t="shared" si="1"/>
        <v>1154.7</v>
      </c>
      <c r="F21" s="279"/>
      <c r="G21" s="279"/>
      <c r="H21" s="279"/>
      <c r="I21" s="279"/>
      <c r="J21" s="279"/>
      <c r="K21" s="279"/>
      <c r="L21" s="279"/>
      <c r="M21" s="279"/>
      <c r="N21" s="279"/>
      <c r="O21" s="279"/>
      <c r="P21" s="279"/>
      <c r="Q21" s="279">
        <v>1154.7</v>
      </c>
      <c r="R21" s="89"/>
      <c r="S21" s="89"/>
      <c r="T21" s="89"/>
      <c r="U21" s="89"/>
    </row>
    <row r="22" spans="1:21" ht="15.75">
      <c r="A22" s="276"/>
      <c r="B22" s="280">
        <v>43115</v>
      </c>
      <c r="C22" s="89">
        <v>5.73</v>
      </c>
      <c r="D22" s="279">
        <v>98</v>
      </c>
      <c r="E22" s="279">
        <f t="shared" si="1"/>
        <v>561.54000000000008</v>
      </c>
      <c r="F22" s="279"/>
      <c r="G22" s="279"/>
      <c r="H22" s="279"/>
      <c r="I22" s="279"/>
      <c r="J22" s="279"/>
      <c r="K22" s="279"/>
      <c r="L22" s="279"/>
      <c r="M22" s="279"/>
      <c r="N22" s="279"/>
      <c r="O22" s="279"/>
      <c r="P22" s="279"/>
      <c r="Q22" s="279">
        <v>561.54</v>
      </c>
      <c r="R22" s="89"/>
      <c r="S22" s="89"/>
      <c r="T22" s="89"/>
      <c r="U22" s="89"/>
    </row>
    <row r="23" spans="1:21" ht="15.75">
      <c r="A23" s="276"/>
      <c r="B23" s="276"/>
      <c r="C23" s="89">
        <v>5.07</v>
      </c>
      <c r="D23" s="279">
        <v>104</v>
      </c>
      <c r="E23" s="279">
        <f t="shared" si="1"/>
        <v>527.28</v>
      </c>
      <c r="F23" s="279"/>
      <c r="G23" s="279"/>
      <c r="H23" s="279"/>
      <c r="I23" s="279"/>
      <c r="J23" s="279"/>
      <c r="K23" s="279"/>
      <c r="L23" s="279"/>
      <c r="M23" s="279"/>
      <c r="N23" s="279"/>
      <c r="O23" s="279"/>
      <c r="P23" s="279"/>
      <c r="Q23" s="279">
        <v>527.28</v>
      </c>
      <c r="R23" s="89"/>
      <c r="S23" s="89"/>
      <c r="T23" s="89"/>
      <c r="U23" s="89"/>
    </row>
    <row r="24" spans="1:21" ht="15.75">
      <c r="A24" s="276"/>
      <c r="B24" s="280">
        <v>43122</v>
      </c>
      <c r="C24" s="89">
        <v>9.8000000000000007</v>
      </c>
      <c r="D24" s="279">
        <v>104</v>
      </c>
      <c r="E24" s="279">
        <f t="shared" si="1"/>
        <v>1019.2</v>
      </c>
      <c r="F24" s="279"/>
      <c r="G24" s="279"/>
      <c r="H24" s="279"/>
      <c r="I24" s="279"/>
      <c r="J24" s="279"/>
      <c r="K24" s="279"/>
      <c r="L24" s="279"/>
      <c r="M24" s="279"/>
      <c r="N24" s="279"/>
      <c r="O24" s="279"/>
      <c r="P24" s="279"/>
      <c r="Q24" s="279">
        <v>1019.2</v>
      </c>
      <c r="R24" s="89"/>
      <c r="S24" s="89"/>
      <c r="T24" s="89"/>
      <c r="U24" s="89"/>
    </row>
    <row r="25" spans="1:21" ht="15.75">
      <c r="A25" s="276"/>
      <c r="B25" s="280">
        <v>43122</v>
      </c>
      <c r="C25" s="89">
        <v>2.36</v>
      </c>
      <c r="D25" s="279">
        <v>98</v>
      </c>
      <c r="E25" s="279">
        <f t="shared" si="1"/>
        <v>231.28</v>
      </c>
      <c r="F25" s="279"/>
      <c r="G25" s="279"/>
      <c r="H25" s="279"/>
      <c r="I25" s="279"/>
      <c r="J25" s="279"/>
      <c r="K25" s="279"/>
      <c r="L25" s="279"/>
      <c r="M25" s="279"/>
      <c r="N25" s="279"/>
      <c r="O25" s="279"/>
      <c r="P25" s="279"/>
      <c r="Q25" s="279">
        <v>231.28</v>
      </c>
      <c r="R25" s="89"/>
      <c r="S25" s="89"/>
      <c r="T25" s="89"/>
      <c r="U25" s="89"/>
    </row>
    <row r="26" spans="1:21" ht="15.75">
      <c r="A26" s="276"/>
      <c r="B26" s="276"/>
      <c r="C26" s="89">
        <f>5.94+5.42+5.43</f>
        <v>16.79</v>
      </c>
      <c r="D26" s="279">
        <v>104</v>
      </c>
      <c r="E26" s="279">
        <f t="shared" si="1"/>
        <v>1746.1599999999999</v>
      </c>
      <c r="F26" s="279"/>
      <c r="G26" s="279"/>
      <c r="H26" s="279"/>
      <c r="I26" s="279"/>
      <c r="J26" s="279"/>
      <c r="K26" s="279"/>
      <c r="L26" s="279"/>
      <c r="M26" s="279"/>
      <c r="N26" s="279"/>
      <c r="O26" s="279"/>
      <c r="P26" s="279"/>
      <c r="Q26" s="279">
        <v>1746.16</v>
      </c>
      <c r="R26" s="89"/>
      <c r="S26" s="89"/>
      <c r="T26" s="89"/>
      <c r="U26" s="89"/>
    </row>
    <row r="27" spans="1:21" ht="15.75">
      <c r="A27" s="276"/>
      <c r="B27" s="280">
        <v>43131</v>
      </c>
      <c r="C27" s="89">
        <v>8.9700000000000006</v>
      </c>
      <c r="D27" s="279">
        <v>45</v>
      </c>
      <c r="E27" s="279">
        <f t="shared" si="1"/>
        <v>403.65000000000003</v>
      </c>
      <c r="F27" s="279"/>
      <c r="G27" s="279"/>
      <c r="H27" s="279"/>
      <c r="I27" s="279"/>
      <c r="J27" s="279"/>
      <c r="K27" s="279"/>
      <c r="L27" s="279"/>
      <c r="M27" s="279"/>
      <c r="N27" s="279"/>
      <c r="O27" s="279">
        <v>403.65</v>
      </c>
      <c r="P27" s="279"/>
      <c r="Q27" s="279"/>
      <c r="R27" s="89"/>
      <c r="S27" s="89"/>
      <c r="T27" s="89"/>
      <c r="U27" s="89"/>
    </row>
    <row r="28" spans="1:21" ht="15.75">
      <c r="A28" s="276"/>
      <c r="B28" s="276"/>
      <c r="C28" s="89">
        <f>SUM(1.52+5.51)</f>
        <v>7.0299999999999994</v>
      </c>
      <c r="D28" s="279">
        <v>104</v>
      </c>
      <c r="E28" s="279">
        <f t="shared" si="1"/>
        <v>731.11999999999989</v>
      </c>
      <c r="F28" s="279"/>
      <c r="G28" s="279"/>
      <c r="H28" s="279"/>
      <c r="I28" s="279"/>
      <c r="J28" s="279"/>
      <c r="K28" s="279"/>
      <c r="L28" s="279"/>
      <c r="M28" s="279"/>
      <c r="N28" s="279"/>
      <c r="O28" s="279"/>
      <c r="P28" s="279"/>
      <c r="Q28" s="279">
        <v>731.12</v>
      </c>
      <c r="R28" s="89"/>
      <c r="S28" s="89"/>
      <c r="T28" s="89"/>
      <c r="U28" s="89"/>
    </row>
    <row r="29" spans="1:21" ht="15.75">
      <c r="A29" s="276"/>
      <c r="B29" s="280">
        <v>43150</v>
      </c>
      <c r="C29" s="89">
        <v>14.21</v>
      </c>
      <c r="D29" s="279">
        <v>25</v>
      </c>
      <c r="E29" s="279">
        <f t="shared" si="1"/>
        <v>355.25</v>
      </c>
      <c r="F29" s="279"/>
      <c r="G29" s="279"/>
      <c r="H29" s="279"/>
      <c r="I29" s="279"/>
      <c r="J29" s="279"/>
      <c r="K29" s="279"/>
      <c r="L29" s="279"/>
      <c r="M29" s="279"/>
      <c r="N29" s="279"/>
      <c r="O29" s="279"/>
      <c r="P29" s="279">
        <v>355.25</v>
      </c>
      <c r="Q29" s="279"/>
      <c r="R29" s="89"/>
      <c r="S29" s="89"/>
      <c r="T29" s="89"/>
      <c r="U29" s="89"/>
    </row>
    <row r="30" spans="1:21" ht="15.75">
      <c r="A30" s="276"/>
      <c r="B30" s="276"/>
      <c r="C30" s="89">
        <f>SUM(6.81+4.11)</f>
        <v>10.92</v>
      </c>
      <c r="D30" s="279">
        <v>104</v>
      </c>
      <c r="E30" s="279">
        <f t="shared" si="1"/>
        <v>1135.68</v>
      </c>
      <c r="F30" s="279"/>
      <c r="G30" s="279"/>
      <c r="H30" s="279"/>
      <c r="I30" s="279"/>
      <c r="J30" s="279"/>
      <c r="K30" s="279"/>
      <c r="L30" s="279"/>
      <c r="M30" s="279"/>
      <c r="N30" s="279"/>
      <c r="O30" s="279"/>
      <c r="P30" s="279"/>
      <c r="Q30" s="279">
        <v>1135.68</v>
      </c>
      <c r="R30" s="89"/>
      <c r="S30" s="89"/>
      <c r="T30" s="89"/>
      <c r="U30" s="89"/>
    </row>
    <row r="31" spans="1:21" ht="15.75">
      <c r="A31" s="276"/>
      <c r="B31" s="280">
        <v>43143</v>
      </c>
      <c r="C31" s="89">
        <v>7.28</v>
      </c>
      <c r="D31" s="279">
        <v>25</v>
      </c>
      <c r="E31" s="279">
        <f t="shared" si="1"/>
        <v>182</v>
      </c>
      <c r="F31" s="279"/>
      <c r="G31" s="279"/>
      <c r="H31" s="279"/>
      <c r="I31" s="279"/>
      <c r="J31" s="279"/>
      <c r="K31" s="279"/>
      <c r="L31" s="279"/>
      <c r="M31" s="279"/>
      <c r="N31" s="279"/>
      <c r="O31" s="279"/>
      <c r="P31" s="279">
        <v>182</v>
      </c>
      <c r="Q31" s="279"/>
      <c r="R31" s="89"/>
      <c r="S31" s="89"/>
      <c r="T31" s="89"/>
      <c r="U31" s="89"/>
    </row>
    <row r="32" spans="1:21" ht="15.75">
      <c r="A32" s="276"/>
      <c r="B32" s="276"/>
      <c r="C32" s="89">
        <f>SUM(9.03+8.44)</f>
        <v>17.47</v>
      </c>
      <c r="D32" s="279">
        <v>104</v>
      </c>
      <c r="E32" s="279">
        <f t="shared" si="1"/>
        <v>1816.8799999999999</v>
      </c>
      <c r="F32" s="279"/>
      <c r="G32" s="279"/>
      <c r="H32" s="279"/>
      <c r="I32" s="279"/>
      <c r="J32" s="279"/>
      <c r="K32" s="279"/>
      <c r="L32" s="279"/>
      <c r="M32" s="279"/>
      <c r="N32" s="279"/>
      <c r="O32" s="279"/>
      <c r="P32" s="279"/>
      <c r="Q32" s="279">
        <v>1816.88</v>
      </c>
      <c r="R32" s="89"/>
      <c r="S32" s="89"/>
      <c r="T32" s="89"/>
      <c r="U32" s="89"/>
    </row>
    <row r="33" spans="1:21" ht="15.75">
      <c r="A33" s="276"/>
      <c r="B33" s="280">
        <v>43157</v>
      </c>
      <c r="C33" s="89">
        <f>SUM(7.41+6.16+2.08)</f>
        <v>15.65</v>
      </c>
      <c r="D33" s="279">
        <v>104</v>
      </c>
      <c r="E33" s="279">
        <f t="shared" si="1"/>
        <v>1627.6000000000001</v>
      </c>
      <c r="F33" s="279"/>
      <c r="G33" s="279"/>
      <c r="H33" s="279"/>
      <c r="I33" s="279"/>
      <c r="J33" s="279"/>
      <c r="K33" s="279"/>
      <c r="L33" s="279"/>
      <c r="M33" s="279"/>
      <c r="N33" s="279"/>
      <c r="O33" s="279"/>
      <c r="P33" s="279"/>
      <c r="Q33" s="279">
        <v>1627.6</v>
      </c>
      <c r="R33" s="89"/>
      <c r="S33" s="89"/>
      <c r="T33" s="89"/>
      <c r="U33" s="89"/>
    </row>
    <row r="34" spans="1:21" ht="15.75">
      <c r="A34" s="276"/>
      <c r="B34" s="280">
        <v>43185</v>
      </c>
      <c r="C34" s="89">
        <v>1.37</v>
      </c>
      <c r="D34" s="279">
        <v>98</v>
      </c>
      <c r="E34" s="279">
        <f t="shared" si="1"/>
        <v>134.26000000000002</v>
      </c>
      <c r="F34" s="279"/>
      <c r="G34" s="279"/>
      <c r="H34" s="279"/>
      <c r="I34" s="279"/>
      <c r="J34" s="279"/>
      <c r="K34" s="279"/>
      <c r="L34" s="279"/>
      <c r="M34" s="279"/>
      <c r="N34" s="279"/>
      <c r="O34" s="279"/>
      <c r="P34" s="279"/>
      <c r="Q34" s="279">
        <v>134.26</v>
      </c>
      <c r="R34" s="89"/>
      <c r="S34" s="89"/>
      <c r="T34" s="89"/>
      <c r="U34" s="89"/>
    </row>
    <row r="35" spans="1:21" ht="15.75">
      <c r="A35" s="276"/>
      <c r="B35" s="280">
        <v>43227</v>
      </c>
      <c r="C35" s="89">
        <v>7.9</v>
      </c>
      <c r="D35" s="279">
        <v>45</v>
      </c>
      <c r="E35" s="279">
        <f t="shared" si="1"/>
        <v>355.5</v>
      </c>
      <c r="F35" s="279"/>
      <c r="G35" s="279"/>
      <c r="H35" s="279"/>
      <c r="I35" s="279"/>
      <c r="J35" s="279"/>
      <c r="K35" s="279"/>
      <c r="L35" s="279"/>
      <c r="M35" s="279"/>
      <c r="N35" s="279"/>
      <c r="O35" s="279">
        <v>355.5</v>
      </c>
      <c r="P35" s="279"/>
      <c r="Q35" s="279"/>
      <c r="R35" s="89"/>
      <c r="S35" s="89"/>
      <c r="T35" s="89"/>
      <c r="U35" s="89"/>
    </row>
    <row r="36" spans="1:21" ht="15.75">
      <c r="A36" s="276"/>
      <c r="B36" s="280">
        <v>43269</v>
      </c>
      <c r="C36" s="89">
        <v>1.98</v>
      </c>
      <c r="D36" s="279">
        <v>98</v>
      </c>
      <c r="E36" s="279">
        <f>SUM(C36*D36)</f>
        <v>194.04</v>
      </c>
      <c r="F36" s="279"/>
      <c r="G36" s="279"/>
      <c r="H36" s="279"/>
      <c r="I36" s="279"/>
      <c r="J36" s="279"/>
      <c r="K36" s="279"/>
      <c r="L36" s="279"/>
      <c r="M36" s="279"/>
      <c r="N36" s="279"/>
      <c r="O36" s="279"/>
      <c r="P36" s="279"/>
      <c r="Q36" s="279">
        <v>194.04</v>
      </c>
      <c r="R36" s="89"/>
      <c r="S36" s="89"/>
      <c r="T36" s="89"/>
      <c r="U36" s="89"/>
    </row>
    <row r="37" spans="1:21" ht="15.75">
      <c r="A37" s="276"/>
      <c r="B37" s="280">
        <v>43276</v>
      </c>
      <c r="C37" s="89">
        <v>6.8</v>
      </c>
      <c r="D37" s="279">
        <v>45</v>
      </c>
      <c r="E37" s="279">
        <f>SUM(C37*D37)</f>
        <v>306</v>
      </c>
      <c r="F37" s="279"/>
      <c r="G37" s="279"/>
      <c r="H37" s="279"/>
      <c r="I37" s="279"/>
      <c r="J37" s="279"/>
      <c r="K37" s="279"/>
      <c r="L37" s="279"/>
      <c r="M37" s="279"/>
      <c r="N37" s="279"/>
      <c r="O37" s="279">
        <v>306</v>
      </c>
      <c r="P37" s="279"/>
      <c r="Q37" s="279"/>
      <c r="R37" s="89"/>
      <c r="S37" s="89"/>
      <c r="T37" s="89"/>
      <c r="U37" s="89"/>
    </row>
    <row r="38" spans="1:21" ht="15.75">
      <c r="A38" s="276"/>
      <c r="B38" s="276"/>
      <c r="C38" s="89">
        <v>13.82</v>
      </c>
      <c r="D38" s="279">
        <v>25</v>
      </c>
      <c r="E38" s="279">
        <v>345.5</v>
      </c>
      <c r="F38" s="279"/>
      <c r="G38" s="279"/>
      <c r="H38" s="279"/>
      <c r="I38" s="279"/>
      <c r="J38" s="279"/>
      <c r="K38" s="279"/>
      <c r="L38" s="279"/>
      <c r="M38" s="279"/>
      <c r="N38" s="279"/>
      <c r="O38" s="279"/>
      <c r="P38" s="279">
        <v>345.5</v>
      </c>
      <c r="Q38" s="279"/>
      <c r="R38" s="89"/>
      <c r="S38" s="89"/>
      <c r="T38" s="89"/>
      <c r="U38" s="89"/>
    </row>
    <row r="39" spans="1:21" ht="15.75">
      <c r="A39" s="276"/>
      <c r="B39" s="280">
        <v>43283</v>
      </c>
      <c r="C39" s="89">
        <v>2.52</v>
      </c>
      <c r="D39" s="279">
        <v>45</v>
      </c>
      <c r="E39" s="279">
        <v>113.4</v>
      </c>
      <c r="F39" s="279"/>
      <c r="G39" s="279"/>
      <c r="H39" s="279"/>
      <c r="I39" s="279"/>
      <c r="J39" s="279"/>
      <c r="K39" s="279"/>
      <c r="L39" s="279"/>
      <c r="M39" s="279"/>
      <c r="N39" s="279"/>
      <c r="O39" s="279">
        <v>113.4</v>
      </c>
      <c r="P39" s="279"/>
      <c r="Q39" s="279"/>
      <c r="R39" s="89"/>
      <c r="S39" s="89"/>
      <c r="T39" s="89"/>
      <c r="U39" s="89"/>
    </row>
    <row r="40" spans="1:21" ht="15.75">
      <c r="A40" s="276"/>
      <c r="B40" s="280">
        <v>43297</v>
      </c>
      <c r="C40" s="89">
        <v>7.65</v>
      </c>
      <c r="D40" s="279">
        <v>25</v>
      </c>
      <c r="E40" s="279">
        <v>191.25</v>
      </c>
      <c r="F40" s="279"/>
      <c r="G40" s="279"/>
      <c r="H40" s="279"/>
      <c r="I40" s="279"/>
      <c r="J40" s="279"/>
      <c r="K40" s="279"/>
      <c r="L40" s="279"/>
      <c r="M40" s="279"/>
      <c r="N40" s="279"/>
      <c r="O40" s="279"/>
      <c r="P40" s="279">
        <v>191.25</v>
      </c>
      <c r="Q40" s="279"/>
      <c r="R40" s="89"/>
      <c r="S40" s="89"/>
      <c r="T40" s="89"/>
      <c r="U40" s="89"/>
    </row>
    <row r="41" spans="1:21" ht="15.75">
      <c r="A41" s="276"/>
      <c r="B41" s="280">
        <v>43311</v>
      </c>
      <c r="C41" s="89">
        <v>9.57</v>
      </c>
      <c r="D41" s="279">
        <v>45</v>
      </c>
      <c r="E41" s="279">
        <v>430.65</v>
      </c>
      <c r="F41" s="279"/>
      <c r="G41" s="279"/>
      <c r="H41" s="279"/>
      <c r="I41" s="279"/>
      <c r="J41" s="279"/>
      <c r="K41" s="279"/>
      <c r="L41" s="279"/>
      <c r="M41" s="279"/>
      <c r="N41" s="279"/>
      <c r="O41" s="279">
        <v>430.65</v>
      </c>
      <c r="P41" s="279"/>
      <c r="Q41" s="279"/>
      <c r="R41" s="89"/>
      <c r="S41" s="89"/>
      <c r="T41" s="89"/>
      <c r="U41" s="89"/>
    </row>
    <row r="42" spans="1:21" ht="15.75">
      <c r="A42" s="276"/>
      <c r="B42" s="280">
        <v>43318</v>
      </c>
      <c r="C42" s="89">
        <v>10.55</v>
      </c>
      <c r="D42" s="279">
        <v>25</v>
      </c>
      <c r="E42" s="279">
        <v>263.75</v>
      </c>
      <c r="F42" s="279"/>
      <c r="G42" s="279"/>
      <c r="H42" s="279"/>
      <c r="I42" s="279"/>
      <c r="J42" s="279"/>
      <c r="K42" s="279"/>
      <c r="L42" s="279"/>
      <c r="M42" s="279"/>
      <c r="N42" s="279"/>
      <c r="O42" s="279"/>
      <c r="P42" s="279">
        <v>263.75</v>
      </c>
      <c r="Q42" s="279"/>
      <c r="R42" s="89"/>
      <c r="S42" s="89"/>
      <c r="T42" s="89"/>
      <c r="U42" s="89"/>
    </row>
    <row r="43" spans="1:21" ht="15.75">
      <c r="A43" s="276"/>
      <c r="B43" s="280">
        <v>43347</v>
      </c>
      <c r="C43" s="89">
        <v>9.61</v>
      </c>
      <c r="D43" s="279">
        <v>45</v>
      </c>
      <c r="E43" s="279">
        <v>432.45</v>
      </c>
      <c r="F43" s="279"/>
      <c r="G43" s="279"/>
      <c r="H43" s="279"/>
      <c r="I43" s="279"/>
      <c r="J43" s="279"/>
      <c r="K43" s="279"/>
      <c r="L43" s="279"/>
      <c r="M43" s="279"/>
      <c r="N43" s="279"/>
      <c r="O43" s="279">
        <v>432.45</v>
      </c>
      <c r="P43" s="279"/>
      <c r="Q43" s="279"/>
      <c r="R43" s="89"/>
      <c r="S43" s="89"/>
      <c r="T43" s="89"/>
      <c r="U43" s="89"/>
    </row>
    <row r="44" spans="1:21" ht="15.75">
      <c r="A44" s="276"/>
      <c r="B44" s="276"/>
      <c r="C44" s="89">
        <v>6.95</v>
      </c>
      <c r="D44" s="279">
        <v>25</v>
      </c>
      <c r="E44" s="279">
        <v>173</v>
      </c>
      <c r="F44" s="279"/>
      <c r="G44" s="279"/>
      <c r="H44" s="279"/>
      <c r="I44" s="279"/>
      <c r="J44" s="279"/>
      <c r="K44" s="279"/>
      <c r="L44" s="279"/>
      <c r="M44" s="279"/>
      <c r="N44" s="279"/>
      <c r="O44" s="279"/>
      <c r="P44" s="279">
        <v>173</v>
      </c>
      <c r="Q44" s="279"/>
      <c r="R44" s="89"/>
      <c r="S44" s="89"/>
      <c r="T44" s="89"/>
      <c r="U44" s="89"/>
    </row>
    <row r="45" spans="1:21" ht="15.75">
      <c r="A45" s="276"/>
      <c r="B45" s="280">
        <v>43353</v>
      </c>
      <c r="C45" s="89">
        <v>5.92</v>
      </c>
      <c r="D45" s="279">
        <v>45</v>
      </c>
      <c r="E45" s="279">
        <v>266.39999999999998</v>
      </c>
      <c r="F45" s="279"/>
      <c r="G45" s="279"/>
      <c r="H45" s="279"/>
      <c r="I45" s="279"/>
      <c r="J45" s="279"/>
      <c r="K45" s="279"/>
      <c r="L45" s="279"/>
      <c r="M45" s="279"/>
      <c r="N45" s="279"/>
      <c r="O45" s="279">
        <v>266.39999999999998</v>
      </c>
      <c r="P45" s="279"/>
      <c r="Q45" s="279"/>
      <c r="R45" s="89"/>
      <c r="S45" s="89"/>
      <c r="T45" s="89"/>
      <c r="U45" s="89"/>
    </row>
    <row r="46" spans="1:21" ht="15.75">
      <c r="A46" s="276"/>
      <c r="B46" s="280">
        <v>43360</v>
      </c>
      <c r="C46" s="89">
        <v>12</v>
      </c>
      <c r="D46" s="279">
        <v>15</v>
      </c>
      <c r="E46" s="279">
        <v>180</v>
      </c>
      <c r="F46" s="279"/>
      <c r="G46" s="279"/>
      <c r="H46" s="279"/>
      <c r="I46" s="279"/>
      <c r="J46" s="279"/>
      <c r="K46" s="279">
        <v>180</v>
      </c>
      <c r="L46" s="279"/>
      <c r="M46" s="279"/>
      <c r="N46" s="279"/>
      <c r="O46" s="279"/>
      <c r="P46" s="279"/>
      <c r="Q46" s="279"/>
      <c r="R46" s="89"/>
      <c r="S46" s="89"/>
      <c r="T46" s="89"/>
      <c r="U46" s="89"/>
    </row>
    <row r="47" spans="1:21" ht="15.75">
      <c r="A47" s="276"/>
      <c r="B47" s="280">
        <v>43367</v>
      </c>
      <c r="C47" s="89">
        <v>8.4700000000000006</v>
      </c>
      <c r="D47" s="279">
        <v>25</v>
      </c>
      <c r="E47" s="279">
        <v>211.75</v>
      </c>
      <c r="F47" s="279"/>
      <c r="G47" s="279"/>
      <c r="H47" s="279"/>
      <c r="I47" s="279"/>
      <c r="J47" s="279"/>
      <c r="K47" s="279"/>
      <c r="L47" s="279"/>
      <c r="M47" s="279"/>
      <c r="N47" s="279"/>
      <c r="O47" s="279"/>
      <c r="P47" s="279">
        <v>211.75</v>
      </c>
      <c r="Q47" s="279"/>
      <c r="R47" s="89"/>
      <c r="S47" s="89"/>
      <c r="T47" s="89"/>
      <c r="U47" s="89"/>
    </row>
    <row r="48" spans="1:21" ht="15.75">
      <c r="A48" s="276"/>
      <c r="B48" s="280">
        <v>43381</v>
      </c>
      <c r="C48" s="89">
        <v>30.36</v>
      </c>
      <c r="D48" s="279">
        <v>25</v>
      </c>
      <c r="E48" s="279">
        <v>759</v>
      </c>
      <c r="F48" s="279"/>
      <c r="G48" s="279"/>
      <c r="H48" s="279"/>
      <c r="I48" s="279"/>
      <c r="J48" s="279"/>
      <c r="K48" s="279"/>
      <c r="L48" s="279"/>
      <c r="M48" s="279"/>
      <c r="N48" s="279"/>
      <c r="O48" s="279"/>
      <c r="P48" s="279">
        <v>759</v>
      </c>
      <c r="Q48" s="279"/>
      <c r="R48" s="89"/>
      <c r="S48" s="89"/>
      <c r="T48" s="89"/>
      <c r="U48" s="89"/>
    </row>
    <row r="49" spans="1:21" ht="15.75">
      <c r="A49" s="276"/>
      <c r="B49" s="280">
        <v>43388</v>
      </c>
      <c r="C49" s="89">
        <v>12.97</v>
      </c>
      <c r="D49" s="279">
        <v>25</v>
      </c>
      <c r="E49" s="279">
        <v>324.25</v>
      </c>
      <c r="F49" s="279"/>
      <c r="G49" s="279"/>
      <c r="H49" s="279"/>
      <c r="I49" s="279"/>
      <c r="J49" s="279"/>
      <c r="K49" s="279"/>
      <c r="L49" s="279"/>
      <c r="M49" s="279"/>
      <c r="N49" s="279"/>
      <c r="O49" s="279"/>
      <c r="P49" s="279">
        <v>324.25</v>
      </c>
      <c r="Q49" s="279"/>
      <c r="R49" s="89"/>
      <c r="S49" s="89"/>
      <c r="T49" s="89"/>
      <c r="U49" s="89"/>
    </row>
    <row r="50" spans="1:21" ht="15.75">
      <c r="A50" s="276"/>
      <c r="B50" s="280">
        <v>43395</v>
      </c>
      <c r="C50" s="89">
        <v>23.44</v>
      </c>
      <c r="D50" s="279">
        <v>45</v>
      </c>
      <c r="E50" s="279">
        <v>1054.8</v>
      </c>
      <c r="F50" s="279"/>
      <c r="G50" s="279"/>
      <c r="H50" s="279"/>
      <c r="I50" s="279"/>
      <c r="J50" s="279"/>
      <c r="K50" s="279"/>
      <c r="L50" s="279"/>
      <c r="M50" s="279"/>
      <c r="N50" s="279"/>
      <c r="O50" s="279">
        <v>1054.8</v>
      </c>
      <c r="P50" s="279"/>
      <c r="Q50" s="279"/>
      <c r="R50" s="89"/>
      <c r="S50" s="89"/>
      <c r="T50" s="89"/>
      <c r="U50" s="89"/>
    </row>
    <row r="51" spans="1:21" ht="15.75">
      <c r="A51" s="276"/>
      <c r="B51" s="280">
        <v>43402</v>
      </c>
      <c r="C51" s="89">
        <v>10.199999999999999</v>
      </c>
      <c r="D51" s="279">
        <v>45</v>
      </c>
      <c r="E51" s="279">
        <v>459</v>
      </c>
      <c r="F51" s="279"/>
      <c r="G51" s="279"/>
      <c r="H51" s="279"/>
      <c r="I51" s="279"/>
      <c r="J51" s="279"/>
      <c r="K51" s="279"/>
      <c r="L51" s="279"/>
      <c r="M51" s="279"/>
      <c r="N51" s="279"/>
      <c r="O51" s="279">
        <v>459</v>
      </c>
      <c r="P51" s="279"/>
      <c r="Q51" s="279"/>
      <c r="R51" s="89"/>
      <c r="S51" s="89"/>
      <c r="T51" s="89"/>
      <c r="U51" s="89"/>
    </row>
    <row r="52" spans="1:21" ht="15.75">
      <c r="A52" s="276"/>
      <c r="B52" s="280">
        <v>43409</v>
      </c>
      <c r="C52" s="89">
        <v>6.1</v>
      </c>
      <c r="D52" s="279">
        <v>25</v>
      </c>
      <c r="E52" s="279">
        <v>152.5</v>
      </c>
      <c r="F52" s="279"/>
      <c r="G52" s="279"/>
      <c r="H52" s="279"/>
      <c r="I52" s="279"/>
      <c r="J52" s="279"/>
      <c r="K52" s="279"/>
      <c r="L52" s="279"/>
      <c r="M52" s="279"/>
      <c r="N52" s="279"/>
      <c r="O52" s="279"/>
      <c r="P52" s="279">
        <v>152.5</v>
      </c>
      <c r="Q52" s="279"/>
      <c r="R52" s="89"/>
      <c r="S52" s="89"/>
      <c r="T52" s="89"/>
      <c r="U52" s="89"/>
    </row>
    <row r="53" spans="1:21" ht="15.75">
      <c r="A53" s="265"/>
      <c r="B53" s="265"/>
      <c r="C53" s="266"/>
      <c r="D53" s="267"/>
      <c r="E53" s="303">
        <f>SUM(E19:E52)</f>
        <v>18853.52</v>
      </c>
      <c r="F53" s="303"/>
      <c r="G53" s="303"/>
      <c r="H53" s="303"/>
      <c r="I53" s="303"/>
      <c r="J53" s="303"/>
      <c r="K53" s="303">
        <f>SUM(K19:K52)</f>
        <v>180</v>
      </c>
      <c r="L53" s="303"/>
      <c r="M53" s="303"/>
      <c r="N53" s="303"/>
      <c r="O53" s="303">
        <f>SUM(O19:O52)</f>
        <v>3821.8500000000004</v>
      </c>
      <c r="P53" s="303">
        <f>SUM(P19:P52)</f>
        <v>2958.25</v>
      </c>
      <c r="Q53" s="303">
        <f>SUM(Q19:Q52)</f>
        <v>11893.420000000002</v>
      </c>
      <c r="R53" s="304"/>
      <c r="S53" s="304"/>
      <c r="T53" s="266"/>
      <c r="U53" s="266"/>
    </row>
    <row r="54" spans="1:21" ht="15.75">
      <c r="A54" s="276" t="s">
        <v>999</v>
      </c>
      <c r="B54" s="276" t="s">
        <v>1001</v>
      </c>
      <c r="C54" s="89">
        <v>32.19</v>
      </c>
      <c r="D54" s="279" t="s">
        <v>1000</v>
      </c>
      <c r="E54" s="279">
        <v>2175</v>
      </c>
      <c r="F54" s="279"/>
      <c r="G54" s="89"/>
      <c r="H54" s="89"/>
      <c r="I54" s="89"/>
      <c r="J54" s="279">
        <v>2175</v>
      </c>
      <c r="K54" s="279"/>
      <c r="L54" s="279"/>
      <c r="M54" s="89"/>
      <c r="N54" s="279"/>
      <c r="O54" s="279"/>
      <c r="P54" s="279"/>
      <c r="Q54" s="279"/>
      <c r="R54" s="89"/>
      <c r="S54" s="89"/>
      <c r="T54" s="89"/>
      <c r="U54" s="89"/>
    </row>
    <row r="55" spans="1:21" ht="15.75">
      <c r="A55" s="276"/>
      <c r="B55" s="280">
        <v>43131</v>
      </c>
      <c r="C55" s="89">
        <v>43.78</v>
      </c>
      <c r="D55" s="279" t="s">
        <v>1000</v>
      </c>
      <c r="E55" s="279">
        <v>2900</v>
      </c>
      <c r="F55" s="279"/>
      <c r="G55" s="89"/>
      <c r="H55" s="89"/>
      <c r="I55" s="89"/>
      <c r="J55" s="279">
        <v>2900</v>
      </c>
      <c r="K55" s="279"/>
      <c r="L55" s="279"/>
      <c r="M55" s="89"/>
      <c r="N55" s="279"/>
      <c r="O55" s="279"/>
      <c r="P55" s="279"/>
      <c r="Q55" s="279"/>
      <c r="R55" s="89"/>
      <c r="S55" s="89"/>
      <c r="T55" s="89"/>
      <c r="U55" s="89"/>
    </row>
    <row r="56" spans="1:21" ht="15.75">
      <c r="A56" s="276"/>
      <c r="B56" s="280">
        <v>43131</v>
      </c>
      <c r="C56" s="89">
        <v>1.92</v>
      </c>
      <c r="D56" s="279"/>
      <c r="E56" s="279">
        <v>1251.01</v>
      </c>
      <c r="F56" s="279"/>
      <c r="G56" s="89"/>
      <c r="H56" s="89"/>
      <c r="I56" s="89"/>
      <c r="J56" s="279"/>
      <c r="K56" s="279"/>
      <c r="L56" s="279"/>
      <c r="M56" s="89"/>
      <c r="N56" s="279"/>
      <c r="O56" s="279"/>
      <c r="P56" s="279"/>
      <c r="Q56" s="279"/>
      <c r="R56" s="279">
        <v>1251.01</v>
      </c>
      <c r="S56" s="89"/>
      <c r="T56" s="89"/>
      <c r="U56" s="89"/>
    </row>
    <row r="57" spans="1:21" ht="15.75">
      <c r="A57" s="276"/>
      <c r="B57" s="280">
        <v>43146</v>
      </c>
      <c r="C57" s="89">
        <v>28.77</v>
      </c>
      <c r="D57" s="279" t="s">
        <v>1000</v>
      </c>
      <c r="E57" s="279">
        <v>2175</v>
      </c>
      <c r="F57" s="279"/>
      <c r="G57" s="89"/>
      <c r="H57" s="89"/>
      <c r="I57" s="89"/>
      <c r="J57" s="279">
        <v>2175</v>
      </c>
      <c r="K57" s="279"/>
      <c r="L57" s="279"/>
      <c r="M57" s="89"/>
      <c r="N57" s="279"/>
      <c r="O57" s="279"/>
      <c r="P57" s="279"/>
      <c r="Q57" s="279"/>
      <c r="R57" s="89"/>
      <c r="S57" s="89"/>
      <c r="T57" s="89"/>
      <c r="U57" s="89"/>
    </row>
    <row r="58" spans="1:21" ht="15.75">
      <c r="A58" s="276"/>
      <c r="B58" s="280">
        <v>43159</v>
      </c>
      <c r="C58" s="89">
        <v>17.75</v>
      </c>
      <c r="D58" s="279" t="s">
        <v>1000</v>
      </c>
      <c r="E58" s="279">
        <v>1450</v>
      </c>
      <c r="F58" s="279"/>
      <c r="G58" s="89"/>
      <c r="H58" s="89"/>
      <c r="I58" s="89"/>
      <c r="J58" s="279">
        <v>1450</v>
      </c>
      <c r="K58" s="279"/>
      <c r="L58" s="279"/>
      <c r="M58" s="89"/>
      <c r="N58" s="279"/>
      <c r="O58" s="279"/>
      <c r="P58" s="279"/>
      <c r="Q58" s="279"/>
      <c r="R58" s="89"/>
      <c r="S58" s="89"/>
      <c r="T58" s="89"/>
      <c r="U58" s="89"/>
    </row>
    <row r="59" spans="1:21" ht="15.75">
      <c r="A59" s="276"/>
      <c r="B59" s="280">
        <v>43174</v>
      </c>
      <c r="C59" s="89">
        <v>34.590000000000003</v>
      </c>
      <c r="D59" s="279" t="s">
        <v>1000</v>
      </c>
      <c r="E59" s="279">
        <v>2900</v>
      </c>
      <c r="F59" s="279"/>
      <c r="G59" s="89"/>
      <c r="H59" s="89"/>
      <c r="I59" s="89"/>
      <c r="J59" s="279">
        <v>2900</v>
      </c>
      <c r="K59" s="279"/>
      <c r="L59" s="279"/>
      <c r="M59" s="89"/>
      <c r="N59" s="279"/>
      <c r="O59" s="279"/>
      <c r="P59" s="279"/>
      <c r="Q59" s="279"/>
      <c r="R59" s="89"/>
      <c r="S59" s="89"/>
      <c r="T59" s="89"/>
      <c r="U59" s="89"/>
    </row>
    <row r="60" spans="1:21" ht="15.75">
      <c r="A60" s="276"/>
      <c r="B60" s="276"/>
      <c r="C60" s="89">
        <v>0.61</v>
      </c>
      <c r="D60" s="279">
        <v>56.64</v>
      </c>
      <c r="E60" s="279">
        <v>34.56</v>
      </c>
      <c r="F60" s="279"/>
      <c r="G60" s="89"/>
      <c r="H60" s="89"/>
      <c r="I60" s="89"/>
      <c r="J60" s="279">
        <v>34.56</v>
      </c>
      <c r="K60" s="279"/>
      <c r="L60" s="279"/>
      <c r="M60" s="89"/>
      <c r="N60" s="279"/>
      <c r="O60" s="279"/>
      <c r="P60" s="279"/>
      <c r="Q60" s="279"/>
      <c r="R60" s="89"/>
      <c r="S60" s="89"/>
      <c r="T60" s="89"/>
      <c r="U60" s="89"/>
    </row>
    <row r="61" spans="1:21" ht="15.75">
      <c r="A61" s="276"/>
      <c r="B61" s="280">
        <v>43190</v>
      </c>
      <c r="C61" s="89">
        <v>29.2</v>
      </c>
      <c r="D61" s="279" t="s">
        <v>1000</v>
      </c>
      <c r="E61" s="279">
        <v>2900</v>
      </c>
      <c r="F61" s="279"/>
      <c r="G61" s="89"/>
      <c r="H61" s="89"/>
      <c r="I61" s="89"/>
      <c r="J61" s="279">
        <v>2900</v>
      </c>
      <c r="K61" s="279"/>
      <c r="L61" s="279"/>
      <c r="M61" s="89"/>
      <c r="N61" s="279"/>
      <c r="O61" s="279"/>
      <c r="P61" s="279"/>
      <c r="Q61" s="279"/>
      <c r="R61" s="89"/>
      <c r="S61" s="89"/>
      <c r="T61" s="89"/>
      <c r="U61" s="89"/>
    </row>
    <row r="62" spans="1:21" ht="15.75">
      <c r="A62" s="276"/>
      <c r="B62" s="280">
        <v>43220</v>
      </c>
      <c r="C62" s="89">
        <v>59.39</v>
      </c>
      <c r="D62" s="279" t="s">
        <v>1000</v>
      </c>
      <c r="E62" s="279">
        <v>4350</v>
      </c>
      <c r="F62" s="279"/>
      <c r="G62" s="89"/>
      <c r="H62" s="89"/>
      <c r="I62" s="89"/>
      <c r="J62" s="279">
        <v>4350</v>
      </c>
      <c r="K62" s="279"/>
      <c r="L62" s="279"/>
      <c r="M62" s="89"/>
      <c r="N62" s="279"/>
      <c r="O62" s="279"/>
      <c r="P62" s="279"/>
      <c r="Q62" s="279"/>
      <c r="R62" s="89"/>
      <c r="S62" s="89"/>
      <c r="T62" s="89"/>
      <c r="U62" s="89"/>
    </row>
    <row r="63" spans="1:21" ht="15.75">
      <c r="A63" s="276"/>
      <c r="B63" s="280">
        <v>43235</v>
      </c>
      <c r="C63" s="89">
        <v>24.76</v>
      </c>
      <c r="D63" s="279" t="s">
        <v>1000</v>
      </c>
      <c r="E63" s="279">
        <v>2175</v>
      </c>
      <c r="F63" s="279"/>
      <c r="G63" s="89"/>
      <c r="H63" s="89"/>
      <c r="I63" s="89"/>
      <c r="J63" s="279">
        <v>2175</v>
      </c>
      <c r="K63" s="279"/>
      <c r="L63" s="279"/>
      <c r="M63" s="89"/>
      <c r="N63" s="279"/>
      <c r="O63" s="279"/>
      <c r="P63" s="279"/>
      <c r="Q63" s="279"/>
      <c r="R63" s="89"/>
      <c r="S63" s="89"/>
      <c r="T63" s="89"/>
      <c r="U63" s="89"/>
    </row>
    <row r="64" spans="1:21" ht="15.75">
      <c r="A64" s="276"/>
      <c r="B64" s="280">
        <v>43251</v>
      </c>
      <c r="C64" s="89">
        <v>16.760000000000002</v>
      </c>
      <c r="D64" s="279" t="s">
        <v>1000</v>
      </c>
      <c r="E64" s="279">
        <v>1450</v>
      </c>
      <c r="F64" s="279"/>
      <c r="G64" s="89"/>
      <c r="H64" s="89"/>
      <c r="I64" s="89"/>
      <c r="J64" s="279">
        <v>1450</v>
      </c>
      <c r="K64" s="279"/>
      <c r="L64" s="279"/>
      <c r="M64" s="89"/>
      <c r="N64" s="279"/>
      <c r="O64" s="279"/>
      <c r="P64" s="279"/>
      <c r="Q64" s="279"/>
      <c r="R64" s="89"/>
      <c r="S64" s="89"/>
      <c r="T64" s="89"/>
      <c r="U64" s="89"/>
    </row>
    <row r="65" spans="1:21" ht="15.75">
      <c r="A65" s="276"/>
      <c r="B65" s="280">
        <v>43251</v>
      </c>
      <c r="C65" s="89">
        <v>0.35</v>
      </c>
      <c r="D65" s="279"/>
      <c r="E65" s="279">
        <v>1251.01</v>
      </c>
      <c r="F65" s="279"/>
      <c r="G65" s="89"/>
      <c r="H65" s="89"/>
      <c r="I65" s="89"/>
      <c r="J65" s="279"/>
      <c r="K65" s="279"/>
      <c r="L65" s="279"/>
      <c r="M65" s="89"/>
      <c r="N65" s="279"/>
      <c r="O65" s="279"/>
      <c r="P65" s="279"/>
      <c r="Q65" s="279"/>
      <c r="R65" s="279">
        <v>1251.01</v>
      </c>
      <c r="S65" s="89"/>
      <c r="T65" s="89"/>
      <c r="U65" s="89"/>
    </row>
    <row r="66" spans="1:21" ht="15.75">
      <c r="A66" s="276"/>
      <c r="B66" s="280">
        <v>43266</v>
      </c>
      <c r="C66" s="89">
        <v>14.01</v>
      </c>
      <c r="D66" s="279" t="s">
        <v>1000</v>
      </c>
      <c r="E66" s="279">
        <v>1450</v>
      </c>
      <c r="F66" s="279"/>
      <c r="G66" s="89"/>
      <c r="H66" s="89"/>
      <c r="I66" s="89"/>
      <c r="J66" s="279">
        <v>1450</v>
      </c>
      <c r="K66" s="279"/>
      <c r="L66" s="279"/>
      <c r="M66" s="89"/>
      <c r="N66" s="279"/>
      <c r="O66" s="279"/>
      <c r="P66" s="279"/>
      <c r="Q66" s="279"/>
      <c r="R66" s="89"/>
      <c r="S66" s="89"/>
      <c r="T66" s="89"/>
      <c r="U66" s="89"/>
    </row>
    <row r="67" spans="1:21" ht="15.75">
      <c r="A67" s="276"/>
      <c r="B67" s="280">
        <v>43281</v>
      </c>
      <c r="C67" s="89">
        <v>71</v>
      </c>
      <c r="D67" s="279" t="s">
        <v>1002</v>
      </c>
      <c r="E67" s="279">
        <v>5278</v>
      </c>
      <c r="F67" s="279"/>
      <c r="G67" s="89"/>
      <c r="H67" s="89"/>
      <c r="I67" s="89"/>
      <c r="J67" s="279">
        <v>5278</v>
      </c>
      <c r="K67" s="279"/>
      <c r="L67" s="279"/>
      <c r="M67" s="89"/>
      <c r="N67" s="279"/>
      <c r="O67" s="279"/>
      <c r="P67" s="279"/>
      <c r="Q67" s="279"/>
      <c r="R67" s="89"/>
      <c r="S67" s="89"/>
      <c r="T67" s="89"/>
      <c r="U67" s="89"/>
    </row>
    <row r="68" spans="1:21" ht="15.75">
      <c r="A68" s="276"/>
      <c r="B68" s="280">
        <v>43296</v>
      </c>
      <c r="C68" s="89">
        <v>21.74</v>
      </c>
      <c r="D68" s="279">
        <f>E68/C68</f>
        <v>71.664673413063483</v>
      </c>
      <c r="E68" s="279">
        <v>1557.99</v>
      </c>
      <c r="F68" s="279"/>
      <c r="G68" s="89"/>
      <c r="H68" s="89"/>
      <c r="I68" s="89"/>
      <c r="J68" s="279">
        <v>1557.99</v>
      </c>
      <c r="K68" s="279"/>
      <c r="L68" s="279"/>
      <c r="M68" s="89"/>
      <c r="N68" s="279"/>
      <c r="O68" s="279"/>
      <c r="P68" s="279"/>
      <c r="Q68" s="279"/>
      <c r="R68" s="89"/>
      <c r="S68" s="89"/>
      <c r="T68" s="89"/>
      <c r="U68" s="89"/>
    </row>
    <row r="69" spans="1:21" ht="15.75">
      <c r="A69" s="276"/>
      <c r="B69" s="280">
        <v>43312</v>
      </c>
      <c r="C69" s="89">
        <v>38.06</v>
      </c>
      <c r="D69" s="279" t="s">
        <v>1002</v>
      </c>
      <c r="E69" s="279">
        <v>3016</v>
      </c>
      <c r="F69" s="279"/>
      <c r="G69" s="89"/>
      <c r="H69" s="89"/>
      <c r="I69" s="89"/>
      <c r="J69" s="279">
        <v>3016</v>
      </c>
      <c r="K69" s="279"/>
      <c r="L69" s="279"/>
      <c r="M69" s="89"/>
      <c r="N69" s="279"/>
      <c r="O69" s="279"/>
      <c r="P69" s="279"/>
      <c r="Q69" s="279"/>
      <c r="R69" s="89"/>
      <c r="S69" s="89"/>
      <c r="T69" s="89"/>
      <c r="U69" s="89"/>
    </row>
    <row r="70" spans="1:21" ht="15.75">
      <c r="A70" s="276"/>
      <c r="B70" s="280">
        <v>43327</v>
      </c>
      <c r="C70" s="89">
        <v>6.08</v>
      </c>
      <c r="D70" s="279" t="s">
        <v>1002</v>
      </c>
      <c r="E70" s="279">
        <v>754</v>
      </c>
      <c r="F70" s="279"/>
      <c r="G70" s="89"/>
      <c r="H70" s="89"/>
      <c r="I70" s="89"/>
      <c r="J70" s="279">
        <v>754</v>
      </c>
      <c r="K70" s="279"/>
      <c r="L70" s="279"/>
      <c r="M70" s="89"/>
      <c r="N70" s="279"/>
      <c r="O70" s="279"/>
      <c r="P70" s="279"/>
      <c r="Q70" s="279"/>
      <c r="R70" s="89"/>
      <c r="S70" s="89"/>
      <c r="T70" s="89"/>
      <c r="U70" s="89"/>
    </row>
    <row r="71" spans="1:21" ht="15.75">
      <c r="A71" s="276"/>
      <c r="B71" s="280">
        <v>43343</v>
      </c>
      <c r="C71" s="89">
        <v>28.98</v>
      </c>
      <c r="D71" s="279" t="s">
        <v>1002</v>
      </c>
      <c r="E71" s="279">
        <v>3016</v>
      </c>
      <c r="F71" s="279"/>
      <c r="G71" s="89"/>
      <c r="H71" s="89"/>
      <c r="I71" s="89"/>
      <c r="J71" s="279">
        <v>3016</v>
      </c>
      <c r="K71" s="279"/>
      <c r="L71" s="279"/>
      <c r="M71" s="89"/>
      <c r="N71" s="279"/>
      <c r="O71" s="279"/>
      <c r="P71" s="279"/>
      <c r="Q71" s="279"/>
      <c r="R71" s="89"/>
      <c r="S71" s="89"/>
      <c r="T71" s="89"/>
      <c r="U71" s="89"/>
    </row>
    <row r="72" spans="1:21" ht="15.75">
      <c r="A72" s="276"/>
      <c r="B72" s="280">
        <v>43358</v>
      </c>
      <c r="C72" s="89">
        <v>7.89</v>
      </c>
      <c r="D72" s="279" t="s">
        <v>1002</v>
      </c>
      <c r="E72" s="279">
        <v>754</v>
      </c>
      <c r="F72" s="279"/>
      <c r="G72" s="89"/>
      <c r="H72" s="89"/>
      <c r="I72" s="89"/>
      <c r="J72" s="279">
        <v>754</v>
      </c>
      <c r="K72" s="279"/>
      <c r="L72" s="279"/>
      <c r="M72" s="89"/>
      <c r="N72" s="279"/>
      <c r="O72" s="279"/>
      <c r="P72" s="279"/>
      <c r="Q72" s="279"/>
      <c r="R72" s="89"/>
      <c r="S72" s="89"/>
      <c r="T72" s="89"/>
      <c r="U72" s="89"/>
    </row>
    <row r="73" spans="1:21" ht="15.75">
      <c r="A73" s="276"/>
      <c r="B73" s="280">
        <v>43373</v>
      </c>
      <c r="C73" s="89">
        <v>44.67</v>
      </c>
      <c r="D73" s="279" t="s">
        <v>1002</v>
      </c>
      <c r="E73" s="279">
        <v>3770</v>
      </c>
      <c r="F73" s="279"/>
      <c r="G73" s="89"/>
      <c r="H73" s="89"/>
      <c r="I73" s="89"/>
      <c r="J73" s="279">
        <v>3770</v>
      </c>
      <c r="K73" s="279"/>
      <c r="L73" s="279"/>
      <c r="M73" s="89"/>
      <c r="N73" s="279"/>
      <c r="O73" s="279"/>
      <c r="P73" s="279"/>
      <c r="Q73" s="279"/>
      <c r="R73" s="89"/>
      <c r="S73" s="89"/>
      <c r="T73" s="89"/>
      <c r="U73" s="89"/>
    </row>
    <row r="74" spans="1:21" ht="15.75">
      <c r="A74" s="276"/>
      <c r="B74" s="280">
        <v>43388</v>
      </c>
      <c r="C74" s="89">
        <v>45.43</v>
      </c>
      <c r="D74" s="279" t="s">
        <v>1002</v>
      </c>
      <c r="E74" s="279">
        <v>3785.23</v>
      </c>
      <c r="F74" s="279"/>
      <c r="G74" s="89"/>
      <c r="H74" s="89"/>
      <c r="I74" s="89"/>
      <c r="J74" s="279">
        <v>3785.23</v>
      </c>
      <c r="K74" s="279"/>
      <c r="L74" s="279"/>
      <c r="M74" s="89"/>
      <c r="N74" s="279"/>
      <c r="O74" s="279"/>
      <c r="P74" s="279"/>
      <c r="Q74" s="279"/>
      <c r="R74" s="89"/>
      <c r="S74" s="89"/>
      <c r="T74" s="89"/>
      <c r="U74" s="89"/>
    </row>
    <row r="75" spans="1:21" ht="15.75">
      <c r="A75" s="276"/>
      <c r="B75" s="280">
        <v>76276</v>
      </c>
      <c r="C75" s="89">
        <v>68.56</v>
      </c>
      <c r="D75" s="279" t="s">
        <v>1002</v>
      </c>
      <c r="E75" s="279">
        <v>5278</v>
      </c>
      <c r="F75" s="279"/>
      <c r="G75" s="89"/>
      <c r="H75" s="89"/>
      <c r="I75" s="89"/>
      <c r="J75" s="279">
        <v>5278</v>
      </c>
      <c r="K75" s="279"/>
      <c r="L75" s="279"/>
      <c r="M75" s="89"/>
      <c r="N75" s="279"/>
      <c r="O75" s="279"/>
      <c r="P75" s="279"/>
      <c r="Q75" s="279"/>
      <c r="R75" s="89"/>
      <c r="S75" s="89"/>
      <c r="T75" s="89"/>
      <c r="U75" s="89"/>
    </row>
    <row r="76" spans="1:21" ht="15.75">
      <c r="A76" s="276"/>
      <c r="B76" s="280">
        <v>43419</v>
      </c>
      <c r="C76" s="89">
        <v>44.62</v>
      </c>
      <c r="D76" s="279" t="s">
        <v>1002</v>
      </c>
      <c r="E76" s="279">
        <v>3770</v>
      </c>
      <c r="F76" s="279"/>
      <c r="G76" s="89"/>
      <c r="H76" s="89"/>
      <c r="I76" s="89"/>
      <c r="J76" s="279">
        <v>3770</v>
      </c>
      <c r="K76" s="279"/>
      <c r="L76" s="279"/>
      <c r="M76" s="89"/>
      <c r="N76" s="279"/>
      <c r="O76" s="279"/>
      <c r="P76" s="279"/>
      <c r="Q76" s="279"/>
      <c r="R76" s="89"/>
      <c r="S76" s="89"/>
      <c r="T76" s="89"/>
      <c r="U76" s="89"/>
    </row>
    <row r="77" spans="1:21" ht="15.75">
      <c r="A77" s="276"/>
      <c r="B77" s="280">
        <v>43434</v>
      </c>
      <c r="C77" s="89">
        <v>18.66</v>
      </c>
      <c r="D77" s="279" t="s">
        <v>1002</v>
      </c>
      <c r="E77" s="279">
        <v>1508</v>
      </c>
      <c r="F77" s="279"/>
      <c r="G77" s="89"/>
      <c r="H77" s="89"/>
      <c r="I77" s="89"/>
      <c r="J77" s="279">
        <v>1508</v>
      </c>
      <c r="K77" s="279"/>
      <c r="L77" s="279"/>
      <c r="M77" s="89"/>
      <c r="N77" s="279"/>
      <c r="O77" s="279"/>
      <c r="P77" s="279"/>
      <c r="Q77" s="279"/>
      <c r="R77" s="89"/>
      <c r="S77" s="89"/>
      <c r="T77" s="89"/>
      <c r="U77" s="89"/>
    </row>
    <row r="78" spans="1:21" ht="15.75">
      <c r="A78" s="276"/>
      <c r="B78" s="280">
        <v>76321</v>
      </c>
      <c r="C78" s="89">
        <v>42.82</v>
      </c>
      <c r="D78" s="279" t="s">
        <v>1002</v>
      </c>
      <c r="E78" s="279">
        <v>3016</v>
      </c>
      <c r="F78" s="279"/>
      <c r="G78" s="89"/>
      <c r="H78" s="89"/>
      <c r="I78" s="89"/>
      <c r="J78" s="279">
        <v>3016</v>
      </c>
      <c r="K78" s="279"/>
      <c r="L78" s="279"/>
      <c r="M78" s="89"/>
      <c r="N78" s="279"/>
      <c r="O78" s="279"/>
      <c r="P78" s="279"/>
      <c r="Q78" s="279"/>
      <c r="R78" s="89"/>
      <c r="S78" s="89"/>
      <c r="T78" s="89"/>
      <c r="U78" s="89"/>
    </row>
    <row r="79" spans="1:21" ht="15.75">
      <c r="A79" s="276"/>
      <c r="B79" s="280">
        <v>43465</v>
      </c>
      <c r="C79" s="89">
        <v>43.02</v>
      </c>
      <c r="D79" s="279" t="s">
        <v>1002</v>
      </c>
      <c r="E79" s="279">
        <v>3770</v>
      </c>
      <c r="F79" s="279"/>
      <c r="G79" s="89"/>
      <c r="H79" s="89"/>
      <c r="I79" s="89"/>
      <c r="J79" s="279">
        <v>3770</v>
      </c>
      <c r="K79" s="279"/>
      <c r="L79" s="279"/>
      <c r="M79" s="89"/>
      <c r="N79" s="279"/>
      <c r="O79" s="279"/>
      <c r="P79" s="279"/>
      <c r="Q79" s="279"/>
      <c r="R79" s="89"/>
      <c r="S79" s="89"/>
      <c r="T79" s="89"/>
      <c r="U79" s="89"/>
    </row>
    <row r="80" spans="1:21" ht="15.75">
      <c r="A80" s="268"/>
      <c r="B80" s="268"/>
      <c r="C80" s="269"/>
      <c r="D80" s="269"/>
      <c r="E80" s="305">
        <f>SUM(E54:E79)</f>
        <v>65734.8</v>
      </c>
      <c r="F80" s="306"/>
      <c r="G80" s="306"/>
      <c r="H80" s="306"/>
      <c r="I80" s="305"/>
      <c r="J80" s="305">
        <f>SUM(J54:J79)</f>
        <v>63232.780000000006</v>
      </c>
      <c r="K80" s="305"/>
      <c r="L80" s="305"/>
      <c r="M80" s="305"/>
      <c r="N80" s="305"/>
      <c r="O80" s="305"/>
      <c r="P80" s="305"/>
      <c r="Q80" s="305"/>
      <c r="R80" s="305">
        <f>SUM(R54:R79)</f>
        <v>2502.02</v>
      </c>
      <c r="S80" s="306"/>
      <c r="T80" s="269"/>
      <c r="U80" s="269"/>
    </row>
    <row r="81" spans="1:21" ht="15.75">
      <c r="A81" s="260" t="s">
        <v>1003</v>
      </c>
      <c r="B81" s="281" t="s">
        <v>943</v>
      </c>
      <c r="C81" s="89"/>
      <c r="D81" s="89"/>
      <c r="E81" s="279">
        <v>20</v>
      </c>
      <c r="F81" s="279"/>
      <c r="G81" s="89"/>
      <c r="H81" s="89"/>
      <c r="I81" s="89"/>
      <c r="J81" s="279"/>
      <c r="K81" s="279"/>
      <c r="L81" s="279"/>
      <c r="M81" s="279"/>
      <c r="N81" s="279">
        <v>20</v>
      </c>
      <c r="O81" s="279"/>
      <c r="P81" s="279"/>
      <c r="Q81" s="89"/>
      <c r="R81" s="89"/>
      <c r="S81" s="89"/>
      <c r="T81" s="89"/>
      <c r="U81" s="89"/>
    </row>
    <row r="82" spans="1:21" ht="15.75">
      <c r="A82" s="276"/>
      <c r="B82" s="281" t="s">
        <v>944</v>
      </c>
      <c r="C82" s="89"/>
      <c r="D82" s="89"/>
      <c r="E82" s="279">
        <v>20</v>
      </c>
      <c r="F82" s="279"/>
      <c r="G82" s="89"/>
      <c r="H82" s="89"/>
      <c r="I82" s="89"/>
      <c r="J82" s="279"/>
      <c r="K82" s="279"/>
      <c r="L82" s="279"/>
      <c r="M82" s="279"/>
      <c r="N82" s="279">
        <v>20</v>
      </c>
      <c r="O82" s="279"/>
      <c r="P82" s="279"/>
      <c r="Q82" s="89"/>
      <c r="R82" s="89"/>
      <c r="S82" s="89"/>
      <c r="T82" s="89"/>
      <c r="U82" s="89"/>
    </row>
    <row r="83" spans="1:21" ht="15.75">
      <c r="A83" s="276"/>
      <c r="B83" s="281" t="s">
        <v>945</v>
      </c>
      <c r="C83" s="89"/>
      <c r="D83" s="89"/>
      <c r="E83" s="279">
        <v>20</v>
      </c>
      <c r="F83" s="279"/>
      <c r="G83" s="89"/>
      <c r="H83" s="89"/>
      <c r="I83" s="89"/>
      <c r="J83" s="279"/>
      <c r="K83" s="279"/>
      <c r="L83" s="279"/>
      <c r="M83" s="279"/>
      <c r="N83" s="279">
        <v>20</v>
      </c>
      <c r="O83" s="279"/>
      <c r="P83" s="279"/>
      <c r="Q83" s="89"/>
      <c r="R83" s="89"/>
      <c r="S83" s="89"/>
      <c r="T83" s="89"/>
      <c r="U83" s="89"/>
    </row>
    <row r="84" spans="1:21" ht="15.75">
      <c r="A84" s="276"/>
      <c r="B84" s="281" t="s">
        <v>996</v>
      </c>
      <c r="C84" s="89"/>
      <c r="D84" s="89"/>
      <c r="E84" s="279">
        <v>20</v>
      </c>
      <c r="F84" s="279"/>
      <c r="G84" s="89"/>
      <c r="H84" s="89"/>
      <c r="I84" s="89"/>
      <c r="J84" s="279"/>
      <c r="K84" s="279"/>
      <c r="L84" s="279"/>
      <c r="M84" s="279"/>
      <c r="N84" s="279">
        <v>20</v>
      </c>
      <c r="O84" s="279"/>
      <c r="P84" s="279"/>
      <c r="Q84" s="89"/>
      <c r="R84" s="89"/>
      <c r="S84" s="89"/>
      <c r="T84" s="89"/>
      <c r="U84" s="89"/>
    </row>
    <row r="85" spans="1:21" ht="15.75">
      <c r="A85" s="276"/>
      <c r="B85" s="281" t="s">
        <v>947</v>
      </c>
      <c r="C85" s="89"/>
      <c r="D85" s="89"/>
      <c r="E85" s="279">
        <v>20</v>
      </c>
      <c r="F85" s="279"/>
      <c r="G85" s="89"/>
      <c r="H85" s="89"/>
      <c r="I85" s="89"/>
      <c r="J85" s="279"/>
      <c r="K85" s="279"/>
      <c r="L85" s="279"/>
      <c r="M85" s="279"/>
      <c r="N85" s="279">
        <v>20</v>
      </c>
      <c r="O85" s="279"/>
      <c r="P85" s="279"/>
      <c r="Q85" s="89"/>
      <c r="R85" s="89"/>
      <c r="S85" s="89"/>
      <c r="T85" s="89"/>
      <c r="U85" s="89"/>
    </row>
    <row r="86" spans="1:21" ht="15.75">
      <c r="A86" s="276"/>
      <c r="B86" s="281" t="s">
        <v>948</v>
      </c>
      <c r="C86" s="89"/>
      <c r="D86" s="89"/>
      <c r="E86" s="279">
        <v>30</v>
      </c>
      <c r="F86" s="279"/>
      <c r="G86" s="89"/>
      <c r="H86" s="89"/>
      <c r="I86" s="89"/>
      <c r="J86" s="279"/>
      <c r="K86" s="279"/>
      <c r="L86" s="279"/>
      <c r="M86" s="279"/>
      <c r="N86" s="279">
        <v>30</v>
      </c>
      <c r="O86" s="279"/>
      <c r="P86" s="279"/>
      <c r="Q86" s="89"/>
      <c r="R86" s="89"/>
      <c r="S86" s="89"/>
      <c r="T86" s="89"/>
      <c r="U86" s="89"/>
    </row>
    <row r="87" spans="1:21" ht="15.75">
      <c r="A87" s="276"/>
      <c r="B87" s="281" t="s">
        <v>1004</v>
      </c>
      <c r="C87" s="89"/>
      <c r="D87" s="89"/>
      <c r="E87" s="279">
        <v>30</v>
      </c>
      <c r="F87" s="279"/>
      <c r="G87" s="89"/>
      <c r="H87" s="89"/>
      <c r="I87" s="89"/>
      <c r="J87" s="279"/>
      <c r="K87" s="279"/>
      <c r="L87" s="279"/>
      <c r="M87" s="279"/>
      <c r="N87" s="279">
        <v>30</v>
      </c>
      <c r="O87" s="279"/>
      <c r="P87" s="279"/>
      <c r="Q87" s="89"/>
      <c r="R87" s="89"/>
      <c r="S87" s="89"/>
      <c r="T87" s="89"/>
      <c r="U87" s="89"/>
    </row>
    <row r="88" spans="1:21" ht="15.75">
      <c r="A88" s="276"/>
      <c r="B88" s="281" t="s">
        <v>997</v>
      </c>
      <c r="C88" s="89"/>
      <c r="D88" s="89"/>
      <c r="E88" s="279">
        <v>30</v>
      </c>
      <c r="F88" s="279"/>
      <c r="G88" s="89"/>
      <c r="H88" s="89"/>
      <c r="I88" s="89"/>
      <c r="J88" s="279"/>
      <c r="K88" s="279"/>
      <c r="L88" s="279"/>
      <c r="M88" s="279"/>
      <c r="N88" s="279">
        <v>30</v>
      </c>
      <c r="O88" s="279"/>
      <c r="P88" s="279"/>
      <c r="Q88" s="89"/>
      <c r="R88" s="89"/>
      <c r="S88" s="89"/>
      <c r="T88" s="89"/>
      <c r="U88" s="89"/>
    </row>
    <row r="89" spans="1:21" ht="15.75">
      <c r="A89" s="276"/>
      <c r="B89" s="276" t="s">
        <v>951</v>
      </c>
      <c r="C89" s="89"/>
      <c r="D89" s="89"/>
      <c r="E89" s="279">
        <v>30</v>
      </c>
      <c r="F89" s="89"/>
      <c r="G89" s="89"/>
      <c r="H89" s="89"/>
      <c r="I89" s="89"/>
      <c r="J89" s="89"/>
      <c r="K89" s="89"/>
      <c r="L89" s="89"/>
      <c r="M89" s="89"/>
      <c r="N89" s="279">
        <v>30</v>
      </c>
      <c r="O89" s="89"/>
      <c r="P89" s="89"/>
      <c r="Q89" s="89"/>
      <c r="R89" s="89"/>
      <c r="S89" s="89"/>
      <c r="T89" s="89"/>
      <c r="U89" s="89"/>
    </row>
    <row r="90" spans="1:21" ht="15.75">
      <c r="A90" s="276"/>
      <c r="B90" s="276" t="s">
        <v>952</v>
      </c>
      <c r="C90" s="89"/>
      <c r="D90" s="89"/>
      <c r="E90" s="279">
        <v>30</v>
      </c>
      <c r="F90" s="89"/>
      <c r="G90" s="89"/>
      <c r="H90" s="89"/>
      <c r="I90" s="89"/>
      <c r="J90" s="89"/>
      <c r="K90" s="89"/>
      <c r="L90" s="89"/>
      <c r="M90" s="89"/>
      <c r="N90" s="279">
        <v>30</v>
      </c>
      <c r="O90" s="89"/>
      <c r="P90" s="89"/>
      <c r="Q90" s="89"/>
      <c r="R90" s="89"/>
      <c r="S90" s="89"/>
      <c r="T90" s="89"/>
      <c r="U90" s="89"/>
    </row>
    <row r="91" spans="1:21" ht="15.75">
      <c r="A91" s="276"/>
      <c r="B91" s="276" t="s">
        <v>953</v>
      </c>
      <c r="C91" s="89"/>
      <c r="D91" s="89"/>
      <c r="E91" s="279">
        <v>30</v>
      </c>
      <c r="F91" s="89"/>
      <c r="G91" s="89"/>
      <c r="H91" s="89"/>
      <c r="I91" s="89"/>
      <c r="J91" s="89"/>
      <c r="K91" s="89"/>
      <c r="L91" s="89"/>
      <c r="M91" s="89"/>
      <c r="N91" s="279">
        <v>30</v>
      </c>
      <c r="O91" s="89"/>
      <c r="P91" s="89"/>
      <c r="Q91" s="89"/>
      <c r="R91" s="89"/>
      <c r="S91" s="89"/>
      <c r="T91" s="89"/>
      <c r="U91" s="89"/>
    </row>
    <row r="92" spans="1:21" ht="15.75">
      <c r="A92" s="276"/>
      <c r="B92" s="276" t="s">
        <v>954</v>
      </c>
      <c r="C92" s="89"/>
      <c r="D92" s="89"/>
      <c r="E92" s="279">
        <v>30</v>
      </c>
      <c r="F92" s="89"/>
      <c r="G92" s="89"/>
      <c r="H92" s="89"/>
      <c r="I92" s="89"/>
      <c r="J92" s="89"/>
      <c r="K92" s="89"/>
      <c r="L92" s="89"/>
      <c r="M92" s="89"/>
      <c r="N92" s="279">
        <v>30</v>
      </c>
      <c r="O92" s="89"/>
      <c r="P92" s="89"/>
      <c r="Q92" s="89"/>
      <c r="R92" s="89"/>
      <c r="S92" s="89"/>
      <c r="T92" s="89"/>
      <c r="U92" s="89"/>
    </row>
    <row r="93" spans="1:21" ht="15.75">
      <c r="A93" s="268"/>
      <c r="B93" s="271"/>
      <c r="C93" s="269"/>
      <c r="D93" s="269"/>
      <c r="E93" s="305">
        <f>SUM(E81:E92)</f>
        <v>310</v>
      </c>
      <c r="F93" s="305"/>
      <c r="G93" s="306"/>
      <c r="H93" s="306"/>
      <c r="I93" s="306"/>
      <c r="J93" s="305"/>
      <c r="K93" s="305"/>
      <c r="L93" s="305"/>
      <c r="M93" s="305"/>
      <c r="N93" s="305">
        <f>SUM(N81:N92)</f>
        <v>310</v>
      </c>
      <c r="O93" s="305"/>
      <c r="P93" s="270"/>
      <c r="Q93" s="269"/>
      <c r="R93" s="269"/>
      <c r="S93" s="269"/>
      <c r="T93" s="269"/>
      <c r="U93" s="269"/>
    </row>
    <row r="94" spans="1:21" ht="15.75">
      <c r="A94" s="260" t="s">
        <v>1005</v>
      </c>
      <c r="B94" s="281">
        <v>43191</v>
      </c>
      <c r="C94" s="89">
        <v>270.60000000000002</v>
      </c>
      <c r="D94" s="279">
        <f>SUM(E94/C94)</f>
        <v>33.399963045084995</v>
      </c>
      <c r="E94" s="279">
        <v>9038.0300000000007</v>
      </c>
      <c r="F94" s="279"/>
      <c r="G94" s="279">
        <f>+E94</f>
        <v>9038.0300000000007</v>
      </c>
      <c r="H94" s="279"/>
      <c r="I94" s="89"/>
      <c r="J94" s="279"/>
      <c r="K94" s="279"/>
      <c r="L94" s="279"/>
      <c r="M94" s="279"/>
      <c r="N94" s="279"/>
      <c r="O94" s="279"/>
      <c r="P94" s="279"/>
      <c r="Q94" s="89"/>
      <c r="R94" s="89"/>
      <c r="S94" s="89"/>
      <c r="T94" s="89"/>
      <c r="U94" s="89"/>
    </row>
    <row r="95" spans="1:21" ht="15.75">
      <c r="A95" s="276"/>
      <c r="B95" s="281">
        <v>43221</v>
      </c>
      <c r="C95" s="89">
        <v>308.73</v>
      </c>
      <c r="D95" s="279">
        <f>SUM(E95/C95)</f>
        <v>40.554950927995336</v>
      </c>
      <c r="E95" s="279">
        <v>12520.53</v>
      </c>
      <c r="F95" s="279"/>
      <c r="G95" s="279">
        <f>+E95</f>
        <v>12520.53</v>
      </c>
      <c r="H95" s="279"/>
      <c r="I95" s="89"/>
      <c r="J95" s="279"/>
      <c r="K95" s="279"/>
      <c r="L95" s="279"/>
      <c r="M95" s="279"/>
      <c r="N95" s="279"/>
      <c r="O95" s="279"/>
      <c r="P95" s="279"/>
      <c r="Q95" s="89"/>
      <c r="R95" s="89"/>
      <c r="S95" s="89"/>
      <c r="T95" s="89"/>
      <c r="U95" s="89"/>
    </row>
    <row r="96" spans="1:21" ht="15.75">
      <c r="A96" s="276"/>
      <c r="B96" s="281">
        <v>43252</v>
      </c>
      <c r="C96" s="89">
        <v>236.44</v>
      </c>
      <c r="D96" s="279">
        <f t="shared" ref="D96:D102" si="2">E96/C96</f>
        <v>40.900312975807815</v>
      </c>
      <c r="E96" s="279">
        <v>9670.4699999999993</v>
      </c>
      <c r="F96" s="279"/>
      <c r="G96" s="279">
        <f t="shared" ref="G96:G100" si="3">+E96</f>
        <v>9670.4699999999993</v>
      </c>
      <c r="H96" s="279"/>
      <c r="I96" s="89"/>
      <c r="J96" s="279"/>
      <c r="K96" s="279"/>
      <c r="L96" s="279"/>
      <c r="M96" s="279"/>
      <c r="N96" s="279"/>
      <c r="O96" s="279"/>
      <c r="P96" s="279"/>
      <c r="Q96" s="89"/>
      <c r="R96" s="89"/>
      <c r="S96" s="89"/>
      <c r="T96" s="89"/>
      <c r="U96" s="89"/>
    </row>
    <row r="97" spans="1:21" ht="15.75">
      <c r="A97" s="276"/>
      <c r="B97" s="281">
        <v>43282</v>
      </c>
      <c r="C97" s="89">
        <v>287.39</v>
      </c>
      <c r="D97" s="279">
        <f t="shared" si="2"/>
        <v>40.900205295939315</v>
      </c>
      <c r="E97" s="279">
        <v>11754.31</v>
      </c>
      <c r="F97" s="279"/>
      <c r="G97" s="279">
        <f t="shared" si="3"/>
        <v>11754.31</v>
      </c>
      <c r="H97" s="279"/>
      <c r="I97" s="89"/>
      <c r="J97" s="279"/>
      <c r="K97" s="279"/>
      <c r="L97" s="279"/>
      <c r="M97" s="279"/>
      <c r="N97" s="279"/>
      <c r="O97" s="279"/>
      <c r="P97" s="279"/>
      <c r="Q97" s="89"/>
      <c r="R97" s="89"/>
      <c r="S97" s="89"/>
      <c r="T97" s="89"/>
      <c r="U97" s="89"/>
    </row>
    <row r="98" spans="1:21" ht="15.75">
      <c r="A98" s="276"/>
      <c r="B98" s="281">
        <v>43313</v>
      </c>
      <c r="C98" s="89">
        <v>281.27</v>
      </c>
      <c r="D98" s="279">
        <f t="shared" si="2"/>
        <v>40.900238205283181</v>
      </c>
      <c r="E98" s="279">
        <v>11504.01</v>
      </c>
      <c r="F98" s="279"/>
      <c r="G98" s="279">
        <f t="shared" si="3"/>
        <v>11504.01</v>
      </c>
      <c r="H98" s="279"/>
      <c r="I98" s="89"/>
      <c r="J98" s="279"/>
      <c r="K98" s="279"/>
      <c r="L98" s="279"/>
      <c r="M98" s="279"/>
      <c r="N98" s="279"/>
      <c r="O98" s="279"/>
      <c r="P98" s="279"/>
      <c r="Q98" s="89"/>
      <c r="R98" s="89"/>
      <c r="S98" s="89"/>
      <c r="T98" s="89"/>
      <c r="U98" s="89"/>
    </row>
    <row r="99" spans="1:21" ht="15.75">
      <c r="A99" s="276"/>
      <c r="B99" s="281">
        <v>43344</v>
      </c>
      <c r="C99" s="89">
        <v>245.09</v>
      </c>
      <c r="D99" s="279">
        <f t="shared" si="2"/>
        <v>40.900118323881017</v>
      </c>
      <c r="E99" s="279">
        <v>10024.209999999999</v>
      </c>
      <c r="F99" s="279"/>
      <c r="G99" s="279">
        <f t="shared" si="3"/>
        <v>10024.209999999999</v>
      </c>
      <c r="H99" s="279"/>
      <c r="I99" s="89"/>
      <c r="J99" s="279"/>
      <c r="K99" s="279"/>
      <c r="L99" s="279"/>
      <c r="M99" s="279"/>
      <c r="N99" s="279"/>
      <c r="O99" s="279"/>
      <c r="P99" s="279"/>
      <c r="Q99" s="89"/>
      <c r="R99" s="89"/>
      <c r="S99" s="89"/>
      <c r="T99" s="89"/>
      <c r="U99" s="89"/>
    </row>
    <row r="100" spans="1:21" ht="15.75">
      <c r="A100" s="276"/>
      <c r="B100" s="281">
        <v>43374</v>
      </c>
      <c r="C100" s="89">
        <v>278.25</v>
      </c>
      <c r="D100" s="279">
        <f t="shared" si="2"/>
        <v>40.900197663971248</v>
      </c>
      <c r="E100" s="279">
        <v>11380.48</v>
      </c>
      <c r="F100" s="279"/>
      <c r="G100" s="279">
        <f t="shared" si="3"/>
        <v>11380.48</v>
      </c>
      <c r="H100" s="279"/>
      <c r="I100" s="89"/>
      <c r="J100" s="279"/>
      <c r="K100" s="279"/>
      <c r="L100" s="279"/>
      <c r="M100" s="279"/>
      <c r="N100" s="279"/>
      <c r="O100" s="279"/>
      <c r="P100" s="279"/>
      <c r="Q100" s="89"/>
      <c r="R100" s="89"/>
      <c r="S100" s="89"/>
      <c r="T100" s="89"/>
      <c r="U100" s="89"/>
    </row>
    <row r="101" spans="1:21" ht="15.75">
      <c r="A101" s="276"/>
      <c r="B101" s="281">
        <v>43405</v>
      </c>
      <c r="C101" s="89">
        <v>290.95</v>
      </c>
      <c r="D101" s="279">
        <f t="shared" si="2"/>
        <v>40.900154665750129</v>
      </c>
      <c r="E101" s="279">
        <v>11899.9</v>
      </c>
      <c r="F101" s="279"/>
      <c r="G101" s="279">
        <f>+E101</f>
        <v>11899.9</v>
      </c>
      <c r="H101" s="279"/>
      <c r="I101" s="89"/>
      <c r="J101" s="279"/>
      <c r="K101" s="279"/>
      <c r="L101" s="279"/>
      <c r="M101" s="279"/>
      <c r="N101" s="279"/>
      <c r="O101" s="279"/>
      <c r="P101" s="279"/>
      <c r="Q101" s="89"/>
      <c r="R101" s="89"/>
      <c r="S101" s="89"/>
      <c r="T101" s="89"/>
      <c r="U101" s="89"/>
    </row>
    <row r="102" spans="1:21" ht="15.75">
      <c r="A102" s="199"/>
      <c r="B102" s="296">
        <v>43435</v>
      </c>
      <c r="C102" s="200">
        <v>284.89999999999998</v>
      </c>
      <c r="D102" s="200">
        <f t="shared" si="2"/>
        <v>40.900280800280804</v>
      </c>
      <c r="E102" s="201">
        <v>11652.49</v>
      </c>
      <c r="F102" s="201"/>
      <c r="G102" s="201">
        <f>+E102</f>
        <v>11652.49</v>
      </c>
      <c r="H102" s="201"/>
      <c r="I102" s="200"/>
      <c r="J102" s="201"/>
      <c r="K102" s="201"/>
      <c r="L102" s="201"/>
      <c r="M102" s="201"/>
      <c r="N102" s="201"/>
      <c r="O102" s="201"/>
      <c r="P102" s="201"/>
      <c r="Q102" s="200"/>
      <c r="R102" s="200"/>
      <c r="S102" s="200"/>
      <c r="T102" s="200"/>
      <c r="U102" s="200"/>
    </row>
    <row r="103" spans="1:21" ht="15.75">
      <c r="A103" s="268"/>
      <c r="B103" s="268"/>
      <c r="C103" s="269"/>
      <c r="D103" s="269"/>
      <c r="E103" s="305">
        <f>SUM(E94:E102)</f>
        <v>99444.43</v>
      </c>
      <c r="F103" s="306"/>
      <c r="G103" s="305">
        <f>SUM(G94:G102)</f>
        <v>99444.43</v>
      </c>
      <c r="H103" s="270"/>
      <c r="I103" s="269"/>
      <c r="J103" s="270"/>
      <c r="K103" s="270"/>
      <c r="L103" s="270"/>
      <c r="M103" s="270"/>
      <c r="N103" s="270"/>
      <c r="O103" s="270"/>
      <c r="P103" s="270"/>
      <c r="Q103" s="270"/>
      <c r="R103" s="269"/>
      <c r="S103" s="269"/>
      <c r="T103" s="269"/>
      <c r="U103" s="269"/>
    </row>
    <row r="104" spans="1:21" ht="15.75">
      <c r="A104" s="264" t="s">
        <v>1006</v>
      </c>
      <c r="B104" s="281" t="s">
        <v>943</v>
      </c>
      <c r="C104" s="89">
        <v>6408.21</v>
      </c>
      <c r="D104" s="279">
        <f t="shared" ref="D104:D108" si="4">SUM(E104/C104)</f>
        <v>105.01232013307929</v>
      </c>
      <c r="E104" s="279">
        <v>672941</v>
      </c>
      <c r="F104" s="279"/>
      <c r="G104" s="89"/>
      <c r="H104" s="279">
        <v>128826.52</v>
      </c>
      <c r="I104" s="279">
        <v>227158.13</v>
      </c>
      <c r="J104" s="279">
        <v>316956.34999999998</v>
      </c>
      <c r="K104" s="279"/>
      <c r="L104" s="279"/>
      <c r="M104" s="279"/>
      <c r="N104" s="279"/>
      <c r="O104" s="279"/>
      <c r="P104" s="279"/>
      <c r="Q104" s="279"/>
      <c r="R104" s="89"/>
      <c r="S104" s="89"/>
      <c r="T104" s="89"/>
      <c r="U104" s="89"/>
    </row>
    <row r="105" spans="1:21" ht="15.75">
      <c r="A105" s="282"/>
      <c r="B105" s="281" t="s">
        <v>944</v>
      </c>
      <c r="C105" s="89">
        <v>5565.91</v>
      </c>
      <c r="D105" s="279">
        <f t="shared" si="4"/>
        <v>105.01265740912088</v>
      </c>
      <c r="E105" s="279">
        <v>584491</v>
      </c>
      <c r="F105" s="279"/>
      <c r="G105" s="89"/>
      <c r="H105" s="279">
        <v>108619.84</v>
      </c>
      <c r="I105" s="279">
        <v>198286.87</v>
      </c>
      <c r="J105" s="279">
        <v>277584.28999999998</v>
      </c>
      <c r="K105" s="279"/>
      <c r="L105" s="279"/>
      <c r="M105" s="279"/>
      <c r="N105" s="279"/>
      <c r="O105" s="279"/>
      <c r="P105" s="279"/>
      <c r="Q105" s="279"/>
      <c r="R105" s="89"/>
      <c r="S105" s="89"/>
      <c r="T105" s="89"/>
      <c r="U105" s="89"/>
    </row>
    <row r="106" spans="1:21" ht="15.75">
      <c r="A106" s="282"/>
      <c r="B106" s="281" t="s">
        <v>945</v>
      </c>
      <c r="C106" s="89">
        <v>6129.61</v>
      </c>
      <c r="D106" s="279">
        <f t="shared" si="4"/>
        <v>104.74500008972839</v>
      </c>
      <c r="E106" s="279">
        <v>642046</v>
      </c>
      <c r="F106" s="279"/>
      <c r="G106" s="89"/>
      <c r="H106" s="279">
        <v>123144.53</v>
      </c>
      <c r="I106" s="279">
        <v>220320.97</v>
      </c>
      <c r="J106" s="279">
        <v>298580.5</v>
      </c>
      <c r="K106" s="279"/>
      <c r="L106" s="279"/>
      <c r="M106" s="279"/>
      <c r="N106" s="279"/>
      <c r="O106" s="279"/>
      <c r="P106" s="279"/>
      <c r="Q106" s="279"/>
      <c r="R106" s="89"/>
      <c r="S106" s="89"/>
      <c r="T106" s="89"/>
      <c r="U106" s="89"/>
    </row>
    <row r="107" spans="1:21" ht="15.75">
      <c r="A107" s="282"/>
      <c r="B107" s="281" t="s">
        <v>996</v>
      </c>
      <c r="C107" s="89">
        <v>5999.72</v>
      </c>
      <c r="D107" s="279">
        <f t="shared" si="4"/>
        <v>104.70838639136493</v>
      </c>
      <c r="E107" s="279">
        <v>628221</v>
      </c>
      <c r="F107" s="279"/>
      <c r="G107" s="89"/>
      <c r="H107" s="279">
        <v>120123.87</v>
      </c>
      <c r="I107" s="279">
        <v>221694.18</v>
      </c>
      <c r="J107" s="279">
        <v>286402.95</v>
      </c>
      <c r="K107" s="279"/>
      <c r="L107" s="279"/>
      <c r="M107" s="279"/>
      <c r="N107" s="279"/>
      <c r="O107" s="279"/>
      <c r="P107" s="279"/>
      <c r="Q107" s="279"/>
      <c r="R107" s="89"/>
      <c r="S107" s="89"/>
      <c r="T107" s="89"/>
      <c r="U107" s="89"/>
    </row>
    <row r="108" spans="1:21" ht="15.75">
      <c r="A108" s="282"/>
      <c r="B108" s="281" t="s">
        <v>947</v>
      </c>
      <c r="C108" s="89">
        <v>6557.59</v>
      </c>
      <c r="D108" s="279">
        <f t="shared" si="4"/>
        <v>104.824943309966</v>
      </c>
      <c r="E108" s="279">
        <v>687399</v>
      </c>
      <c r="F108" s="279"/>
      <c r="G108" s="89"/>
      <c r="H108" s="279">
        <v>138644.34</v>
      </c>
      <c r="I108" s="279">
        <v>231013.41</v>
      </c>
      <c r="J108" s="279">
        <v>317741.25</v>
      </c>
      <c r="K108" s="279"/>
      <c r="L108" s="279"/>
      <c r="M108" s="279"/>
      <c r="N108" s="279"/>
      <c r="O108" s="279"/>
      <c r="P108" s="279"/>
      <c r="Q108" s="279"/>
      <c r="R108" s="89"/>
      <c r="S108" s="89"/>
      <c r="T108" s="89"/>
      <c r="U108" s="89"/>
    </row>
    <row r="109" spans="1:21" ht="15.75">
      <c r="A109" s="282"/>
      <c r="B109" s="281" t="s">
        <v>948</v>
      </c>
      <c r="C109" s="89">
        <v>6257.5</v>
      </c>
      <c r="D109" s="279">
        <f>SUM(E109/C109)</f>
        <v>104.85593288054335</v>
      </c>
      <c r="E109" s="279">
        <v>656136</v>
      </c>
      <c r="F109" s="279"/>
      <c r="G109" s="89"/>
      <c r="H109" s="279">
        <v>119534.81</v>
      </c>
      <c r="I109" s="279">
        <v>221814.94</v>
      </c>
      <c r="J109" s="279">
        <v>314786.25</v>
      </c>
      <c r="K109" s="279"/>
      <c r="L109" s="279"/>
      <c r="M109" s="279"/>
      <c r="N109" s="279"/>
      <c r="O109" s="279"/>
      <c r="P109" s="279"/>
      <c r="Q109" s="279"/>
      <c r="R109" s="89"/>
      <c r="S109" s="89"/>
      <c r="T109" s="89"/>
      <c r="U109" s="89"/>
    </row>
    <row r="110" spans="1:21" ht="15.75">
      <c r="A110" s="282"/>
      <c r="B110" s="281" t="s">
        <v>949</v>
      </c>
      <c r="C110" s="89">
        <v>6241.24</v>
      </c>
      <c r="D110" s="279">
        <f>SUM(E110/C110)</f>
        <v>104.8958219840929</v>
      </c>
      <c r="E110" s="279">
        <v>654680</v>
      </c>
      <c r="F110" s="279"/>
      <c r="G110" s="89"/>
      <c r="H110" s="279">
        <v>126258.29</v>
      </c>
      <c r="I110" s="279">
        <v>222253.52</v>
      </c>
      <c r="J110" s="279">
        <v>306168.19</v>
      </c>
      <c r="K110" s="279"/>
      <c r="L110" s="279"/>
      <c r="M110" s="279"/>
      <c r="N110" s="279"/>
      <c r="O110" s="279"/>
      <c r="P110" s="279"/>
      <c r="Q110" s="279"/>
      <c r="R110" s="89"/>
      <c r="S110" s="89"/>
      <c r="T110" s="89"/>
      <c r="U110" s="89"/>
    </row>
    <row r="111" spans="1:21" ht="15.75">
      <c r="A111" s="282"/>
      <c r="B111" s="281" t="s">
        <v>997</v>
      </c>
      <c r="C111" s="89">
        <v>6836.91</v>
      </c>
      <c r="D111" s="279">
        <f>SUM(E111/C111)</f>
        <v>104.85336211826689</v>
      </c>
      <c r="E111" s="279">
        <v>716873</v>
      </c>
      <c r="F111" s="279"/>
      <c r="G111" s="89"/>
      <c r="H111" s="279">
        <v>131774.16</v>
      </c>
      <c r="I111" s="279">
        <v>230967.24</v>
      </c>
      <c r="J111" s="279">
        <v>354131.6</v>
      </c>
      <c r="K111" s="279"/>
      <c r="L111" s="279"/>
      <c r="M111" s="279"/>
      <c r="N111" s="279"/>
      <c r="O111" s="279"/>
      <c r="P111" s="279"/>
      <c r="Q111" s="279"/>
      <c r="R111" s="89"/>
      <c r="S111" s="89"/>
      <c r="T111" s="89"/>
      <c r="U111" s="89"/>
    </row>
    <row r="112" spans="1:21" ht="15.75">
      <c r="A112" s="282"/>
      <c r="B112" s="276" t="s">
        <v>951</v>
      </c>
      <c r="C112" s="89">
        <v>6089.72</v>
      </c>
      <c r="D112" s="279">
        <f>SUM(E112/C112)</f>
        <v>105.0076193979362</v>
      </c>
      <c r="E112" s="279">
        <v>639467</v>
      </c>
      <c r="F112" s="89"/>
      <c r="G112" s="89"/>
      <c r="H112" s="279">
        <v>117087.54</v>
      </c>
      <c r="I112" s="279">
        <v>204527.04</v>
      </c>
      <c r="J112" s="279">
        <v>317852.42</v>
      </c>
      <c r="K112" s="89"/>
      <c r="L112" s="89"/>
      <c r="M112" s="89"/>
      <c r="N112" s="89"/>
      <c r="O112" s="89"/>
      <c r="P112" s="89"/>
      <c r="Q112" s="89"/>
      <c r="R112" s="89"/>
      <c r="S112" s="89"/>
      <c r="T112" s="89"/>
      <c r="U112" s="89"/>
    </row>
    <row r="113" spans="1:21" ht="15.75">
      <c r="A113" s="282"/>
      <c r="B113" s="276" t="s">
        <v>952</v>
      </c>
      <c r="C113" s="89">
        <v>6534.09</v>
      </c>
      <c r="D113" s="279">
        <f>SUM(E113/C113)</f>
        <v>105.01156243639129</v>
      </c>
      <c r="E113" s="279">
        <v>686155</v>
      </c>
      <c r="F113" s="89"/>
      <c r="G113" s="89"/>
      <c r="H113" s="279">
        <v>127619.43</v>
      </c>
      <c r="I113" s="279">
        <v>231610.77</v>
      </c>
      <c r="J113" s="279">
        <v>326924.79999999999</v>
      </c>
      <c r="K113" s="89"/>
      <c r="L113" s="89"/>
      <c r="M113" s="89"/>
      <c r="N113" s="89"/>
      <c r="O113" s="89"/>
      <c r="P113" s="89"/>
      <c r="Q113" s="89"/>
      <c r="R113" s="89"/>
      <c r="S113" s="89"/>
      <c r="T113" s="89"/>
      <c r="U113" s="89"/>
    </row>
    <row r="114" spans="1:21" ht="15.75">
      <c r="A114" s="282"/>
      <c r="B114" s="276" t="s">
        <v>953</v>
      </c>
      <c r="C114" s="89">
        <v>6156.22</v>
      </c>
      <c r="D114" s="279">
        <v>105.01</v>
      </c>
      <c r="E114" s="279">
        <v>646453</v>
      </c>
      <c r="F114" s="89"/>
      <c r="G114" s="89"/>
      <c r="H114" s="279">
        <v>129490.48</v>
      </c>
      <c r="I114" s="279">
        <v>224817.32</v>
      </c>
      <c r="J114" s="279">
        <v>292145.2</v>
      </c>
      <c r="K114" s="89"/>
      <c r="L114" s="89"/>
      <c r="M114" s="89"/>
      <c r="N114" s="89"/>
      <c r="O114" s="89"/>
      <c r="P114" s="89"/>
      <c r="Q114" s="89"/>
      <c r="R114" s="89"/>
      <c r="S114" s="89"/>
      <c r="T114" s="89"/>
      <c r="U114" s="89"/>
    </row>
    <row r="115" spans="1:21" ht="15.75">
      <c r="A115" s="282"/>
      <c r="B115" s="276" t="s">
        <v>954</v>
      </c>
      <c r="C115" s="89">
        <v>5758.03</v>
      </c>
      <c r="D115" s="279">
        <v>105</v>
      </c>
      <c r="E115" s="279">
        <v>604648</v>
      </c>
      <c r="F115" s="89"/>
      <c r="G115" s="279"/>
      <c r="H115" s="279">
        <v>122136.16</v>
      </c>
      <c r="I115" s="279">
        <v>214986.29</v>
      </c>
      <c r="J115" s="279">
        <v>267525.55</v>
      </c>
      <c r="K115" s="89"/>
      <c r="L115" s="89"/>
      <c r="M115" s="89"/>
      <c r="N115" s="89"/>
      <c r="O115" s="89"/>
      <c r="P115" s="89"/>
      <c r="Q115" s="89"/>
      <c r="R115" s="89"/>
      <c r="S115" s="89"/>
      <c r="T115" s="89"/>
      <c r="U115" s="89"/>
    </row>
    <row r="116" spans="1:21" ht="15.75">
      <c r="A116" s="272"/>
      <c r="B116" s="273"/>
      <c r="C116" s="274"/>
      <c r="D116" s="275"/>
      <c r="E116" s="307">
        <f>SUM(E104:E115)</f>
        <v>7819510</v>
      </c>
      <c r="F116" s="307"/>
      <c r="G116" s="308"/>
      <c r="H116" s="307">
        <f>SUM(H104:H115)</f>
        <v>1493259.9699999997</v>
      </c>
      <c r="I116" s="307">
        <f>SUM(I104:I115)</f>
        <v>2649450.6799999997</v>
      </c>
      <c r="J116" s="307">
        <f>SUM(J104:J115)</f>
        <v>3676799.3499999996</v>
      </c>
      <c r="K116" s="275"/>
      <c r="L116" s="275"/>
      <c r="M116" s="275"/>
      <c r="N116" s="275"/>
      <c r="O116" s="275"/>
      <c r="P116" s="275"/>
      <c r="Q116" s="275"/>
      <c r="R116" s="274"/>
      <c r="S116" s="274"/>
      <c r="T116" s="274"/>
      <c r="U116" s="274"/>
    </row>
    <row r="117" spans="1:21" ht="15.75">
      <c r="A117" s="260" t="s">
        <v>1007</v>
      </c>
      <c r="B117" s="281" t="s">
        <v>943</v>
      </c>
      <c r="C117" s="89">
        <v>308.99</v>
      </c>
      <c r="D117" s="279">
        <v>50.05</v>
      </c>
      <c r="E117" s="279">
        <f>SUM(C117*D117)</f>
        <v>15464.949499999999</v>
      </c>
      <c r="F117" s="279">
        <f>+E117</f>
        <v>15464.949499999999</v>
      </c>
      <c r="G117" s="279"/>
      <c r="H117" s="279"/>
      <c r="I117" s="279"/>
      <c r="J117" s="279"/>
      <c r="K117" s="279"/>
      <c r="L117" s="279"/>
      <c r="M117" s="279"/>
      <c r="N117" s="279"/>
      <c r="O117" s="279"/>
      <c r="P117" s="279"/>
      <c r="Q117" s="279"/>
      <c r="R117" s="279"/>
      <c r="S117" s="279"/>
      <c r="T117" s="279"/>
      <c r="U117" s="279"/>
    </row>
    <row r="118" spans="1:21" ht="15.75">
      <c r="A118" s="276"/>
      <c r="B118" s="281"/>
      <c r="C118" s="89">
        <v>163.91</v>
      </c>
      <c r="D118" s="279"/>
      <c r="E118" s="279">
        <v>11919.48</v>
      </c>
      <c r="F118" s="279"/>
      <c r="G118" s="279">
        <f>+E118</f>
        <v>11919.48</v>
      </c>
      <c r="H118" s="279"/>
      <c r="I118" s="279"/>
      <c r="J118" s="279"/>
      <c r="K118" s="279"/>
      <c r="L118" s="279"/>
      <c r="M118" s="279"/>
      <c r="N118" s="279"/>
      <c r="O118" s="279"/>
      <c r="P118" s="279"/>
      <c r="Q118" s="279"/>
      <c r="R118" s="279"/>
      <c r="S118" s="279"/>
      <c r="T118" s="279"/>
      <c r="U118" s="279"/>
    </row>
    <row r="119" spans="1:21" ht="15.75">
      <c r="A119" s="276" t="s">
        <v>754</v>
      </c>
      <c r="B119" s="281" t="s">
        <v>944</v>
      </c>
      <c r="C119" s="89">
        <v>259.01</v>
      </c>
      <c r="D119" s="279">
        <v>50.05</v>
      </c>
      <c r="E119" s="279">
        <v>12963.43</v>
      </c>
      <c r="F119" s="279">
        <f>+E119</f>
        <v>12963.43</v>
      </c>
      <c r="G119" s="279"/>
      <c r="H119" s="279"/>
      <c r="I119" s="279"/>
      <c r="J119" s="279"/>
      <c r="K119" s="279"/>
      <c r="L119" s="279"/>
      <c r="M119" s="279"/>
      <c r="N119" s="279"/>
      <c r="O119" s="279"/>
      <c r="P119" s="279"/>
      <c r="Q119" s="279"/>
      <c r="R119" s="279"/>
      <c r="S119" s="279"/>
      <c r="T119" s="279"/>
      <c r="U119" s="279"/>
    </row>
    <row r="120" spans="1:21" ht="15.75">
      <c r="A120" s="276" t="s">
        <v>664</v>
      </c>
      <c r="B120" s="281"/>
      <c r="C120" s="89">
        <v>108.81</v>
      </c>
      <c r="D120" s="279"/>
      <c r="E120" s="279">
        <v>7486.78</v>
      </c>
      <c r="F120" s="279"/>
      <c r="G120" s="279">
        <f>+E120</f>
        <v>7486.78</v>
      </c>
      <c r="H120" s="279"/>
      <c r="I120" s="279"/>
      <c r="J120" s="279"/>
      <c r="K120" s="279"/>
      <c r="L120" s="279"/>
      <c r="M120" s="279"/>
      <c r="N120" s="279"/>
      <c r="O120" s="279"/>
      <c r="P120" s="279"/>
      <c r="Q120" s="279"/>
      <c r="R120" s="279"/>
      <c r="S120" s="279"/>
      <c r="T120" s="279"/>
      <c r="U120" s="279"/>
    </row>
    <row r="121" spans="1:21" ht="15.75">
      <c r="A121" s="276" t="s">
        <v>754</v>
      </c>
      <c r="B121" s="281" t="s">
        <v>945</v>
      </c>
      <c r="C121" s="89">
        <v>600.46</v>
      </c>
      <c r="D121" s="279">
        <v>50.05</v>
      </c>
      <c r="E121" s="279">
        <v>30053.01</v>
      </c>
      <c r="F121" s="279">
        <f>+E121</f>
        <v>30053.01</v>
      </c>
      <c r="G121" s="279"/>
      <c r="H121" s="279"/>
      <c r="I121" s="279"/>
      <c r="J121" s="279"/>
      <c r="K121" s="279"/>
      <c r="L121" s="279"/>
      <c r="M121" s="279"/>
      <c r="N121" s="279"/>
      <c r="O121" s="279"/>
      <c r="P121" s="279"/>
      <c r="Q121" s="279"/>
      <c r="R121" s="279"/>
      <c r="S121" s="279"/>
      <c r="T121" s="279"/>
      <c r="U121" s="279"/>
    </row>
    <row r="122" spans="1:21" ht="15.75">
      <c r="A122" s="276" t="s">
        <v>664</v>
      </c>
      <c r="B122" s="281"/>
      <c r="C122" s="89">
        <v>126.5</v>
      </c>
      <c r="D122" s="279"/>
      <c r="E122" s="279">
        <v>8436.67</v>
      </c>
      <c r="F122" s="279"/>
      <c r="G122" s="279">
        <f>+E122</f>
        <v>8436.67</v>
      </c>
      <c r="H122" s="279"/>
      <c r="I122" s="279"/>
      <c r="J122" s="279"/>
      <c r="K122" s="279"/>
      <c r="L122" s="279"/>
      <c r="M122" s="279"/>
      <c r="N122" s="279"/>
      <c r="O122" s="279"/>
      <c r="P122" s="279"/>
      <c r="Q122" s="279"/>
      <c r="R122" s="279"/>
      <c r="S122" s="279"/>
      <c r="T122" s="279"/>
      <c r="U122" s="279"/>
    </row>
    <row r="123" spans="1:21" ht="15.75">
      <c r="A123" s="276" t="s">
        <v>754</v>
      </c>
      <c r="B123" s="281" t="s">
        <v>996</v>
      </c>
      <c r="C123" s="89">
        <v>852.7</v>
      </c>
      <c r="D123" s="279">
        <f>SUM(E123/C123)</f>
        <v>51.270048082561274</v>
      </c>
      <c r="E123" s="279">
        <v>43717.97</v>
      </c>
      <c r="F123" s="279">
        <f>+E123</f>
        <v>43717.97</v>
      </c>
      <c r="G123" s="279"/>
      <c r="H123" s="279"/>
      <c r="I123" s="279"/>
      <c r="J123" s="279"/>
      <c r="K123" s="279"/>
      <c r="L123" s="279"/>
      <c r="M123" s="279"/>
      <c r="N123" s="279"/>
      <c r="O123" s="279"/>
      <c r="P123" s="279"/>
      <c r="Q123" s="279"/>
      <c r="R123" s="279"/>
      <c r="S123" s="279"/>
      <c r="T123" s="279"/>
      <c r="U123" s="279"/>
    </row>
    <row r="124" spans="1:21" ht="15.75">
      <c r="A124" s="276" t="s">
        <v>664</v>
      </c>
      <c r="B124" s="281"/>
      <c r="C124" s="89">
        <v>117.39</v>
      </c>
      <c r="D124" s="279"/>
      <c r="E124" s="279">
        <v>7959.55</v>
      </c>
      <c r="F124" s="279"/>
      <c r="G124" s="279">
        <f>+E124</f>
        <v>7959.55</v>
      </c>
      <c r="H124" s="279"/>
      <c r="I124" s="279"/>
      <c r="J124" s="279"/>
      <c r="K124" s="279"/>
      <c r="L124" s="279"/>
      <c r="M124" s="279"/>
      <c r="N124" s="279"/>
      <c r="O124" s="279"/>
      <c r="P124" s="279"/>
      <c r="Q124" s="279"/>
      <c r="R124" s="279"/>
      <c r="S124" s="279"/>
      <c r="T124" s="279"/>
      <c r="U124" s="279"/>
    </row>
    <row r="125" spans="1:21" ht="15.75">
      <c r="A125" s="276" t="s">
        <v>1013</v>
      </c>
      <c r="B125" s="281"/>
      <c r="C125" s="89">
        <v>18</v>
      </c>
      <c r="D125" s="279"/>
      <c r="E125" s="279">
        <v>3909.6</v>
      </c>
      <c r="F125" s="279">
        <f>+E125</f>
        <v>3909.6</v>
      </c>
      <c r="G125" s="279"/>
      <c r="H125" s="279"/>
      <c r="I125" s="279"/>
      <c r="J125" s="279"/>
      <c r="K125" s="279"/>
      <c r="L125" s="279"/>
      <c r="M125" s="279"/>
      <c r="N125" s="279"/>
      <c r="O125" s="279"/>
      <c r="P125" s="279"/>
      <c r="Q125" s="279"/>
      <c r="R125" s="279"/>
      <c r="S125" s="279"/>
      <c r="T125" s="279"/>
      <c r="U125" s="279"/>
    </row>
    <row r="126" spans="1:21" ht="15.75">
      <c r="A126" s="276" t="s">
        <v>754</v>
      </c>
      <c r="B126" s="281" t="s">
        <v>947</v>
      </c>
      <c r="C126" s="89">
        <v>1403.24</v>
      </c>
      <c r="D126" s="279">
        <f>SUM(E126/C126)</f>
        <v>51.270010832074348</v>
      </c>
      <c r="E126" s="279">
        <v>71944.13</v>
      </c>
      <c r="F126" s="279">
        <f>+E126</f>
        <v>71944.13</v>
      </c>
      <c r="G126" s="279"/>
      <c r="H126" s="279"/>
      <c r="I126" s="279"/>
      <c r="J126" s="279"/>
      <c r="K126" s="279"/>
      <c r="L126" s="279"/>
      <c r="M126" s="279"/>
      <c r="N126" s="279"/>
      <c r="O126" s="279"/>
      <c r="P126" s="279"/>
      <c r="Q126" s="279"/>
      <c r="R126" s="279"/>
      <c r="S126" s="279"/>
      <c r="T126" s="279"/>
      <c r="U126" s="279"/>
    </row>
    <row r="127" spans="1:21" ht="15.75">
      <c r="A127" s="276" t="s">
        <v>664</v>
      </c>
      <c r="B127" s="281"/>
      <c r="C127" s="89">
        <v>107.37</v>
      </c>
      <c r="D127" s="279"/>
      <c r="E127" s="279">
        <v>6316.82</v>
      </c>
      <c r="F127" s="279"/>
      <c r="G127" s="279">
        <f>+E127</f>
        <v>6316.82</v>
      </c>
      <c r="H127" s="279"/>
      <c r="I127" s="279"/>
      <c r="J127" s="279"/>
      <c r="K127" s="279"/>
      <c r="L127" s="279"/>
      <c r="M127" s="279"/>
      <c r="N127" s="279"/>
      <c r="O127" s="279"/>
      <c r="P127" s="279"/>
      <c r="Q127" s="279"/>
      <c r="R127" s="279"/>
      <c r="S127" s="279"/>
      <c r="T127" s="279"/>
      <c r="U127" s="279"/>
    </row>
    <row r="128" spans="1:21" ht="15.75">
      <c r="A128" s="276" t="s">
        <v>1013</v>
      </c>
      <c r="B128" s="281"/>
      <c r="C128" s="89">
        <v>26</v>
      </c>
      <c r="D128" s="279"/>
      <c r="E128" s="279">
        <v>5647.2</v>
      </c>
      <c r="F128" s="279">
        <f>+E128</f>
        <v>5647.2</v>
      </c>
      <c r="G128" s="279"/>
      <c r="H128" s="279"/>
      <c r="I128" s="279"/>
      <c r="J128" s="279"/>
      <c r="K128" s="279"/>
      <c r="L128" s="279"/>
      <c r="M128" s="279"/>
      <c r="N128" s="279"/>
      <c r="O128" s="279"/>
      <c r="P128" s="279"/>
      <c r="Q128" s="279"/>
      <c r="R128" s="279"/>
      <c r="S128" s="279"/>
      <c r="T128" s="279"/>
      <c r="U128" s="279"/>
    </row>
    <row r="129" spans="1:21" ht="15.75">
      <c r="A129" s="276" t="s">
        <v>754</v>
      </c>
      <c r="B129" s="281" t="s">
        <v>948</v>
      </c>
      <c r="C129" s="89">
        <v>925.11</v>
      </c>
      <c r="D129" s="279">
        <v>51.27</v>
      </c>
      <c r="E129" s="279">
        <v>47430.45</v>
      </c>
      <c r="F129" s="279">
        <f>+E129</f>
        <v>47430.45</v>
      </c>
      <c r="G129" s="279"/>
      <c r="H129" s="279"/>
      <c r="I129" s="279"/>
      <c r="J129" s="279"/>
      <c r="K129" s="279"/>
      <c r="L129" s="279"/>
      <c r="M129" s="279"/>
      <c r="N129" s="279"/>
      <c r="O129" s="279"/>
      <c r="P129" s="279"/>
      <c r="Q129" s="279"/>
      <c r="R129" s="279"/>
      <c r="S129" s="279"/>
      <c r="T129" s="279"/>
      <c r="U129" s="279"/>
    </row>
    <row r="130" spans="1:21" ht="15.75">
      <c r="A130" s="276" t="s">
        <v>664</v>
      </c>
      <c r="B130" s="276"/>
      <c r="C130" s="89">
        <v>135.05000000000001</v>
      </c>
      <c r="D130" s="279"/>
      <c r="E130" s="279">
        <v>7211.26</v>
      </c>
      <c r="F130" s="279"/>
      <c r="G130" s="279">
        <f>+E130</f>
        <v>7211.26</v>
      </c>
      <c r="H130" s="279"/>
      <c r="I130" s="279"/>
      <c r="J130" s="279"/>
      <c r="K130" s="279"/>
      <c r="L130" s="279"/>
      <c r="M130" s="279"/>
      <c r="N130" s="279"/>
      <c r="O130" s="279"/>
      <c r="P130" s="279"/>
      <c r="Q130" s="279"/>
      <c r="R130" s="279"/>
      <c r="S130" s="279"/>
      <c r="T130" s="279"/>
      <c r="U130" s="279"/>
    </row>
    <row r="131" spans="1:21" ht="15.75">
      <c r="A131" s="276" t="s">
        <v>1013</v>
      </c>
      <c r="B131" s="276"/>
      <c r="C131" s="89">
        <v>22</v>
      </c>
      <c r="D131" s="279"/>
      <c r="E131" s="279">
        <v>4778.3999999999996</v>
      </c>
      <c r="F131" s="279">
        <f>+E131</f>
        <v>4778.3999999999996</v>
      </c>
      <c r="G131" s="279"/>
      <c r="H131" s="279"/>
      <c r="I131" s="279"/>
      <c r="J131" s="279"/>
      <c r="K131" s="279"/>
      <c r="L131" s="279"/>
      <c r="M131" s="279"/>
      <c r="N131" s="279"/>
      <c r="O131" s="279"/>
      <c r="P131" s="279"/>
      <c r="Q131" s="279"/>
      <c r="R131" s="279"/>
      <c r="S131" s="279"/>
      <c r="T131" s="279"/>
      <c r="U131" s="279"/>
    </row>
    <row r="132" spans="1:21" ht="15.75">
      <c r="A132" s="276" t="s">
        <v>664</v>
      </c>
      <c r="B132" s="276" t="s">
        <v>949</v>
      </c>
      <c r="C132" s="89">
        <v>261.38</v>
      </c>
      <c r="D132" s="279"/>
      <c r="E132" s="279">
        <v>9826.56</v>
      </c>
      <c r="F132" s="279"/>
      <c r="G132" s="279">
        <f>+E132</f>
        <v>9826.56</v>
      </c>
      <c r="H132" s="279"/>
      <c r="I132" s="279"/>
      <c r="J132" s="279"/>
      <c r="K132" s="279"/>
      <c r="L132" s="279"/>
      <c r="M132" s="279"/>
      <c r="N132" s="279"/>
      <c r="O132" s="279"/>
      <c r="P132" s="279"/>
      <c r="Q132" s="279"/>
      <c r="R132" s="279"/>
      <c r="S132" s="279"/>
      <c r="T132" s="279"/>
      <c r="U132" s="279"/>
    </row>
    <row r="133" spans="1:21" ht="15.75">
      <c r="A133" s="276" t="s">
        <v>1013</v>
      </c>
      <c r="B133" s="276"/>
      <c r="C133" s="89">
        <v>28</v>
      </c>
      <c r="D133" s="279"/>
      <c r="E133" s="279">
        <v>6081.6</v>
      </c>
      <c r="F133" s="279">
        <f>+E133</f>
        <v>6081.6</v>
      </c>
      <c r="G133" s="279"/>
      <c r="H133" s="279"/>
      <c r="I133" s="279"/>
      <c r="J133" s="279"/>
      <c r="K133" s="279"/>
      <c r="L133" s="279"/>
      <c r="M133" s="279"/>
      <c r="N133" s="279"/>
      <c r="O133" s="279"/>
      <c r="P133" s="279"/>
      <c r="Q133" s="279"/>
      <c r="R133" s="279"/>
      <c r="S133" s="279"/>
      <c r="T133" s="279"/>
      <c r="U133" s="279"/>
    </row>
    <row r="134" spans="1:21" ht="15.75">
      <c r="A134" s="276" t="s">
        <v>754</v>
      </c>
      <c r="B134" s="276"/>
      <c r="C134" s="89">
        <v>776.84</v>
      </c>
      <c r="D134" s="279">
        <v>51.27</v>
      </c>
      <c r="E134" s="279">
        <v>39828.61</v>
      </c>
      <c r="F134" s="279">
        <f>+E134</f>
        <v>39828.61</v>
      </c>
      <c r="G134" s="279"/>
      <c r="H134" s="279"/>
      <c r="I134" s="279"/>
      <c r="J134" s="279"/>
      <c r="K134" s="279"/>
      <c r="L134" s="279"/>
      <c r="M134" s="279"/>
      <c r="N134" s="279"/>
      <c r="O134" s="279"/>
      <c r="P134" s="279"/>
      <c r="Q134" s="279"/>
      <c r="R134" s="279"/>
      <c r="S134" s="279"/>
      <c r="T134" s="279"/>
      <c r="U134" s="279"/>
    </row>
    <row r="135" spans="1:21" ht="15.75">
      <c r="A135" s="276" t="s">
        <v>754</v>
      </c>
      <c r="B135" s="276" t="s">
        <v>997</v>
      </c>
      <c r="C135" s="89">
        <v>647.87</v>
      </c>
      <c r="D135" s="279">
        <v>51.27</v>
      </c>
      <c r="E135" s="279">
        <v>33216.25</v>
      </c>
      <c r="F135" s="279">
        <f>+E135</f>
        <v>33216.25</v>
      </c>
      <c r="G135" s="279"/>
      <c r="H135" s="279"/>
      <c r="I135" s="279"/>
      <c r="J135" s="279"/>
      <c r="K135" s="279"/>
      <c r="L135" s="279"/>
      <c r="M135" s="279"/>
      <c r="N135" s="279"/>
      <c r="O135" s="279"/>
      <c r="P135" s="279"/>
      <c r="Q135" s="279"/>
      <c r="R135" s="279"/>
      <c r="S135" s="279"/>
      <c r="T135" s="279"/>
      <c r="U135" s="279"/>
    </row>
    <row r="136" spans="1:21" ht="15.75">
      <c r="A136" s="276" t="s">
        <v>1013</v>
      </c>
      <c r="B136" s="276"/>
      <c r="C136" s="89">
        <v>25</v>
      </c>
      <c r="D136" s="279"/>
      <c r="E136" s="279">
        <v>5430</v>
      </c>
      <c r="F136" s="279">
        <f>+E136</f>
        <v>5430</v>
      </c>
      <c r="G136" s="279"/>
      <c r="H136" s="279"/>
      <c r="I136" s="279"/>
      <c r="J136" s="279"/>
      <c r="K136" s="279"/>
      <c r="L136" s="279"/>
      <c r="M136" s="279"/>
      <c r="N136" s="279"/>
      <c r="O136" s="279"/>
      <c r="P136" s="279"/>
      <c r="Q136" s="279"/>
      <c r="R136" s="279"/>
      <c r="S136" s="279"/>
      <c r="T136" s="279"/>
      <c r="U136" s="279"/>
    </row>
    <row r="137" spans="1:21" ht="15.75">
      <c r="A137" s="276" t="s">
        <v>664</v>
      </c>
      <c r="B137" s="276"/>
      <c r="C137" s="89">
        <v>162.13999999999999</v>
      </c>
      <c r="D137" s="279"/>
      <c r="E137" s="279">
        <v>9209.5499999999993</v>
      </c>
      <c r="F137" s="279"/>
      <c r="G137" s="279">
        <f>+E137</f>
        <v>9209.5499999999993</v>
      </c>
      <c r="H137" s="279"/>
      <c r="I137" s="279"/>
      <c r="J137" s="279"/>
      <c r="K137" s="279"/>
      <c r="L137" s="279"/>
      <c r="M137" s="279"/>
      <c r="N137" s="279"/>
      <c r="O137" s="279"/>
      <c r="P137" s="279"/>
      <c r="Q137" s="279"/>
      <c r="R137" s="279"/>
      <c r="S137" s="279"/>
      <c r="T137" s="279"/>
      <c r="U137" s="279"/>
    </row>
    <row r="138" spans="1:21" ht="15.75">
      <c r="A138" s="276" t="s">
        <v>754</v>
      </c>
      <c r="B138" s="276" t="s">
        <v>951</v>
      </c>
      <c r="C138" s="89">
        <v>576.25</v>
      </c>
      <c r="D138" s="279">
        <v>51.27</v>
      </c>
      <c r="E138" s="279">
        <v>29544.37</v>
      </c>
      <c r="F138" s="279">
        <f>+E138</f>
        <v>29544.37</v>
      </c>
      <c r="G138" s="279"/>
      <c r="H138" s="279"/>
      <c r="I138" s="279"/>
      <c r="J138" s="279"/>
      <c r="K138" s="279"/>
      <c r="L138" s="279"/>
      <c r="M138" s="279"/>
      <c r="N138" s="279"/>
      <c r="O138" s="279"/>
      <c r="P138" s="279"/>
      <c r="Q138" s="279"/>
      <c r="R138" s="279"/>
      <c r="S138" s="279"/>
      <c r="T138" s="279"/>
      <c r="U138" s="279"/>
    </row>
    <row r="139" spans="1:21" ht="15.75">
      <c r="A139" s="276" t="s">
        <v>664</v>
      </c>
      <c r="B139" s="276"/>
      <c r="C139" s="89">
        <v>117.64</v>
      </c>
      <c r="D139" s="279"/>
      <c r="E139" s="279">
        <v>6688.62</v>
      </c>
      <c r="F139" s="279"/>
      <c r="G139" s="279">
        <f>+E139</f>
        <v>6688.62</v>
      </c>
      <c r="H139" s="279"/>
      <c r="I139" s="279"/>
      <c r="J139" s="279"/>
      <c r="K139" s="279"/>
      <c r="L139" s="279"/>
      <c r="M139" s="279"/>
      <c r="N139" s="279"/>
      <c r="O139" s="279"/>
      <c r="P139" s="279"/>
      <c r="Q139" s="279"/>
      <c r="R139" s="279"/>
      <c r="S139" s="279"/>
      <c r="T139" s="279"/>
      <c r="U139" s="279"/>
    </row>
    <row r="140" spans="1:21" ht="15.75">
      <c r="A140" s="276" t="s">
        <v>1013</v>
      </c>
      <c r="B140" s="276"/>
      <c r="C140" s="89">
        <v>21</v>
      </c>
      <c r="D140" s="279"/>
      <c r="E140" s="279">
        <v>4561.2</v>
      </c>
      <c r="F140" s="279">
        <f>+E140</f>
        <v>4561.2</v>
      </c>
      <c r="G140" s="279"/>
      <c r="H140" s="279"/>
      <c r="I140" s="279"/>
      <c r="J140" s="279"/>
      <c r="K140" s="279"/>
      <c r="L140" s="279"/>
      <c r="M140" s="279"/>
      <c r="N140" s="279"/>
      <c r="O140" s="279"/>
      <c r="P140" s="279"/>
      <c r="Q140" s="279"/>
      <c r="R140" s="279"/>
      <c r="S140" s="279"/>
      <c r="T140" s="279"/>
      <c r="U140" s="279"/>
    </row>
    <row r="141" spans="1:21" ht="15.75">
      <c r="A141" s="276" t="s">
        <v>754</v>
      </c>
      <c r="B141" s="276" t="s">
        <v>952</v>
      </c>
      <c r="C141" s="89">
        <v>746</v>
      </c>
      <c r="D141" s="279">
        <v>51.27</v>
      </c>
      <c r="E141" s="279">
        <v>38247.42</v>
      </c>
      <c r="F141" s="279">
        <f>+E141</f>
        <v>38247.42</v>
      </c>
      <c r="G141" s="279"/>
      <c r="H141" s="279"/>
      <c r="I141" s="279"/>
      <c r="J141" s="279"/>
      <c r="K141" s="279"/>
      <c r="L141" s="279"/>
      <c r="M141" s="279"/>
      <c r="N141" s="279"/>
      <c r="O141" s="279"/>
      <c r="P141" s="279"/>
      <c r="Q141" s="279"/>
      <c r="R141" s="279"/>
      <c r="S141" s="279"/>
      <c r="T141" s="279"/>
      <c r="U141" s="279"/>
    </row>
    <row r="142" spans="1:21" ht="15.75">
      <c r="A142" s="276" t="s">
        <v>664</v>
      </c>
      <c r="B142" s="276"/>
      <c r="C142" s="89">
        <v>232.22</v>
      </c>
      <c r="D142" s="279"/>
      <c r="E142" s="279">
        <v>14269.4</v>
      </c>
      <c r="F142" s="279"/>
      <c r="G142" s="279">
        <f>+E142</f>
        <v>14269.4</v>
      </c>
      <c r="H142" s="279"/>
      <c r="I142" s="279"/>
      <c r="J142" s="279"/>
      <c r="K142" s="279"/>
      <c r="L142" s="279"/>
      <c r="M142" s="279"/>
      <c r="N142" s="279"/>
      <c r="O142" s="279"/>
      <c r="P142" s="279"/>
      <c r="Q142" s="279"/>
      <c r="R142" s="279"/>
      <c r="S142" s="279"/>
      <c r="T142" s="279"/>
      <c r="U142" s="279"/>
    </row>
    <row r="143" spans="1:21" ht="15.75">
      <c r="A143" s="276" t="s">
        <v>1013</v>
      </c>
      <c r="B143" s="276"/>
      <c r="C143" s="89">
        <v>24</v>
      </c>
      <c r="D143" s="279"/>
      <c r="E143" s="279">
        <v>5212.8</v>
      </c>
      <c r="F143" s="279">
        <f>+E143</f>
        <v>5212.8</v>
      </c>
      <c r="G143" s="279"/>
      <c r="H143" s="279"/>
      <c r="I143" s="279"/>
      <c r="J143" s="279"/>
      <c r="K143" s="279"/>
      <c r="L143" s="279"/>
      <c r="M143" s="279"/>
      <c r="N143" s="279"/>
      <c r="O143" s="279"/>
      <c r="P143" s="279"/>
      <c r="Q143" s="279"/>
      <c r="R143" s="279"/>
      <c r="S143" s="279"/>
      <c r="T143" s="279"/>
      <c r="U143" s="279"/>
    </row>
    <row r="144" spans="1:21" ht="15.75">
      <c r="A144" s="276" t="s">
        <v>754</v>
      </c>
      <c r="B144" s="276" t="s">
        <v>953</v>
      </c>
      <c r="C144" s="89">
        <v>764.44</v>
      </c>
      <c r="D144" s="279">
        <v>51.27</v>
      </c>
      <c r="E144" s="279">
        <v>39192.89</v>
      </c>
      <c r="F144" s="279">
        <f>+E144</f>
        <v>39192.89</v>
      </c>
      <c r="G144" s="279"/>
      <c r="H144" s="279"/>
      <c r="I144" s="279"/>
      <c r="J144" s="279"/>
      <c r="K144" s="279"/>
      <c r="L144" s="279"/>
      <c r="M144" s="279"/>
      <c r="N144" s="279"/>
      <c r="O144" s="279"/>
      <c r="P144" s="279"/>
      <c r="Q144" s="279"/>
      <c r="R144" s="279"/>
      <c r="S144" s="279"/>
      <c r="T144" s="279"/>
      <c r="U144" s="279"/>
    </row>
    <row r="145" spans="1:21" ht="15.75">
      <c r="A145" s="276" t="s">
        <v>664</v>
      </c>
      <c r="B145" s="276"/>
      <c r="C145" s="89">
        <v>184.96</v>
      </c>
      <c r="D145" s="279"/>
      <c r="E145" s="279">
        <v>10932.71</v>
      </c>
      <c r="F145" s="279"/>
      <c r="G145" s="279">
        <f>+E145</f>
        <v>10932.71</v>
      </c>
      <c r="H145" s="279"/>
      <c r="I145" s="279"/>
      <c r="J145" s="279"/>
      <c r="K145" s="279"/>
      <c r="L145" s="279"/>
      <c r="M145" s="279"/>
      <c r="N145" s="279"/>
      <c r="O145" s="279"/>
      <c r="P145" s="279"/>
      <c r="Q145" s="279"/>
      <c r="R145" s="279"/>
      <c r="S145" s="279"/>
      <c r="T145" s="279"/>
      <c r="U145" s="279"/>
    </row>
    <row r="146" spans="1:21" ht="15.75">
      <c r="A146" s="276" t="s">
        <v>1013</v>
      </c>
      <c r="B146" s="276"/>
      <c r="C146" s="89">
        <v>22</v>
      </c>
      <c r="D146" s="279"/>
      <c r="E146" s="279">
        <v>4778.3999999999996</v>
      </c>
      <c r="F146" s="279">
        <f>+E146</f>
        <v>4778.3999999999996</v>
      </c>
      <c r="G146" s="279"/>
      <c r="H146" s="279"/>
      <c r="I146" s="279"/>
      <c r="J146" s="279"/>
      <c r="K146" s="279"/>
      <c r="L146" s="279"/>
      <c r="M146" s="279"/>
      <c r="N146" s="279"/>
      <c r="O146" s="279"/>
      <c r="P146" s="279"/>
      <c r="Q146" s="279"/>
      <c r="R146" s="279"/>
      <c r="S146" s="279"/>
      <c r="T146" s="279"/>
      <c r="U146" s="279"/>
    </row>
    <row r="147" spans="1:21" ht="15.75">
      <c r="A147" s="276" t="s">
        <v>754</v>
      </c>
      <c r="B147" s="276" t="s">
        <v>954</v>
      </c>
      <c r="C147" s="89">
        <v>346.43</v>
      </c>
      <c r="D147" s="279">
        <v>51.27</v>
      </c>
      <c r="E147" s="279">
        <v>17761.45</v>
      </c>
      <c r="F147" s="279">
        <f>+E147</f>
        <v>17761.45</v>
      </c>
      <c r="G147" s="279"/>
      <c r="H147" s="279"/>
      <c r="I147" s="279"/>
      <c r="J147" s="279"/>
      <c r="K147" s="279"/>
      <c r="L147" s="279"/>
      <c r="M147" s="279"/>
      <c r="N147" s="279"/>
      <c r="O147" s="279"/>
      <c r="P147" s="279"/>
      <c r="Q147" s="279"/>
      <c r="R147" s="279"/>
      <c r="S147" s="279"/>
      <c r="T147" s="279"/>
      <c r="U147" s="279"/>
    </row>
    <row r="148" spans="1:21" ht="15.75">
      <c r="A148" s="276" t="s">
        <v>664</v>
      </c>
      <c r="B148" s="276"/>
      <c r="C148" s="89">
        <v>150.29</v>
      </c>
      <c r="D148" s="279"/>
      <c r="E148" s="279">
        <v>8890.7199999999993</v>
      </c>
      <c r="F148" s="279"/>
      <c r="G148" s="279">
        <f>+E148</f>
        <v>8890.7199999999993</v>
      </c>
      <c r="H148" s="279"/>
      <c r="I148" s="279"/>
      <c r="J148" s="279"/>
      <c r="K148" s="279"/>
      <c r="L148" s="279"/>
      <c r="M148" s="279"/>
      <c r="N148" s="279"/>
      <c r="O148" s="279"/>
      <c r="P148" s="279"/>
      <c r="Q148" s="279"/>
      <c r="R148" s="279"/>
      <c r="S148" s="279"/>
      <c r="T148" s="279"/>
      <c r="U148" s="279"/>
    </row>
    <row r="149" spans="1:21" ht="15.75">
      <c r="A149" s="276" t="s">
        <v>1013</v>
      </c>
      <c r="B149" s="276"/>
      <c r="C149" s="89">
        <v>20</v>
      </c>
      <c r="D149" s="279"/>
      <c r="E149" s="279">
        <v>4344</v>
      </c>
      <c r="F149" s="279">
        <f>+E149</f>
        <v>4344</v>
      </c>
      <c r="G149" s="279"/>
      <c r="H149" s="279"/>
      <c r="I149" s="279"/>
      <c r="J149" s="279"/>
      <c r="K149" s="279"/>
      <c r="L149" s="279"/>
      <c r="M149" s="279"/>
      <c r="N149" s="279"/>
      <c r="O149" s="279"/>
      <c r="P149" s="279"/>
      <c r="Q149" s="279"/>
      <c r="R149" s="279"/>
      <c r="S149" s="279"/>
      <c r="T149" s="279"/>
      <c r="U149" s="279"/>
    </row>
    <row r="150" spans="1:21" ht="15.75">
      <c r="A150" s="272"/>
      <c r="B150" s="272"/>
      <c r="C150" s="309">
        <f>SUM(C117:C149)-C149-C146-C143-C140-C136-C133-C131-C128-C125</f>
        <v>10075</v>
      </c>
      <c r="D150" s="307"/>
      <c r="E150" s="307">
        <f>SUM(E117:E149)</f>
        <v>573256.24949999992</v>
      </c>
      <c r="F150" s="307">
        <f>SUM(F117:F149)</f>
        <v>464108.12950000004</v>
      </c>
      <c r="G150" s="307">
        <f>SUM(G117:G149)</f>
        <v>109148.12</v>
      </c>
      <c r="H150" s="275"/>
      <c r="I150" s="275"/>
      <c r="J150" s="275"/>
      <c r="K150" s="275"/>
      <c r="L150" s="275"/>
      <c r="M150" s="275"/>
      <c r="N150" s="275"/>
      <c r="O150" s="275"/>
      <c r="P150" s="275"/>
      <c r="Q150" s="275"/>
      <c r="R150" s="275"/>
      <c r="S150" s="275"/>
      <c r="T150" s="275"/>
      <c r="U150" s="275"/>
    </row>
    <row r="151" spans="1:21" ht="15.75">
      <c r="A151" s="260" t="s">
        <v>1008</v>
      </c>
      <c r="B151" s="281">
        <v>43101</v>
      </c>
      <c r="C151" s="89"/>
      <c r="D151" s="279"/>
      <c r="E151" s="279">
        <v>5379.9</v>
      </c>
      <c r="F151" s="279"/>
      <c r="G151" s="279"/>
      <c r="H151" s="279"/>
      <c r="I151" s="279"/>
      <c r="J151" s="89"/>
      <c r="K151" s="279"/>
      <c r="L151" s="279">
        <v>5379.9</v>
      </c>
      <c r="M151" s="279"/>
      <c r="N151" s="279"/>
      <c r="O151" s="279"/>
      <c r="P151" s="279"/>
      <c r="Q151" s="279"/>
      <c r="R151" s="279"/>
      <c r="S151" s="279"/>
      <c r="T151" s="279"/>
      <c r="U151" s="279"/>
    </row>
    <row r="152" spans="1:21" ht="15.75">
      <c r="A152" s="276"/>
      <c r="B152" s="281">
        <v>43132</v>
      </c>
      <c r="C152" s="89"/>
      <c r="D152" s="279"/>
      <c r="E152" s="279">
        <v>4579.8999999999996</v>
      </c>
      <c r="F152" s="279"/>
      <c r="G152" s="279"/>
      <c r="H152" s="279"/>
      <c r="I152" s="279"/>
      <c r="J152" s="89"/>
      <c r="K152" s="279"/>
      <c r="L152" s="279">
        <v>4579.8999999999996</v>
      </c>
      <c r="M152" s="279"/>
      <c r="N152" s="279"/>
      <c r="O152" s="279"/>
      <c r="P152" s="279"/>
      <c r="Q152" s="279"/>
      <c r="R152" s="279"/>
      <c r="S152" s="279"/>
      <c r="T152" s="279"/>
      <c r="U152" s="279"/>
    </row>
    <row r="153" spans="1:21" ht="15.75">
      <c r="A153" s="276"/>
      <c r="B153" s="281">
        <v>43160</v>
      </c>
      <c r="C153" s="89"/>
      <c r="D153" s="279"/>
      <c r="E153" s="279">
        <v>4379.8999999999996</v>
      </c>
      <c r="F153" s="279"/>
      <c r="G153" s="279"/>
      <c r="H153" s="279"/>
      <c r="I153" s="279"/>
      <c r="J153" s="89"/>
      <c r="K153" s="279"/>
      <c r="L153" s="279">
        <v>4379.8999999999996</v>
      </c>
      <c r="M153" s="279"/>
      <c r="N153" s="279"/>
      <c r="O153" s="279"/>
      <c r="P153" s="279"/>
      <c r="Q153" s="279"/>
      <c r="R153" s="279"/>
      <c r="S153" s="279"/>
      <c r="T153" s="279"/>
      <c r="U153" s="279"/>
    </row>
    <row r="154" spans="1:21" ht="15.75">
      <c r="A154" s="276"/>
      <c r="B154" s="281">
        <v>43191</v>
      </c>
      <c r="C154" s="89"/>
      <c r="D154" s="279"/>
      <c r="E154" s="279">
        <v>179.9</v>
      </c>
      <c r="F154" s="279"/>
      <c r="G154" s="279"/>
      <c r="H154" s="279"/>
      <c r="I154" s="279"/>
      <c r="J154" s="279">
        <v>179.9</v>
      </c>
      <c r="K154" s="279"/>
      <c r="L154" s="279"/>
      <c r="M154" s="279"/>
      <c r="N154" s="279"/>
      <c r="O154" s="279"/>
      <c r="P154" s="279"/>
      <c r="Q154" s="279"/>
      <c r="R154" s="279"/>
      <c r="S154" s="279"/>
      <c r="T154" s="279"/>
      <c r="U154" s="279"/>
    </row>
    <row r="155" spans="1:21" ht="15.75">
      <c r="A155" s="276"/>
      <c r="B155" s="281">
        <v>43221</v>
      </c>
      <c r="C155" s="89"/>
      <c r="D155" s="279"/>
      <c r="E155" s="279">
        <v>179.9</v>
      </c>
      <c r="F155" s="279"/>
      <c r="G155" s="279"/>
      <c r="H155" s="279"/>
      <c r="I155" s="279"/>
      <c r="J155" s="279">
        <v>179.9</v>
      </c>
      <c r="K155" s="279"/>
      <c r="L155" s="279"/>
      <c r="M155" s="279"/>
      <c r="N155" s="279"/>
      <c r="O155" s="279"/>
      <c r="P155" s="279"/>
      <c r="Q155" s="279"/>
      <c r="R155" s="279"/>
      <c r="S155" s="279"/>
      <c r="T155" s="279"/>
      <c r="U155" s="279"/>
    </row>
    <row r="156" spans="1:21" ht="15.75">
      <c r="A156" s="276"/>
      <c r="B156" s="281">
        <v>43252</v>
      </c>
      <c r="C156" s="89"/>
      <c r="D156" s="279"/>
      <c r="E156" s="279">
        <v>179.9</v>
      </c>
      <c r="F156" s="279"/>
      <c r="G156" s="279"/>
      <c r="H156" s="279"/>
      <c r="I156" s="279"/>
      <c r="J156" s="279">
        <v>179.9</v>
      </c>
      <c r="K156" s="279"/>
      <c r="L156" s="279"/>
      <c r="M156" s="279"/>
      <c r="N156" s="279"/>
      <c r="O156" s="279"/>
      <c r="P156" s="279"/>
      <c r="Q156" s="279"/>
      <c r="R156" s="279"/>
      <c r="S156" s="279"/>
      <c r="T156" s="279"/>
      <c r="U156" s="279"/>
    </row>
    <row r="157" spans="1:21" ht="15.75">
      <c r="A157" s="276"/>
      <c r="B157" s="281">
        <v>43282</v>
      </c>
      <c r="C157" s="89"/>
      <c r="D157" s="279"/>
      <c r="E157" s="279">
        <v>179.9</v>
      </c>
      <c r="F157" s="279"/>
      <c r="G157" s="279"/>
      <c r="H157" s="279"/>
      <c r="I157" s="279"/>
      <c r="J157" s="279">
        <v>179.9</v>
      </c>
      <c r="K157" s="279"/>
      <c r="L157" s="279"/>
      <c r="M157" s="279"/>
      <c r="N157" s="279"/>
      <c r="O157" s="279"/>
      <c r="P157" s="279"/>
      <c r="Q157" s="279"/>
      <c r="R157" s="279"/>
      <c r="S157" s="279"/>
      <c r="T157" s="279"/>
      <c r="U157" s="279"/>
    </row>
    <row r="158" spans="1:21" ht="15.75">
      <c r="A158" s="276"/>
      <c r="B158" s="281">
        <v>43313</v>
      </c>
      <c r="C158" s="89"/>
      <c r="D158" s="279"/>
      <c r="E158" s="279">
        <v>179.9</v>
      </c>
      <c r="F158" s="279"/>
      <c r="G158" s="279"/>
      <c r="H158" s="279"/>
      <c r="I158" s="279"/>
      <c r="J158" s="279">
        <v>179.9</v>
      </c>
      <c r="K158" s="279"/>
      <c r="L158" s="279"/>
      <c r="M158" s="279"/>
      <c r="N158" s="279"/>
      <c r="O158" s="279"/>
      <c r="P158" s="279"/>
      <c r="Q158" s="279"/>
      <c r="R158" s="279"/>
      <c r="S158" s="279"/>
      <c r="T158" s="279"/>
      <c r="U158" s="279"/>
    </row>
    <row r="159" spans="1:21" ht="15.75">
      <c r="A159" s="276"/>
      <c r="B159" s="281">
        <v>43344</v>
      </c>
      <c r="C159" s="89"/>
      <c r="D159" s="279"/>
      <c r="E159" s="279">
        <v>179.9</v>
      </c>
      <c r="F159" s="279"/>
      <c r="G159" s="279"/>
      <c r="H159" s="279"/>
      <c r="I159" s="279"/>
      <c r="J159" s="279">
        <v>179.9</v>
      </c>
      <c r="K159" s="279"/>
      <c r="L159" s="279"/>
      <c r="M159" s="279"/>
      <c r="N159" s="279"/>
      <c r="O159" s="279"/>
      <c r="P159" s="279"/>
      <c r="Q159" s="279"/>
      <c r="R159" s="279"/>
      <c r="S159" s="279"/>
      <c r="T159" s="279"/>
      <c r="U159" s="279"/>
    </row>
    <row r="160" spans="1:21" ht="15.75">
      <c r="A160" s="276"/>
      <c r="B160" s="281">
        <v>43374</v>
      </c>
      <c r="C160" s="89"/>
      <c r="D160" s="279"/>
      <c r="E160" s="279">
        <v>179.9</v>
      </c>
      <c r="F160" s="279"/>
      <c r="G160" s="279"/>
      <c r="H160" s="279"/>
      <c r="I160" s="279"/>
      <c r="J160" s="279">
        <v>179.9</v>
      </c>
      <c r="K160" s="279"/>
      <c r="L160" s="279"/>
      <c r="M160" s="279"/>
      <c r="N160" s="279"/>
      <c r="O160" s="279"/>
      <c r="P160" s="279"/>
      <c r="Q160" s="279"/>
      <c r="R160" s="279"/>
      <c r="S160" s="279"/>
      <c r="T160" s="279"/>
      <c r="U160" s="279"/>
    </row>
    <row r="161" spans="1:21" ht="15.75">
      <c r="A161" s="276"/>
      <c r="B161" s="281">
        <v>43405</v>
      </c>
      <c r="C161" s="89"/>
      <c r="D161" s="279"/>
      <c r="E161" s="279">
        <v>179.9</v>
      </c>
      <c r="F161" s="279"/>
      <c r="G161" s="279"/>
      <c r="H161" s="279"/>
      <c r="I161" s="279"/>
      <c r="J161" s="279">
        <v>179.9</v>
      </c>
      <c r="K161" s="279"/>
      <c r="L161" s="279"/>
      <c r="M161" s="279"/>
      <c r="N161" s="279"/>
      <c r="O161" s="279"/>
      <c r="P161" s="279"/>
      <c r="Q161" s="279"/>
      <c r="R161" s="279"/>
      <c r="S161" s="279"/>
      <c r="T161" s="279"/>
      <c r="U161" s="279"/>
    </row>
    <row r="162" spans="1:21" ht="15.75">
      <c r="A162" s="276"/>
      <c r="B162" s="281">
        <v>43435</v>
      </c>
      <c r="C162" s="89"/>
      <c r="D162" s="89"/>
      <c r="E162" s="279">
        <v>179.9</v>
      </c>
      <c r="F162" s="89"/>
      <c r="G162" s="89"/>
      <c r="H162" s="89"/>
      <c r="I162" s="89"/>
      <c r="J162" s="279">
        <v>179.9</v>
      </c>
      <c r="K162" s="89"/>
      <c r="L162" s="89"/>
      <c r="M162" s="89"/>
      <c r="N162" s="89"/>
      <c r="O162" s="89"/>
      <c r="P162" s="89"/>
      <c r="Q162" s="89"/>
      <c r="R162" s="89"/>
      <c r="S162" s="89"/>
      <c r="T162" s="89"/>
      <c r="U162" s="89"/>
    </row>
    <row r="163" spans="1:21" ht="15.75">
      <c r="A163" s="283"/>
      <c r="B163" s="284"/>
      <c r="C163" s="285"/>
      <c r="D163" s="286"/>
      <c r="E163" s="286">
        <f>SUM(E151:E162)</f>
        <v>15958.799999999996</v>
      </c>
      <c r="F163" s="286"/>
      <c r="G163" s="286"/>
      <c r="H163" s="286"/>
      <c r="I163" s="286"/>
      <c r="J163" s="286">
        <f>SUM(J151:J162)</f>
        <v>1619.1000000000004</v>
      </c>
      <c r="K163" s="286"/>
      <c r="L163" s="286">
        <f>SUM(L151:L162)</f>
        <v>14339.699999999999</v>
      </c>
      <c r="M163" s="286"/>
      <c r="N163" s="286"/>
      <c r="O163" s="286"/>
      <c r="P163" s="286"/>
      <c r="Q163" s="286"/>
      <c r="R163" s="286"/>
      <c r="S163" s="286"/>
      <c r="T163" s="286"/>
      <c r="U163" s="286"/>
    </row>
    <row r="164" spans="1:21" ht="15.75">
      <c r="A164" s="260" t="s">
        <v>1009</v>
      </c>
      <c r="B164" s="281">
        <v>43252</v>
      </c>
      <c r="C164" s="89"/>
      <c r="D164" s="279"/>
      <c r="E164" s="279">
        <v>220</v>
      </c>
      <c r="F164" s="279"/>
      <c r="G164" s="279"/>
      <c r="H164" s="279"/>
      <c r="I164" s="279"/>
      <c r="J164" s="279"/>
      <c r="K164" s="279">
        <v>220</v>
      </c>
      <c r="L164" s="279"/>
      <c r="M164" s="279"/>
      <c r="N164" s="279"/>
      <c r="O164" s="279"/>
      <c r="P164" s="279"/>
      <c r="Q164" s="279"/>
      <c r="R164" s="279"/>
      <c r="S164" s="279"/>
      <c r="T164" s="279"/>
      <c r="U164" s="279"/>
    </row>
    <row r="165" spans="1:21" ht="15.75">
      <c r="A165" s="260"/>
      <c r="B165" s="281">
        <v>43756</v>
      </c>
      <c r="C165" s="89"/>
      <c r="D165" s="279"/>
      <c r="E165" s="279">
        <v>176</v>
      </c>
      <c r="F165" s="279"/>
      <c r="G165" s="279"/>
      <c r="H165" s="279"/>
      <c r="I165" s="279"/>
      <c r="J165" s="279"/>
      <c r="K165" s="279">
        <v>176</v>
      </c>
      <c r="L165" s="279"/>
      <c r="M165" s="279"/>
      <c r="N165" s="279"/>
      <c r="O165" s="279"/>
      <c r="P165" s="279"/>
      <c r="Q165" s="279"/>
      <c r="R165" s="279"/>
      <c r="S165" s="279"/>
      <c r="T165" s="279"/>
      <c r="U165" s="279"/>
    </row>
    <row r="166" spans="1:21" ht="15.75">
      <c r="A166" s="283"/>
      <c r="B166" s="284"/>
      <c r="C166" s="285"/>
      <c r="D166" s="286"/>
      <c r="E166" s="286">
        <f>SUM(E164:E165)</f>
        <v>396</v>
      </c>
      <c r="F166" s="286"/>
      <c r="G166" s="286"/>
      <c r="H166" s="286"/>
      <c r="I166" s="286"/>
      <c r="J166" s="286"/>
      <c r="K166" s="286">
        <f>SUM(K164:K165)</f>
        <v>396</v>
      </c>
      <c r="L166" s="286"/>
      <c r="M166" s="286"/>
      <c r="N166" s="286"/>
      <c r="O166" s="286"/>
      <c r="P166" s="286"/>
      <c r="Q166" s="286"/>
      <c r="R166" s="286"/>
      <c r="S166" s="286"/>
      <c r="T166" s="286"/>
      <c r="U166" s="286"/>
    </row>
    <row r="167" spans="1:21" ht="15.75">
      <c r="A167" s="260" t="s">
        <v>1010</v>
      </c>
      <c r="B167" s="281">
        <v>43101</v>
      </c>
      <c r="C167" s="89"/>
      <c r="D167" s="279"/>
      <c r="E167" s="279">
        <v>973.27</v>
      </c>
      <c r="F167" s="279"/>
      <c r="G167" s="279"/>
      <c r="H167" s="279"/>
      <c r="I167" s="279"/>
      <c r="J167" s="279"/>
      <c r="K167" s="279">
        <v>973.27</v>
      </c>
      <c r="L167" s="279"/>
      <c r="M167" s="279"/>
      <c r="N167" s="279"/>
      <c r="O167" s="279"/>
      <c r="P167" s="279"/>
      <c r="Q167" s="279"/>
      <c r="R167" s="279"/>
      <c r="S167" s="279"/>
      <c r="T167" s="279"/>
      <c r="U167" s="279"/>
    </row>
    <row r="168" spans="1:21" ht="15.75">
      <c r="A168" s="283"/>
      <c r="B168" s="284"/>
      <c r="C168" s="285"/>
      <c r="D168" s="286"/>
      <c r="E168" s="310">
        <f>E167</f>
        <v>973.27</v>
      </c>
      <c r="F168" s="310"/>
      <c r="G168" s="310"/>
      <c r="H168" s="310"/>
      <c r="I168" s="310"/>
      <c r="J168" s="310"/>
      <c r="K168" s="310">
        <f>K167</f>
        <v>973.27</v>
      </c>
      <c r="L168" s="310"/>
      <c r="M168" s="310"/>
      <c r="N168" s="310"/>
      <c r="O168" s="310"/>
      <c r="P168" s="310"/>
      <c r="Q168" s="310"/>
      <c r="R168" s="310"/>
      <c r="S168" s="310"/>
      <c r="T168" s="286"/>
      <c r="U168" s="286"/>
    </row>
    <row r="169" spans="1:21" ht="15.75">
      <c r="A169" s="276"/>
      <c r="B169" s="281"/>
      <c r="C169" s="89"/>
      <c r="D169" s="279"/>
      <c r="E169" s="279">
        <f>SUM(E168,E166,E163,E150,E116,E103,E93,E80,E53,E18)</f>
        <v>8678644.1894999985</v>
      </c>
      <c r="F169" s="279">
        <f>+F150</f>
        <v>464108.12950000004</v>
      </c>
      <c r="G169" s="279">
        <f>+G150+G103</f>
        <v>208592.55</v>
      </c>
      <c r="H169" s="279">
        <f>+H116</f>
        <v>1493259.9699999997</v>
      </c>
      <c r="I169" s="279">
        <f>SUM(I116)</f>
        <v>2649450.6799999997</v>
      </c>
      <c r="J169" s="279">
        <f>+J80+J116+J163</f>
        <v>3741651.2299999995</v>
      </c>
      <c r="K169" s="279">
        <f>+K53+K166+K168</f>
        <v>1549.27</v>
      </c>
      <c r="L169" s="279">
        <f t="shared" ref="L169:S169" si="5">SUM(L168,L166,L163,L150,L116,L103,L93,L80,L53,L18)</f>
        <v>14339.699999999999</v>
      </c>
      <c r="M169" s="279">
        <f t="shared" si="5"/>
        <v>0</v>
      </c>
      <c r="N169" s="279">
        <f t="shared" si="5"/>
        <v>310</v>
      </c>
      <c r="O169" s="279">
        <f t="shared" si="5"/>
        <v>3821.8500000000004</v>
      </c>
      <c r="P169" s="279">
        <f t="shared" si="5"/>
        <v>2958.25</v>
      </c>
      <c r="Q169" s="279">
        <f t="shared" si="5"/>
        <v>11893.420000000002</v>
      </c>
      <c r="R169" s="279">
        <f t="shared" si="5"/>
        <v>2502.02</v>
      </c>
      <c r="S169" s="279">
        <f t="shared" si="5"/>
        <v>84207.12</v>
      </c>
      <c r="T169" s="279"/>
      <c r="U169" s="279"/>
    </row>
    <row r="170" spans="1:21" ht="15.75">
      <c r="A170" s="276" t="s">
        <v>988</v>
      </c>
      <c r="B170" s="276"/>
      <c r="C170" s="89"/>
      <c r="D170" s="279"/>
      <c r="E170" s="279"/>
      <c r="F170" s="279"/>
      <c r="G170" s="279"/>
      <c r="H170" s="279"/>
      <c r="I170" s="279"/>
      <c r="J170" s="279"/>
      <c r="K170" s="279"/>
      <c r="L170" s="279"/>
      <c r="M170" s="279"/>
      <c r="N170" s="279"/>
      <c r="O170" s="279"/>
      <c r="P170" s="279"/>
      <c r="Q170" s="279"/>
      <c r="R170" s="279"/>
      <c r="S170" s="279"/>
      <c r="T170" s="279"/>
      <c r="U170" s="279"/>
    </row>
    <row r="171" spans="1:21" ht="15.75">
      <c r="A171" s="297" t="s">
        <v>1014</v>
      </c>
      <c r="B171" s="276"/>
      <c r="C171" s="89">
        <f>+C117+C119+C121+C123+C126+C129+C134+C135+C138+C141+C144+C147</f>
        <v>8207.34</v>
      </c>
      <c r="D171" s="279"/>
      <c r="E171" s="279"/>
      <c r="F171" s="279"/>
      <c r="G171" s="279"/>
      <c r="H171" s="279"/>
      <c r="I171" s="279"/>
      <c r="J171" s="279"/>
      <c r="K171" s="279"/>
      <c r="L171" s="279"/>
      <c r="M171" s="279"/>
      <c r="N171" s="279"/>
      <c r="O171" s="279"/>
      <c r="P171" s="279"/>
      <c r="Q171" s="279"/>
      <c r="R171" s="279"/>
      <c r="S171" s="279"/>
      <c r="T171" s="279"/>
      <c r="U171" s="279"/>
    </row>
    <row r="172" spans="1:21" ht="15.75">
      <c r="A172" s="297" t="s">
        <v>1015</v>
      </c>
      <c r="B172" s="276"/>
      <c r="C172" s="89">
        <f>+C118+C120+C122+C124+C127+C130+C132+C137+C139+C142+C145+C148</f>
        <v>1867.66</v>
      </c>
      <c r="D172" s="279"/>
      <c r="E172" s="279"/>
      <c r="F172" s="279"/>
      <c r="G172" s="279"/>
      <c r="H172" s="279"/>
      <c r="I172" s="279"/>
      <c r="J172" s="279"/>
      <c r="K172" s="279"/>
      <c r="L172" s="279"/>
      <c r="M172" s="279"/>
      <c r="N172" s="279"/>
      <c r="O172" s="279"/>
      <c r="P172" s="279"/>
      <c r="Q172" s="279"/>
      <c r="R172" s="279"/>
      <c r="S172" s="279"/>
      <c r="T172" s="279"/>
      <c r="U172" s="279"/>
    </row>
    <row r="173" spans="1:21" ht="15.75">
      <c r="A173" s="298" t="s">
        <v>1016</v>
      </c>
      <c r="B173" s="276"/>
      <c r="C173" s="89">
        <f>+C125+C128+C131+C133+C136+C140+C143+C146+C149</f>
        <v>206</v>
      </c>
      <c r="D173" s="279"/>
      <c r="E173" s="279"/>
      <c r="F173" s="279"/>
      <c r="G173" s="279"/>
      <c r="H173" s="279"/>
      <c r="I173" s="279"/>
      <c r="J173" s="279"/>
      <c r="K173" s="279"/>
      <c r="L173" s="279"/>
      <c r="M173" s="279"/>
      <c r="N173" s="279"/>
      <c r="O173" s="279"/>
      <c r="P173" s="279"/>
      <c r="Q173" s="279"/>
      <c r="R173" s="279"/>
      <c r="S173" s="279"/>
      <c r="T173" s="279"/>
      <c r="U173" s="279"/>
    </row>
    <row r="174" spans="1:21" ht="15.75">
      <c r="A174" s="276"/>
      <c r="B174" s="276"/>
      <c r="C174" s="89"/>
      <c r="D174" s="279"/>
      <c r="E174" s="279"/>
      <c r="F174" s="279"/>
      <c r="G174" s="279"/>
      <c r="H174" s="279"/>
      <c r="I174" s="279"/>
      <c r="J174" s="279"/>
      <c r="K174" s="279"/>
      <c r="L174" s="279"/>
      <c r="M174" s="279"/>
      <c r="N174" s="279"/>
      <c r="O174" s="279"/>
      <c r="P174" s="279"/>
      <c r="Q174" s="279"/>
      <c r="R174" s="279"/>
      <c r="S174" s="279"/>
      <c r="T174" s="279"/>
      <c r="U174" s="279"/>
    </row>
    <row r="175" spans="1:21" ht="15.75">
      <c r="A175" s="298" t="s">
        <v>1017</v>
      </c>
      <c r="B175" s="276"/>
      <c r="C175" s="89"/>
      <c r="D175" s="279"/>
      <c r="E175" s="279"/>
      <c r="F175" s="279"/>
      <c r="G175" s="279"/>
      <c r="H175" s="279"/>
      <c r="I175" s="279"/>
      <c r="J175" s="279"/>
      <c r="K175" s="279"/>
      <c r="L175" s="279"/>
      <c r="M175" s="279"/>
      <c r="N175" s="279"/>
      <c r="O175" s="279"/>
      <c r="P175" s="279"/>
      <c r="Q175" s="279"/>
      <c r="R175" s="279"/>
      <c r="S175" s="279"/>
      <c r="T175" s="279"/>
      <c r="U175" s="279"/>
    </row>
    <row r="176" spans="1:21" ht="15.75">
      <c r="A176" s="297" t="s">
        <v>1014</v>
      </c>
      <c r="B176" s="276"/>
      <c r="C176" s="279">
        <f>+E117+E119+E121+E123+E126+E129+E134+E135+E138+E141+E144+E147</f>
        <v>419364.92949999997</v>
      </c>
      <c r="D176" s="279"/>
      <c r="E176" s="279"/>
      <c r="F176" s="279"/>
      <c r="G176" s="279"/>
      <c r="H176" s="279"/>
      <c r="I176" s="279"/>
      <c r="J176" s="279"/>
      <c r="K176" s="279"/>
      <c r="L176" s="279"/>
      <c r="M176" s="279"/>
      <c r="N176" s="279"/>
      <c r="O176" s="279"/>
      <c r="P176" s="279"/>
      <c r="Q176" s="279"/>
      <c r="R176" s="279"/>
      <c r="S176" s="279"/>
      <c r="T176" s="279"/>
      <c r="U176" s="279"/>
    </row>
    <row r="177" spans="1:21" ht="15.75">
      <c r="A177" s="297" t="s">
        <v>1015</v>
      </c>
      <c r="B177" s="276"/>
      <c r="C177" s="279">
        <f>+G150</f>
        <v>109148.12</v>
      </c>
      <c r="D177" s="279"/>
      <c r="E177" s="279"/>
      <c r="F177" s="279"/>
      <c r="G177" s="279"/>
      <c r="H177" s="279"/>
      <c r="I177" s="279"/>
      <c r="J177" s="279"/>
      <c r="K177" s="279"/>
      <c r="L177" s="279"/>
      <c r="M177" s="279"/>
      <c r="N177" s="279"/>
      <c r="O177" s="279"/>
      <c r="P177" s="279"/>
      <c r="Q177" s="279"/>
      <c r="R177" s="279"/>
      <c r="S177" s="279"/>
      <c r="T177" s="279"/>
      <c r="U177" s="279"/>
    </row>
    <row r="178" spans="1:21" ht="15.75">
      <c r="A178" s="298" t="s">
        <v>1016</v>
      </c>
      <c r="B178" s="276"/>
      <c r="C178" s="311">
        <f>+E125+E128+E131+E133+E136+E140+E143+E146+E149</f>
        <v>44743.200000000004</v>
      </c>
      <c r="D178" s="279"/>
      <c r="E178" s="279">
        <f>E169</f>
        <v>8678644.1894999985</v>
      </c>
      <c r="F178" s="279"/>
      <c r="G178" s="279"/>
      <c r="H178" s="279"/>
      <c r="I178" s="279"/>
      <c r="J178" s="279"/>
      <c r="K178" s="279"/>
      <c r="L178" s="279"/>
      <c r="M178" s="279"/>
      <c r="N178" s="279"/>
      <c r="O178" s="279"/>
      <c r="P178" s="279"/>
      <c r="Q178" s="279"/>
      <c r="R178" s="279"/>
      <c r="S178" s="279"/>
      <c r="T178" s="279"/>
      <c r="U178" s="279"/>
    </row>
    <row r="179" spans="1:21" ht="15.75">
      <c r="A179" s="276"/>
      <c r="B179" s="276"/>
      <c r="C179" s="279">
        <f>SUM(C176:C178)</f>
        <v>573256.24949999992</v>
      </c>
      <c r="D179" s="279"/>
      <c r="E179" s="279">
        <v>8660697.9900000002</v>
      </c>
      <c r="F179" s="279" t="s">
        <v>1011</v>
      </c>
      <c r="G179" s="279"/>
      <c r="H179" s="279"/>
      <c r="I179" s="279"/>
      <c r="J179" s="279"/>
      <c r="K179" s="279"/>
      <c r="L179" s="279"/>
      <c r="M179" s="279"/>
      <c r="N179" s="279"/>
      <c r="O179" s="279"/>
      <c r="P179" s="279"/>
      <c r="Q179" s="279"/>
      <c r="R179" s="279"/>
      <c r="S179" s="279"/>
      <c r="T179" s="279"/>
      <c r="U179" s="279"/>
    </row>
    <row r="180" spans="1:21" ht="15.75">
      <c r="A180" s="276"/>
      <c r="B180" s="276"/>
      <c r="C180" s="89"/>
      <c r="D180" s="279"/>
      <c r="E180" s="279">
        <f>SUM(E178-E179)</f>
        <v>17946.199499998242</v>
      </c>
      <c r="F180" s="279" t="s">
        <v>1012</v>
      </c>
      <c r="G180" s="279"/>
      <c r="H180" s="279"/>
      <c r="I180" s="279"/>
      <c r="J180" s="279"/>
      <c r="K180" s="279"/>
      <c r="L180" s="279"/>
      <c r="M180" s="279"/>
      <c r="N180" s="279"/>
      <c r="O180" s="279"/>
      <c r="P180" s="279"/>
      <c r="Q180" s="279"/>
      <c r="R180" s="279"/>
      <c r="S180" s="279"/>
      <c r="T180" s="279"/>
      <c r="U180" s="279"/>
    </row>
    <row r="181" spans="1:21" ht="15.75">
      <c r="A181" s="276"/>
      <c r="B181" s="276"/>
      <c r="C181" s="89"/>
      <c r="D181" s="279"/>
      <c r="E181" s="279"/>
      <c r="F181" s="279"/>
      <c r="G181" s="279"/>
      <c r="H181" s="279"/>
      <c r="I181" s="279"/>
      <c r="J181" s="279"/>
      <c r="K181" s="279"/>
      <c r="L181" s="279"/>
      <c r="M181" s="279"/>
      <c r="N181" s="279"/>
      <c r="O181" s="279"/>
      <c r="P181" s="279"/>
      <c r="Q181" s="279"/>
      <c r="R181" s="279"/>
      <c r="S181" s="279"/>
      <c r="T181" s="279"/>
      <c r="U181" s="279"/>
    </row>
    <row r="182" spans="1:21" ht="15.75">
      <c r="A182" s="298" t="s">
        <v>1018</v>
      </c>
      <c r="B182" s="276"/>
      <c r="C182" s="89"/>
      <c r="D182" s="279"/>
      <c r="E182" s="279"/>
      <c r="F182" s="279"/>
      <c r="G182" s="279"/>
      <c r="H182" s="279"/>
      <c r="I182" s="279"/>
      <c r="J182" s="279"/>
      <c r="K182" s="279"/>
      <c r="L182" s="279"/>
      <c r="M182" s="279"/>
      <c r="N182" s="279"/>
      <c r="O182" s="279"/>
      <c r="P182" s="279"/>
      <c r="Q182" s="279"/>
      <c r="R182" s="279"/>
      <c r="S182" s="279"/>
      <c r="T182" s="279"/>
      <c r="U182" s="279"/>
    </row>
    <row r="183" spans="1:21" ht="15.75">
      <c r="A183" s="297" t="s">
        <v>1014</v>
      </c>
      <c r="B183" s="276"/>
      <c r="C183" s="279">
        <f>(C117+C119+C121)*1.22</f>
        <v>1425.5211999999999</v>
      </c>
      <c r="D183" s="279"/>
      <c r="E183" s="279"/>
      <c r="F183" s="279"/>
      <c r="G183" s="279"/>
      <c r="H183" s="279"/>
      <c r="I183" s="279"/>
      <c r="J183" s="279"/>
      <c r="K183" s="279"/>
      <c r="L183" s="279"/>
      <c r="M183" s="279"/>
      <c r="N183" s="279"/>
      <c r="O183" s="279"/>
      <c r="P183" s="279"/>
      <c r="Q183" s="279"/>
      <c r="R183" s="279"/>
      <c r="S183" s="279"/>
      <c r="T183" s="279"/>
      <c r="U183" s="279"/>
    </row>
    <row r="184" spans="1:21" ht="15.75">
      <c r="A184" s="297" t="s">
        <v>1015</v>
      </c>
      <c r="B184" s="276"/>
      <c r="C184" s="279">
        <f>+(C118+C120+C122)*1.22</f>
        <v>487.04840000000002</v>
      </c>
      <c r="D184" s="279"/>
      <c r="E184" s="279"/>
      <c r="F184" s="279"/>
      <c r="G184" s="279"/>
      <c r="H184" s="279"/>
      <c r="I184" s="279"/>
      <c r="J184" s="279"/>
      <c r="K184" s="279"/>
      <c r="L184" s="279"/>
      <c r="M184" s="279"/>
      <c r="N184" s="279"/>
      <c r="O184" s="279"/>
      <c r="P184" s="279"/>
      <c r="Q184" s="279"/>
      <c r="R184" s="279"/>
      <c r="S184" s="279"/>
      <c r="T184" s="279"/>
      <c r="U184" s="279"/>
    </row>
    <row r="185" spans="1:21" ht="15.75">
      <c r="A185" s="298" t="s">
        <v>1016</v>
      </c>
      <c r="B185" s="276"/>
      <c r="C185" s="311">
        <f>+C173*12.5</f>
        <v>2575</v>
      </c>
      <c r="D185" s="279"/>
      <c r="E185" s="279"/>
      <c r="F185" s="279"/>
      <c r="G185" s="279"/>
      <c r="H185" s="279"/>
      <c r="I185" s="279"/>
      <c r="J185" s="279"/>
      <c r="K185" s="279"/>
      <c r="L185" s="279"/>
      <c r="M185" s="279"/>
      <c r="N185" s="279"/>
      <c r="O185" s="279"/>
      <c r="P185" s="279"/>
      <c r="Q185" s="279"/>
      <c r="R185" s="279"/>
      <c r="S185" s="279"/>
      <c r="T185" s="279"/>
      <c r="U185" s="279"/>
    </row>
    <row r="186" spans="1:21" ht="15.75">
      <c r="A186" s="276"/>
      <c r="B186" s="276"/>
      <c r="C186" s="279">
        <f>SUM(C183:C185)</f>
        <v>4487.5695999999998</v>
      </c>
      <c r="D186" s="279"/>
      <c r="E186" s="279"/>
      <c r="F186" s="279"/>
      <c r="G186" s="279"/>
      <c r="H186" s="279"/>
      <c r="I186" s="279"/>
      <c r="J186" s="279"/>
      <c r="K186" s="279"/>
      <c r="L186" s="279"/>
      <c r="M186" s="279"/>
      <c r="N186" s="279"/>
      <c r="O186" s="279"/>
      <c r="P186" s="279"/>
      <c r="Q186" s="279"/>
      <c r="R186" s="279"/>
      <c r="S186" s="279"/>
      <c r="T186" s="279"/>
      <c r="U186" s="279"/>
    </row>
    <row r="187" spans="1:21" ht="15.75">
      <c r="A187" s="276"/>
      <c r="B187" s="276"/>
      <c r="C187" s="89"/>
      <c r="D187" s="279"/>
      <c r="E187" s="279"/>
      <c r="F187" s="279"/>
      <c r="G187" s="279"/>
      <c r="H187" s="279"/>
      <c r="I187" s="279"/>
      <c r="J187" s="279"/>
      <c r="K187" s="279"/>
      <c r="L187" s="279"/>
      <c r="M187" s="279"/>
      <c r="N187" s="279"/>
      <c r="O187" s="279"/>
      <c r="P187" s="279"/>
      <c r="Q187" s="279"/>
      <c r="R187" s="279"/>
      <c r="S187" s="279"/>
      <c r="T187" s="279"/>
      <c r="U187" s="279"/>
    </row>
    <row r="188" spans="1:21" ht="15.75">
      <c r="A188" s="276"/>
      <c r="B188" s="276"/>
      <c r="C188" s="89"/>
      <c r="D188" s="279"/>
      <c r="E188" s="279"/>
      <c r="F188" s="279"/>
      <c r="G188" s="279"/>
      <c r="H188" s="279"/>
      <c r="I188" s="279"/>
      <c r="J188" s="279"/>
      <c r="K188" s="279"/>
      <c r="L188" s="279"/>
      <c r="M188" s="279"/>
      <c r="N188" s="279"/>
      <c r="O188" s="279"/>
      <c r="P188" s="279"/>
      <c r="Q188" s="279"/>
      <c r="R188" s="279"/>
      <c r="S188" s="279"/>
      <c r="T188" s="279"/>
      <c r="U188" s="279"/>
    </row>
    <row r="189" spans="1:21" ht="15.75">
      <c r="A189" s="276"/>
      <c r="B189" s="276"/>
      <c r="C189" s="89"/>
      <c r="D189" s="279"/>
      <c r="E189" s="279"/>
      <c r="F189" s="279"/>
      <c r="G189" s="279"/>
      <c r="H189" s="279"/>
      <c r="I189" s="279"/>
      <c r="J189" s="279"/>
      <c r="K189" s="279"/>
      <c r="L189" s="279"/>
      <c r="M189" s="279"/>
      <c r="N189" s="279"/>
      <c r="O189" s="279"/>
      <c r="P189" s="279"/>
      <c r="Q189" s="279"/>
      <c r="R189" s="279"/>
      <c r="S189" s="279"/>
      <c r="T189" s="279"/>
      <c r="U189" s="279"/>
    </row>
    <row r="190" spans="1:21" ht="15.75">
      <c r="A190" s="276"/>
      <c r="B190" s="276"/>
      <c r="C190" s="89"/>
      <c r="D190" s="279"/>
      <c r="E190" s="279"/>
      <c r="F190" s="279"/>
      <c r="G190" s="279"/>
      <c r="H190" s="279"/>
      <c r="I190" s="279"/>
      <c r="J190" s="279"/>
      <c r="K190" s="279"/>
      <c r="L190" s="279"/>
      <c r="M190" s="279"/>
      <c r="N190" s="279"/>
      <c r="O190" s="279"/>
      <c r="P190" s="279"/>
      <c r="Q190" s="279"/>
      <c r="R190" s="279"/>
      <c r="S190" s="279"/>
      <c r="T190" s="279"/>
      <c r="U190" s="279"/>
    </row>
    <row r="191" spans="1:21" ht="15.75">
      <c r="A191" s="276"/>
      <c r="B191" s="276"/>
      <c r="C191" s="89"/>
      <c r="D191" s="279"/>
      <c r="E191" s="279"/>
      <c r="F191" s="279"/>
      <c r="G191" s="279"/>
      <c r="H191" s="279"/>
      <c r="I191" s="279"/>
      <c r="J191" s="279"/>
      <c r="K191" s="279"/>
      <c r="L191" s="279"/>
      <c r="M191" s="279"/>
      <c r="N191" s="279"/>
      <c r="O191" s="279"/>
      <c r="P191" s="279"/>
      <c r="Q191" s="279"/>
      <c r="R191" s="279"/>
      <c r="S191" s="279"/>
      <c r="T191" s="279"/>
      <c r="U191" s="279"/>
    </row>
    <row r="192" spans="1:21" ht="15.75">
      <c r="A192" s="276"/>
      <c r="B192" s="276"/>
      <c r="C192" s="89"/>
      <c r="D192" s="279"/>
      <c r="E192" s="279"/>
      <c r="F192" s="279"/>
      <c r="G192" s="279"/>
      <c r="H192" s="279"/>
      <c r="I192" s="279"/>
      <c r="J192" s="279"/>
      <c r="K192" s="279"/>
      <c r="L192" s="279"/>
      <c r="M192" s="279"/>
      <c r="N192" s="279"/>
      <c r="O192" s="279"/>
      <c r="P192" s="279"/>
      <c r="Q192" s="279"/>
      <c r="R192" s="279"/>
      <c r="S192" s="279"/>
      <c r="T192" s="279"/>
      <c r="U192" s="279"/>
    </row>
    <row r="193" spans="1:21" ht="15.75">
      <c r="A193" s="276"/>
      <c r="B193" s="276"/>
      <c r="C193" s="89"/>
      <c r="D193" s="279"/>
      <c r="E193" s="279"/>
      <c r="F193" s="279"/>
      <c r="G193" s="279"/>
      <c r="H193" s="279"/>
      <c r="I193" s="279"/>
      <c r="J193" s="279"/>
      <c r="K193" s="279"/>
      <c r="L193" s="279"/>
      <c r="M193" s="279"/>
      <c r="N193" s="279"/>
      <c r="O193" s="279"/>
      <c r="P193" s="279"/>
      <c r="Q193" s="279"/>
      <c r="R193" s="279"/>
      <c r="S193" s="279"/>
      <c r="T193" s="279"/>
      <c r="U193" s="279"/>
    </row>
    <row r="194" spans="1:21" ht="15.75">
      <c r="A194" s="276"/>
      <c r="B194" s="276"/>
      <c r="C194" s="89"/>
      <c r="D194" s="279"/>
      <c r="E194" s="279"/>
      <c r="F194" s="279"/>
      <c r="G194" s="279"/>
      <c r="H194" s="279"/>
      <c r="I194" s="279"/>
      <c r="J194" s="279"/>
      <c r="K194" s="279"/>
      <c r="L194" s="279"/>
      <c r="M194" s="279"/>
      <c r="N194" s="279"/>
      <c r="O194" s="279"/>
      <c r="P194" s="279"/>
      <c r="Q194" s="279"/>
      <c r="R194" s="279"/>
      <c r="S194" s="279"/>
      <c r="T194" s="279"/>
      <c r="U194" s="279"/>
    </row>
    <row r="195" spans="1:21" ht="15.75">
      <c r="A195" s="276"/>
      <c r="B195" s="276"/>
      <c r="C195" s="89"/>
      <c r="D195" s="279"/>
      <c r="E195" s="279"/>
      <c r="F195" s="279"/>
      <c r="G195" s="279"/>
      <c r="H195" s="279"/>
      <c r="I195" s="279"/>
      <c r="J195" s="279"/>
      <c r="K195" s="279"/>
      <c r="L195" s="279"/>
      <c r="M195" s="279"/>
      <c r="N195" s="279"/>
      <c r="O195" s="279"/>
      <c r="P195" s="279"/>
      <c r="Q195" s="279"/>
      <c r="R195" s="279"/>
      <c r="S195" s="279"/>
      <c r="T195" s="279"/>
      <c r="U195" s="279"/>
    </row>
    <row r="196" spans="1:21" ht="15.75">
      <c r="A196" s="287"/>
      <c r="B196" s="293"/>
      <c r="C196" s="288"/>
      <c r="D196" s="290"/>
      <c r="E196" s="290"/>
      <c r="F196" s="294"/>
      <c r="G196" s="290"/>
      <c r="H196" s="290"/>
      <c r="I196" s="290"/>
      <c r="J196" s="290"/>
      <c r="K196" s="290"/>
      <c r="L196" s="290"/>
      <c r="M196" s="290"/>
      <c r="N196" s="290"/>
      <c r="O196" s="290"/>
      <c r="P196" s="290"/>
      <c r="Q196" s="290"/>
      <c r="R196" s="290"/>
      <c r="S196" s="290"/>
      <c r="T196" s="290"/>
      <c r="U196" s="290"/>
    </row>
    <row r="197" spans="1:21" ht="15.75">
      <c r="A197" s="287"/>
      <c r="B197" s="293"/>
      <c r="C197" s="288"/>
      <c r="D197" s="290"/>
      <c r="E197" s="290"/>
      <c r="F197" s="294"/>
      <c r="G197" s="290"/>
      <c r="H197" s="290"/>
      <c r="I197" s="290"/>
      <c r="J197" s="290"/>
      <c r="K197" s="290"/>
      <c r="L197" s="290"/>
      <c r="M197" s="290"/>
      <c r="N197" s="290"/>
      <c r="O197" s="290"/>
      <c r="P197" s="290"/>
      <c r="Q197" s="290"/>
      <c r="R197" s="290"/>
      <c r="S197" s="290"/>
      <c r="T197" s="290"/>
      <c r="U197" s="290"/>
    </row>
    <row r="198" spans="1:21" ht="15.75">
      <c r="A198" s="287"/>
      <c r="B198" s="287"/>
      <c r="C198" s="288"/>
      <c r="D198" s="290"/>
      <c r="E198" s="290"/>
      <c r="F198" s="294"/>
      <c r="G198" s="290"/>
      <c r="H198" s="290"/>
      <c r="I198" s="290"/>
      <c r="J198" s="290"/>
      <c r="K198" s="290"/>
      <c r="L198" s="290"/>
      <c r="M198" s="290"/>
      <c r="N198" s="290"/>
      <c r="O198" s="290"/>
      <c r="P198" s="290"/>
      <c r="Q198" s="290"/>
      <c r="R198" s="290"/>
      <c r="S198" s="290"/>
      <c r="T198" s="290"/>
      <c r="U198" s="290"/>
    </row>
    <row r="199" spans="1:21" ht="15.75">
      <c r="A199" s="287"/>
      <c r="B199" s="287"/>
      <c r="C199" s="288"/>
      <c r="D199" s="290"/>
      <c r="E199" s="290"/>
      <c r="F199" s="294"/>
      <c r="G199" s="290"/>
      <c r="H199" s="290"/>
      <c r="I199" s="290"/>
      <c r="J199" s="290"/>
      <c r="K199" s="290"/>
      <c r="L199" s="290"/>
      <c r="M199" s="290"/>
      <c r="N199" s="290"/>
      <c r="O199" s="290"/>
      <c r="P199" s="290"/>
      <c r="Q199" s="290"/>
      <c r="R199" s="290"/>
      <c r="S199" s="290"/>
      <c r="T199" s="290"/>
      <c r="U199" s="290"/>
    </row>
    <row r="200" spans="1:21" ht="15.75">
      <c r="A200" s="287"/>
      <c r="B200" s="287"/>
      <c r="C200" s="288"/>
      <c r="D200" s="290"/>
      <c r="E200" s="290"/>
      <c r="F200" s="294"/>
      <c r="G200" s="290"/>
      <c r="H200" s="290"/>
      <c r="I200" s="290"/>
      <c r="J200" s="290"/>
      <c r="K200" s="290"/>
      <c r="L200" s="290"/>
      <c r="M200" s="290"/>
      <c r="N200" s="290"/>
      <c r="O200" s="290"/>
      <c r="P200" s="290"/>
      <c r="Q200" s="290"/>
      <c r="R200" s="290"/>
      <c r="S200" s="290"/>
      <c r="T200" s="290"/>
      <c r="U200" s="290"/>
    </row>
    <row r="201" spans="1:21" ht="15.75">
      <c r="A201" s="287"/>
      <c r="B201" s="287"/>
      <c r="C201" s="288"/>
      <c r="D201" s="290"/>
      <c r="E201" s="290"/>
      <c r="F201" s="294"/>
      <c r="G201" s="290"/>
      <c r="H201" s="290"/>
      <c r="I201" s="290"/>
      <c r="J201" s="290"/>
      <c r="K201" s="290"/>
      <c r="L201" s="290"/>
      <c r="M201" s="290"/>
      <c r="N201" s="290"/>
      <c r="O201" s="290"/>
      <c r="P201" s="290"/>
      <c r="Q201" s="290"/>
      <c r="R201" s="290"/>
      <c r="S201" s="290"/>
      <c r="T201" s="290"/>
      <c r="U201" s="290"/>
    </row>
    <row r="202" spans="1:21" ht="15.75">
      <c r="A202" s="287"/>
      <c r="B202" s="287"/>
      <c r="C202" s="288"/>
      <c r="D202" s="290"/>
      <c r="E202" s="290"/>
      <c r="F202" s="294"/>
      <c r="G202" s="290"/>
      <c r="H202" s="290"/>
      <c r="I202" s="290"/>
      <c r="J202" s="290"/>
      <c r="K202" s="290"/>
      <c r="L202" s="290"/>
      <c r="M202" s="290"/>
      <c r="N202" s="290"/>
      <c r="O202" s="290"/>
      <c r="P202" s="290"/>
      <c r="Q202" s="290"/>
      <c r="R202" s="290"/>
      <c r="S202" s="290"/>
      <c r="T202" s="290"/>
      <c r="U202" s="290"/>
    </row>
    <row r="203" spans="1:21" ht="15.75">
      <c r="A203" s="287"/>
      <c r="B203" s="287"/>
      <c r="C203" s="288"/>
      <c r="D203" s="290"/>
      <c r="E203" s="290"/>
      <c r="F203" s="294"/>
      <c r="G203" s="290"/>
      <c r="H203" s="290"/>
      <c r="I203" s="290"/>
      <c r="J203" s="290"/>
      <c r="K203" s="290"/>
      <c r="L203" s="290"/>
      <c r="M203" s="290"/>
      <c r="N203" s="290"/>
      <c r="O203" s="290"/>
      <c r="P203" s="290"/>
      <c r="Q203" s="290"/>
      <c r="R203" s="290"/>
      <c r="S203" s="290"/>
      <c r="T203" s="290"/>
      <c r="U203" s="290"/>
    </row>
    <row r="204" spans="1:21" ht="15.75">
      <c r="A204" s="287"/>
      <c r="B204" s="287"/>
      <c r="C204" s="288"/>
      <c r="D204" s="290"/>
      <c r="E204" s="290"/>
      <c r="F204" s="294"/>
      <c r="G204" s="290"/>
      <c r="H204" s="290"/>
      <c r="I204" s="290"/>
      <c r="J204" s="290"/>
      <c r="K204" s="290"/>
      <c r="L204" s="290"/>
      <c r="M204" s="290"/>
      <c r="N204" s="290"/>
      <c r="O204" s="290"/>
      <c r="P204" s="290"/>
      <c r="Q204" s="290"/>
      <c r="R204" s="290"/>
      <c r="S204" s="290"/>
      <c r="T204" s="290"/>
      <c r="U204" s="290"/>
    </row>
    <row r="205" spans="1:21" ht="15.75">
      <c r="A205" s="287"/>
      <c r="B205" s="287"/>
      <c r="C205" s="288"/>
      <c r="D205" s="290"/>
      <c r="E205" s="290"/>
      <c r="F205" s="294"/>
      <c r="G205" s="290"/>
      <c r="H205" s="290"/>
      <c r="I205" s="290"/>
      <c r="J205" s="290"/>
      <c r="K205" s="290"/>
      <c r="L205" s="290"/>
      <c r="M205" s="290"/>
      <c r="N205" s="290"/>
      <c r="O205" s="290"/>
      <c r="P205" s="290"/>
      <c r="Q205" s="290"/>
      <c r="R205" s="290"/>
      <c r="S205" s="290"/>
      <c r="T205" s="290"/>
      <c r="U205" s="290"/>
    </row>
    <row r="206" spans="1:21" ht="15.75">
      <c r="A206" s="287"/>
      <c r="B206" s="287"/>
      <c r="C206" s="288"/>
      <c r="D206" s="290"/>
      <c r="E206" s="290"/>
      <c r="F206" s="294"/>
      <c r="G206" s="290"/>
      <c r="H206" s="290"/>
      <c r="I206" s="290"/>
      <c r="J206" s="290"/>
      <c r="K206" s="290"/>
      <c r="L206" s="290"/>
      <c r="M206" s="290"/>
      <c r="N206" s="290"/>
      <c r="O206" s="290"/>
      <c r="P206" s="290"/>
      <c r="Q206" s="290"/>
      <c r="R206" s="290"/>
      <c r="S206" s="290"/>
      <c r="T206" s="290"/>
      <c r="U206" s="290"/>
    </row>
    <row r="207" spans="1:21" ht="15.75">
      <c r="A207" s="287"/>
      <c r="B207" s="287"/>
      <c r="C207" s="288"/>
      <c r="D207" s="290"/>
      <c r="E207" s="290"/>
      <c r="F207" s="294"/>
      <c r="G207" s="290"/>
      <c r="H207" s="290"/>
      <c r="I207" s="290"/>
      <c r="J207" s="290"/>
      <c r="K207" s="290"/>
      <c r="L207" s="290"/>
      <c r="M207" s="290"/>
      <c r="N207" s="290"/>
      <c r="O207" s="290"/>
      <c r="P207" s="290"/>
      <c r="Q207" s="290"/>
      <c r="R207" s="290"/>
      <c r="S207" s="290"/>
      <c r="T207" s="290"/>
      <c r="U207" s="290"/>
    </row>
    <row r="208" spans="1:21" ht="15.75">
      <c r="A208" s="287"/>
      <c r="B208" s="287"/>
      <c r="C208" s="288"/>
      <c r="D208" s="290"/>
      <c r="E208" s="290"/>
      <c r="F208" s="294"/>
      <c r="G208" s="290"/>
      <c r="H208" s="290"/>
      <c r="I208" s="290"/>
      <c r="J208" s="290"/>
      <c r="K208" s="290"/>
      <c r="L208" s="290"/>
      <c r="M208" s="290"/>
      <c r="N208" s="290"/>
      <c r="O208" s="290"/>
      <c r="P208" s="290"/>
      <c r="Q208" s="290"/>
      <c r="R208" s="290"/>
      <c r="S208" s="290"/>
      <c r="T208" s="290"/>
      <c r="U208" s="290"/>
    </row>
    <row r="209" spans="1:21" ht="15.75">
      <c r="A209" s="287"/>
      <c r="B209" s="287"/>
      <c r="C209" s="288"/>
      <c r="D209" s="290"/>
      <c r="E209" s="290"/>
      <c r="F209" s="294"/>
      <c r="G209" s="290"/>
      <c r="H209" s="290"/>
      <c r="I209" s="290"/>
      <c r="J209" s="290"/>
      <c r="K209" s="290"/>
      <c r="L209" s="290"/>
      <c r="M209" s="290"/>
      <c r="N209" s="290"/>
      <c r="O209" s="290"/>
      <c r="P209" s="290"/>
      <c r="Q209" s="290"/>
      <c r="R209" s="290"/>
      <c r="S209" s="290"/>
      <c r="T209" s="290"/>
      <c r="U209" s="290"/>
    </row>
    <row r="210" spans="1:21" ht="15.75">
      <c r="A210" s="287"/>
      <c r="B210" s="287"/>
      <c r="C210" s="288"/>
      <c r="D210" s="290"/>
      <c r="E210" s="290"/>
      <c r="F210" s="294"/>
      <c r="G210" s="290"/>
      <c r="H210" s="290"/>
      <c r="I210" s="290"/>
      <c r="J210" s="290"/>
      <c r="K210" s="290"/>
      <c r="L210" s="290"/>
      <c r="M210" s="290"/>
      <c r="N210" s="290"/>
      <c r="O210" s="290"/>
      <c r="P210" s="290"/>
      <c r="Q210" s="290"/>
      <c r="R210" s="290"/>
      <c r="S210" s="290"/>
      <c r="T210" s="290"/>
      <c r="U210" s="290"/>
    </row>
    <row r="211" spans="1:21" ht="15.75">
      <c r="A211" s="287"/>
      <c r="B211" s="287"/>
      <c r="C211" s="288"/>
      <c r="D211" s="290"/>
      <c r="E211" s="290"/>
      <c r="F211" s="294"/>
      <c r="G211" s="290"/>
      <c r="H211" s="290"/>
      <c r="I211" s="290"/>
      <c r="J211" s="290"/>
      <c r="K211" s="290"/>
      <c r="L211" s="290"/>
      <c r="M211" s="290"/>
      <c r="N211" s="290"/>
      <c r="O211" s="290"/>
      <c r="P211" s="290"/>
      <c r="Q211" s="290"/>
      <c r="R211" s="290"/>
      <c r="S211" s="290"/>
      <c r="T211" s="290"/>
      <c r="U211" s="290"/>
    </row>
    <row r="212" spans="1:21" ht="15.75">
      <c r="A212" s="287"/>
      <c r="B212" s="287"/>
      <c r="C212" s="288"/>
      <c r="D212" s="290"/>
      <c r="E212" s="290"/>
      <c r="F212" s="294"/>
      <c r="G212" s="290"/>
      <c r="H212" s="290"/>
      <c r="I212" s="290"/>
      <c r="J212" s="290"/>
      <c r="K212" s="290"/>
      <c r="L212" s="290"/>
      <c r="M212" s="290"/>
      <c r="N212" s="290"/>
      <c r="O212" s="290"/>
      <c r="P212" s="290"/>
      <c r="Q212" s="290"/>
      <c r="R212" s="290"/>
      <c r="S212" s="290"/>
      <c r="T212" s="290"/>
      <c r="U212" s="290"/>
    </row>
    <row r="213" spans="1:21" ht="15.75">
      <c r="A213" s="287"/>
      <c r="B213" s="287"/>
      <c r="C213" s="288"/>
      <c r="D213" s="290"/>
      <c r="E213" s="290"/>
      <c r="F213" s="294"/>
      <c r="G213" s="290"/>
      <c r="H213" s="290"/>
      <c r="I213" s="290"/>
      <c r="J213" s="290"/>
      <c r="K213" s="290"/>
      <c r="L213" s="290"/>
      <c r="M213" s="290"/>
      <c r="N213" s="290"/>
      <c r="O213" s="290"/>
      <c r="P213" s="290"/>
      <c r="Q213" s="290"/>
      <c r="R213" s="290"/>
      <c r="S213" s="290"/>
      <c r="T213" s="290"/>
      <c r="U213" s="290"/>
    </row>
    <row r="214" spans="1:21" ht="15.75">
      <c r="A214" s="287"/>
      <c r="B214" s="287"/>
      <c r="C214" s="288"/>
      <c r="D214" s="290"/>
      <c r="E214" s="290"/>
      <c r="F214" s="294"/>
      <c r="G214" s="290"/>
      <c r="H214" s="290"/>
      <c r="I214" s="290"/>
      <c r="J214" s="290"/>
      <c r="K214" s="290"/>
      <c r="L214" s="290"/>
      <c r="M214" s="290"/>
      <c r="N214" s="290"/>
      <c r="O214" s="290"/>
      <c r="P214" s="290"/>
      <c r="Q214" s="290"/>
      <c r="R214" s="290"/>
      <c r="S214" s="290"/>
      <c r="T214" s="290"/>
      <c r="U214" s="290"/>
    </row>
    <row r="215" spans="1:21" ht="15.75">
      <c r="A215" s="287"/>
      <c r="B215" s="287"/>
      <c r="C215" s="288"/>
      <c r="D215" s="290"/>
      <c r="E215" s="290"/>
      <c r="F215" s="294"/>
      <c r="G215" s="290"/>
      <c r="H215" s="290"/>
      <c r="I215" s="290"/>
      <c r="J215" s="290"/>
      <c r="K215" s="290"/>
      <c r="L215" s="290"/>
      <c r="M215" s="290"/>
      <c r="N215" s="290"/>
      <c r="O215" s="290"/>
      <c r="P215" s="290"/>
      <c r="Q215" s="290"/>
      <c r="R215" s="290"/>
      <c r="S215" s="290"/>
      <c r="T215" s="290"/>
      <c r="U215" s="290"/>
    </row>
    <row r="216" spans="1:21" ht="15.75">
      <c r="A216" s="287"/>
      <c r="B216" s="287"/>
      <c r="C216" s="288"/>
      <c r="D216" s="290"/>
      <c r="E216" s="290"/>
      <c r="F216" s="290"/>
      <c r="G216" s="290"/>
      <c r="H216" s="290"/>
      <c r="I216" s="290"/>
      <c r="J216" s="290"/>
      <c r="K216" s="290"/>
      <c r="L216" s="290"/>
      <c r="M216" s="290"/>
      <c r="N216" s="290"/>
      <c r="O216" s="290"/>
      <c r="P216" s="290"/>
      <c r="Q216" s="290"/>
      <c r="R216" s="290"/>
      <c r="S216" s="290"/>
      <c r="T216" s="290"/>
      <c r="U216" s="290"/>
    </row>
    <row r="217" spans="1:21" ht="15.75">
      <c r="A217" s="287"/>
      <c r="B217" s="287"/>
      <c r="C217" s="288"/>
      <c r="D217" s="290"/>
      <c r="E217" s="290"/>
      <c r="F217" s="290"/>
      <c r="G217" s="290"/>
      <c r="H217" s="290"/>
      <c r="I217" s="290"/>
      <c r="J217" s="290"/>
      <c r="K217" s="290"/>
      <c r="L217" s="290"/>
      <c r="M217" s="290"/>
      <c r="N217" s="290"/>
      <c r="O217" s="290"/>
      <c r="P217" s="290"/>
      <c r="Q217" s="290"/>
      <c r="R217" s="290"/>
      <c r="S217" s="290"/>
      <c r="T217" s="290"/>
      <c r="U217" s="290"/>
    </row>
    <row r="218" spans="1:21" ht="15.75">
      <c r="A218" s="291"/>
      <c r="B218" s="291"/>
      <c r="C218" s="295"/>
      <c r="D218" s="292"/>
      <c r="E218" s="292"/>
      <c r="F218" s="292"/>
      <c r="G218" s="292"/>
      <c r="H218" s="292"/>
      <c r="I218" s="292"/>
      <c r="J218" s="292"/>
      <c r="K218" s="292"/>
      <c r="L218" s="292"/>
      <c r="M218" s="292"/>
      <c r="N218" s="292"/>
      <c r="O218" s="292"/>
      <c r="P218" s="292"/>
      <c r="Q218" s="292"/>
      <c r="R218" s="292"/>
      <c r="S218" s="292"/>
      <c r="T218" s="292"/>
      <c r="U218" s="292"/>
    </row>
    <row r="219" spans="1:21" ht="15.75">
      <c r="A219" s="287"/>
      <c r="B219" s="293"/>
      <c r="C219" s="288"/>
      <c r="D219" s="290"/>
      <c r="E219" s="290"/>
      <c r="F219" s="290"/>
      <c r="G219" s="290"/>
      <c r="H219" s="290"/>
      <c r="I219" s="290"/>
      <c r="J219" s="288"/>
      <c r="K219" s="290"/>
      <c r="L219" s="290"/>
      <c r="M219" s="290"/>
      <c r="N219" s="290"/>
      <c r="O219" s="290"/>
      <c r="P219" s="290"/>
      <c r="Q219" s="290"/>
      <c r="R219" s="290"/>
      <c r="S219" s="290"/>
      <c r="T219" s="290"/>
      <c r="U219" s="290"/>
    </row>
    <row r="220" spans="1:21" ht="15.75">
      <c r="A220" s="287"/>
      <c r="B220" s="293"/>
      <c r="C220" s="288"/>
      <c r="D220" s="290"/>
      <c r="E220" s="290"/>
      <c r="F220" s="290"/>
      <c r="G220" s="290"/>
      <c r="H220" s="290"/>
      <c r="I220" s="290"/>
      <c r="J220" s="288"/>
      <c r="K220" s="290"/>
      <c r="L220" s="290"/>
      <c r="M220" s="290"/>
      <c r="N220" s="290"/>
      <c r="O220" s="290"/>
      <c r="P220" s="290"/>
      <c r="Q220" s="290"/>
      <c r="R220" s="290"/>
      <c r="S220" s="290"/>
      <c r="T220" s="290"/>
      <c r="U220" s="290"/>
    </row>
    <row r="221" spans="1:21" ht="15.75">
      <c r="A221" s="287"/>
      <c r="B221" s="293"/>
      <c r="C221" s="288"/>
      <c r="D221" s="290"/>
      <c r="E221" s="290"/>
      <c r="F221" s="290"/>
      <c r="G221" s="290"/>
      <c r="H221" s="290"/>
      <c r="I221" s="290"/>
      <c r="J221" s="288"/>
      <c r="K221" s="290"/>
      <c r="L221" s="290"/>
      <c r="M221" s="290"/>
      <c r="N221" s="290"/>
      <c r="O221" s="290"/>
      <c r="P221" s="290"/>
      <c r="Q221" s="290"/>
      <c r="R221" s="290"/>
      <c r="S221" s="290"/>
      <c r="T221" s="290"/>
      <c r="U221" s="290"/>
    </row>
    <row r="222" spans="1:21" ht="15.75">
      <c r="A222" s="289"/>
      <c r="B222" s="293"/>
      <c r="C222" s="288"/>
      <c r="D222" s="290"/>
      <c r="E222" s="290"/>
      <c r="F222" s="290"/>
      <c r="G222" s="290"/>
      <c r="H222" s="290"/>
      <c r="I222" s="290"/>
      <c r="J222" s="288"/>
      <c r="K222" s="290"/>
      <c r="L222" s="290"/>
      <c r="M222" s="290"/>
      <c r="N222" s="290"/>
      <c r="O222" s="290"/>
      <c r="P222" s="290"/>
      <c r="Q222" s="290"/>
      <c r="R222" s="290"/>
      <c r="S222" s="290"/>
      <c r="T222" s="290"/>
      <c r="U222" s="290"/>
    </row>
    <row r="223" spans="1:21" ht="15.75">
      <c r="A223" s="287"/>
      <c r="B223" s="293"/>
      <c r="C223" s="288"/>
      <c r="D223" s="290"/>
      <c r="E223" s="290"/>
      <c r="F223" s="290"/>
      <c r="G223" s="290"/>
      <c r="H223" s="290"/>
      <c r="I223" s="290"/>
      <c r="J223" s="288"/>
      <c r="K223" s="290"/>
      <c r="L223" s="290"/>
      <c r="M223" s="290"/>
      <c r="N223" s="290"/>
      <c r="O223" s="290"/>
      <c r="P223" s="290"/>
      <c r="Q223" s="290"/>
      <c r="R223" s="290"/>
      <c r="S223" s="290"/>
      <c r="T223" s="290"/>
      <c r="U223" s="290"/>
    </row>
    <row r="224" spans="1:21" ht="15.75">
      <c r="A224" s="287"/>
      <c r="B224" s="293"/>
      <c r="C224" s="288"/>
      <c r="D224" s="290"/>
      <c r="E224" s="290"/>
      <c r="F224" s="290"/>
      <c r="G224" s="290"/>
      <c r="H224" s="290"/>
      <c r="I224" s="290"/>
      <c r="J224" s="288"/>
      <c r="K224" s="290"/>
      <c r="L224" s="290"/>
      <c r="M224" s="290"/>
      <c r="N224" s="290"/>
      <c r="O224" s="290"/>
      <c r="P224" s="290"/>
      <c r="Q224" s="290"/>
      <c r="R224" s="290"/>
      <c r="S224" s="290"/>
      <c r="T224" s="290"/>
      <c r="U224" s="290"/>
    </row>
    <row r="225" spans="1:21" ht="15.75">
      <c r="A225" s="287"/>
      <c r="B225" s="293"/>
      <c r="C225" s="288"/>
      <c r="D225" s="290"/>
      <c r="E225" s="290"/>
      <c r="F225" s="290"/>
      <c r="G225" s="290"/>
      <c r="H225" s="290"/>
      <c r="I225" s="290"/>
      <c r="J225" s="290"/>
      <c r="K225" s="290"/>
      <c r="L225" s="290"/>
      <c r="M225" s="290"/>
      <c r="N225" s="290"/>
      <c r="O225" s="290"/>
      <c r="P225" s="290"/>
      <c r="Q225" s="290"/>
      <c r="R225" s="290"/>
      <c r="S225" s="290"/>
      <c r="T225" s="290"/>
      <c r="U225" s="290"/>
    </row>
    <row r="226" spans="1:21" ht="15.75">
      <c r="A226" s="287"/>
      <c r="B226" s="293"/>
      <c r="C226" s="288"/>
      <c r="D226" s="290"/>
      <c r="E226" s="290"/>
      <c r="F226" s="290"/>
      <c r="G226" s="290"/>
      <c r="H226" s="290"/>
      <c r="I226" s="290"/>
      <c r="J226" s="290"/>
      <c r="K226" s="290"/>
      <c r="L226" s="290"/>
      <c r="M226" s="290"/>
      <c r="N226" s="290"/>
      <c r="O226" s="290"/>
      <c r="P226" s="290"/>
      <c r="Q226" s="290"/>
      <c r="R226" s="290"/>
      <c r="S226" s="290"/>
      <c r="T226" s="290"/>
      <c r="U226" s="290"/>
    </row>
    <row r="227" spans="1:21" ht="15.75">
      <c r="A227" s="287"/>
      <c r="B227" s="293"/>
      <c r="C227" s="288"/>
      <c r="D227" s="290"/>
      <c r="E227" s="290"/>
      <c r="F227" s="290"/>
      <c r="G227" s="290"/>
      <c r="H227" s="290"/>
      <c r="I227" s="290"/>
      <c r="J227" s="290"/>
      <c r="K227" s="290"/>
      <c r="L227" s="290"/>
      <c r="M227" s="290"/>
      <c r="N227" s="290"/>
      <c r="O227" s="290"/>
      <c r="P227" s="290"/>
      <c r="Q227" s="290"/>
      <c r="R227" s="290"/>
      <c r="S227" s="290"/>
      <c r="T227" s="290"/>
      <c r="U227" s="290"/>
    </row>
    <row r="228" spans="1:21" ht="15.75">
      <c r="A228" s="287"/>
      <c r="B228" s="293"/>
      <c r="C228" s="288"/>
      <c r="D228" s="290"/>
      <c r="E228" s="290"/>
      <c r="F228" s="290"/>
      <c r="G228" s="290"/>
      <c r="H228" s="290"/>
      <c r="I228" s="290"/>
      <c r="J228" s="290"/>
      <c r="K228" s="290"/>
      <c r="L228" s="290"/>
      <c r="M228" s="290"/>
      <c r="N228" s="290"/>
      <c r="O228" s="290"/>
      <c r="P228" s="290"/>
      <c r="Q228" s="290"/>
      <c r="R228" s="290"/>
      <c r="S228" s="290"/>
      <c r="T228" s="290"/>
      <c r="U228" s="290"/>
    </row>
    <row r="229" spans="1:21" ht="15.75">
      <c r="A229" s="287"/>
      <c r="B229" s="293"/>
      <c r="C229" s="288"/>
      <c r="D229" s="290"/>
      <c r="E229" s="290"/>
      <c r="F229" s="290"/>
      <c r="G229" s="290"/>
      <c r="H229" s="290"/>
      <c r="I229" s="290"/>
      <c r="J229" s="290"/>
      <c r="K229" s="290"/>
      <c r="L229" s="290"/>
      <c r="M229" s="290"/>
      <c r="N229" s="290"/>
      <c r="O229" s="290"/>
      <c r="P229" s="290"/>
      <c r="Q229" s="290"/>
      <c r="R229" s="290"/>
      <c r="S229" s="290"/>
      <c r="T229" s="290"/>
      <c r="U229" s="290"/>
    </row>
    <row r="230" spans="1:21" ht="15.75">
      <c r="A230" s="287"/>
      <c r="B230" s="293"/>
      <c r="C230" s="288"/>
      <c r="D230" s="290"/>
      <c r="E230" s="290"/>
      <c r="F230" s="290"/>
      <c r="G230" s="290"/>
      <c r="H230" s="290"/>
      <c r="I230" s="290"/>
      <c r="J230" s="290"/>
      <c r="K230" s="290"/>
      <c r="L230" s="290"/>
      <c r="M230" s="290"/>
      <c r="N230" s="290"/>
      <c r="O230" s="290"/>
      <c r="P230" s="290"/>
      <c r="Q230" s="290"/>
      <c r="R230" s="290"/>
      <c r="S230" s="290"/>
      <c r="T230" s="290"/>
      <c r="U230" s="290"/>
    </row>
    <row r="231" spans="1:21" ht="15.75">
      <c r="A231" s="287"/>
      <c r="B231" s="293"/>
      <c r="C231" s="288"/>
      <c r="D231" s="290"/>
      <c r="E231" s="290"/>
      <c r="F231" s="290"/>
      <c r="G231" s="290"/>
      <c r="H231" s="290"/>
      <c r="I231" s="290"/>
      <c r="J231" s="290"/>
      <c r="K231" s="290"/>
      <c r="L231" s="290"/>
      <c r="M231" s="290"/>
      <c r="N231" s="290"/>
      <c r="O231" s="290"/>
      <c r="P231" s="290"/>
      <c r="Q231" s="290"/>
      <c r="R231" s="290"/>
      <c r="S231" s="290"/>
      <c r="T231" s="290"/>
      <c r="U231" s="290"/>
    </row>
    <row r="232" spans="1:21" ht="15.75">
      <c r="A232" s="287"/>
      <c r="B232" s="293"/>
      <c r="C232" s="288"/>
      <c r="D232" s="290"/>
      <c r="E232" s="290"/>
      <c r="F232" s="290"/>
      <c r="G232" s="290"/>
      <c r="H232" s="290"/>
      <c r="I232" s="290"/>
      <c r="J232" s="290"/>
      <c r="K232" s="290"/>
      <c r="L232" s="290"/>
      <c r="M232" s="290"/>
      <c r="N232" s="290"/>
      <c r="O232" s="290"/>
      <c r="P232" s="290"/>
      <c r="Q232" s="290"/>
      <c r="R232" s="290"/>
      <c r="S232" s="290"/>
      <c r="T232" s="290"/>
      <c r="U232" s="290"/>
    </row>
    <row r="233" spans="1:21" ht="15.75">
      <c r="A233" s="287"/>
      <c r="B233" s="293"/>
      <c r="C233" s="288"/>
      <c r="D233" s="288"/>
      <c r="E233" s="290"/>
      <c r="F233" s="288"/>
      <c r="G233" s="288"/>
      <c r="H233" s="288"/>
      <c r="I233" s="288"/>
      <c r="J233" s="290"/>
      <c r="K233" s="288"/>
      <c r="L233" s="288"/>
      <c r="M233" s="288"/>
      <c r="N233" s="288"/>
      <c r="O233" s="288"/>
      <c r="P233" s="288"/>
      <c r="Q233" s="288"/>
      <c r="R233" s="288"/>
      <c r="S233" s="288"/>
      <c r="T233" s="288"/>
      <c r="U233" s="288"/>
    </row>
    <row r="234" spans="1:21" ht="15.75">
      <c r="A234" s="287"/>
      <c r="B234" s="293"/>
      <c r="C234" s="288"/>
      <c r="D234" s="290"/>
      <c r="E234" s="290"/>
      <c r="F234" s="290"/>
      <c r="G234" s="290"/>
      <c r="H234" s="290"/>
      <c r="I234" s="290"/>
      <c r="J234" s="290"/>
      <c r="K234" s="290"/>
      <c r="L234" s="290"/>
      <c r="M234" s="290"/>
      <c r="N234" s="290"/>
      <c r="O234" s="290"/>
      <c r="P234" s="290"/>
      <c r="Q234" s="290"/>
      <c r="R234" s="290"/>
      <c r="S234" s="290"/>
      <c r="T234" s="290"/>
      <c r="U234" s="290"/>
    </row>
    <row r="235" spans="1:21" ht="15.75">
      <c r="A235" s="287"/>
      <c r="B235" s="293"/>
      <c r="C235" s="288"/>
      <c r="D235" s="290"/>
      <c r="E235" s="290"/>
      <c r="F235" s="290"/>
      <c r="G235" s="290"/>
      <c r="H235" s="290"/>
      <c r="I235" s="290"/>
      <c r="J235" s="290"/>
      <c r="K235" s="290"/>
      <c r="L235" s="290"/>
      <c r="M235" s="290"/>
      <c r="N235" s="290"/>
      <c r="O235" s="290"/>
      <c r="P235" s="290"/>
      <c r="Q235" s="290"/>
      <c r="R235" s="290"/>
      <c r="S235" s="290"/>
      <c r="T235" s="290"/>
      <c r="U235" s="290"/>
    </row>
    <row r="236" spans="1:21" ht="15.75">
      <c r="A236" s="289"/>
      <c r="B236" s="293"/>
      <c r="C236" s="288"/>
      <c r="D236" s="290"/>
      <c r="E236" s="290"/>
      <c r="F236" s="290"/>
      <c r="G236" s="290"/>
      <c r="H236" s="290"/>
      <c r="I236" s="290"/>
      <c r="J236" s="290"/>
      <c r="K236" s="290"/>
      <c r="L236" s="290"/>
      <c r="M236" s="290"/>
      <c r="N236" s="290"/>
      <c r="O236" s="290"/>
      <c r="P236" s="290"/>
      <c r="Q236" s="290"/>
      <c r="R236" s="290"/>
      <c r="S236" s="290"/>
      <c r="T236" s="290"/>
      <c r="U236" s="290"/>
    </row>
    <row r="237" spans="1:21" ht="15.75">
      <c r="A237" s="289"/>
      <c r="B237" s="293"/>
      <c r="C237" s="288"/>
      <c r="D237" s="290"/>
      <c r="E237" s="290"/>
      <c r="F237" s="290"/>
      <c r="G237" s="290"/>
      <c r="H237" s="290"/>
      <c r="I237" s="290"/>
      <c r="J237" s="290"/>
      <c r="K237" s="290"/>
      <c r="L237" s="290"/>
      <c r="M237" s="290"/>
      <c r="N237" s="290"/>
      <c r="O237" s="290"/>
      <c r="P237" s="290"/>
      <c r="Q237" s="290"/>
      <c r="R237" s="290"/>
      <c r="S237" s="290"/>
      <c r="T237" s="290"/>
      <c r="U237" s="290"/>
    </row>
    <row r="238" spans="1:21" ht="15.75">
      <c r="A238" s="287"/>
      <c r="B238" s="293"/>
      <c r="C238" s="288"/>
      <c r="D238" s="290"/>
      <c r="E238" s="290"/>
      <c r="F238" s="290"/>
      <c r="G238" s="290"/>
      <c r="H238" s="290"/>
      <c r="I238" s="290"/>
      <c r="J238" s="290"/>
      <c r="K238" s="290"/>
      <c r="L238" s="290"/>
      <c r="M238" s="290"/>
      <c r="N238" s="290"/>
      <c r="O238" s="290"/>
      <c r="P238" s="290"/>
      <c r="Q238" s="290"/>
      <c r="R238" s="290"/>
      <c r="S238" s="290"/>
      <c r="T238" s="290"/>
      <c r="U238" s="290"/>
    </row>
    <row r="239" spans="1:21" ht="15.75">
      <c r="A239" s="289"/>
      <c r="B239" s="293"/>
      <c r="C239" s="288"/>
      <c r="D239" s="290"/>
      <c r="E239" s="290"/>
      <c r="F239" s="290"/>
      <c r="G239" s="290"/>
      <c r="H239" s="290"/>
      <c r="I239" s="290"/>
      <c r="J239" s="290"/>
      <c r="K239" s="290"/>
      <c r="L239" s="290"/>
      <c r="M239" s="290"/>
      <c r="N239" s="290"/>
      <c r="O239" s="290"/>
      <c r="P239" s="290"/>
      <c r="Q239" s="290"/>
      <c r="R239" s="290"/>
      <c r="S239" s="290"/>
      <c r="T239" s="290"/>
      <c r="U239" s="290"/>
    </row>
    <row r="240" spans="1:21" ht="15.75">
      <c r="A240" s="287"/>
      <c r="B240" s="293"/>
      <c r="C240" s="288"/>
      <c r="D240" s="290"/>
      <c r="E240" s="290"/>
      <c r="F240" s="290"/>
      <c r="G240" s="290"/>
      <c r="H240" s="290"/>
      <c r="I240" s="290"/>
      <c r="J240" s="290"/>
      <c r="K240" s="290"/>
      <c r="L240" s="290"/>
      <c r="M240" s="290"/>
      <c r="N240" s="290"/>
      <c r="O240" s="290"/>
      <c r="P240" s="290"/>
      <c r="Q240" s="290"/>
      <c r="R240" s="290"/>
      <c r="S240" s="290"/>
      <c r="T240" s="290"/>
      <c r="U240" s="290"/>
    </row>
    <row r="241" spans="1:21" ht="15.75">
      <c r="A241" s="287"/>
      <c r="B241" s="293"/>
      <c r="C241" s="288"/>
      <c r="D241" s="290"/>
      <c r="E241" s="290"/>
      <c r="F241" s="290"/>
      <c r="G241" s="290"/>
      <c r="H241" s="290"/>
      <c r="I241" s="290"/>
      <c r="J241" s="290"/>
      <c r="K241" s="290"/>
      <c r="L241" s="290"/>
      <c r="M241" s="290"/>
      <c r="N241" s="290"/>
      <c r="O241" s="290"/>
      <c r="P241" s="290"/>
      <c r="Q241" s="290"/>
      <c r="R241" s="290"/>
      <c r="S241" s="290"/>
      <c r="T241" s="290"/>
      <c r="U241" s="290"/>
    </row>
    <row r="242" spans="1:21" ht="15.75">
      <c r="A242" s="287"/>
      <c r="B242" s="287"/>
      <c r="C242" s="288"/>
      <c r="D242" s="290"/>
      <c r="E242" s="290"/>
      <c r="F242" s="290"/>
      <c r="G242" s="290"/>
      <c r="H242" s="290"/>
      <c r="I242" s="290"/>
      <c r="J242" s="290"/>
      <c r="K242" s="290"/>
      <c r="L242" s="290"/>
      <c r="M242" s="290"/>
      <c r="N242" s="290"/>
      <c r="O242" s="290"/>
      <c r="P242" s="290"/>
      <c r="Q242" s="290"/>
      <c r="R242" s="290"/>
      <c r="S242" s="290"/>
      <c r="T242" s="290"/>
      <c r="U242" s="290"/>
    </row>
    <row r="243" spans="1:21" ht="15.75">
      <c r="A243" s="287"/>
      <c r="B243" s="287"/>
      <c r="C243" s="288"/>
      <c r="D243" s="290"/>
      <c r="E243" s="290"/>
      <c r="F243" s="290"/>
      <c r="G243" s="290"/>
      <c r="H243" s="290"/>
      <c r="I243" s="290"/>
      <c r="J243" s="290"/>
      <c r="K243" s="290"/>
      <c r="L243" s="290"/>
      <c r="M243" s="290"/>
      <c r="N243" s="290"/>
      <c r="O243" s="290"/>
      <c r="P243" s="290"/>
      <c r="Q243" s="290"/>
      <c r="R243" s="290"/>
      <c r="S243" s="290"/>
      <c r="T243" s="290"/>
      <c r="U243" s="290"/>
    </row>
    <row r="244" spans="1:21" ht="15.75">
      <c r="A244" s="287"/>
      <c r="B244" s="287"/>
      <c r="C244" s="288"/>
      <c r="D244" s="290"/>
      <c r="E244" s="290"/>
      <c r="F244" s="290"/>
      <c r="G244" s="290"/>
      <c r="H244" s="290"/>
      <c r="I244" s="290"/>
      <c r="J244" s="290"/>
      <c r="K244" s="290"/>
      <c r="L244" s="290"/>
      <c r="M244" s="290"/>
      <c r="N244" s="290"/>
      <c r="O244" s="290"/>
      <c r="P244" s="290"/>
      <c r="Q244" s="290"/>
      <c r="R244" s="290"/>
      <c r="S244" s="290"/>
      <c r="T244" s="290"/>
      <c r="U244" s="290"/>
    </row>
    <row r="245" spans="1:21" ht="15.75">
      <c r="A245" s="287"/>
      <c r="B245" s="287"/>
      <c r="C245" s="288"/>
      <c r="D245" s="290"/>
      <c r="E245" s="290"/>
      <c r="F245" s="290"/>
      <c r="G245" s="290"/>
      <c r="H245" s="290"/>
      <c r="I245" s="290"/>
      <c r="J245" s="290"/>
      <c r="K245" s="290"/>
      <c r="L245" s="290"/>
      <c r="M245" s="290"/>
      <c r="N245" s="290"/>
      <c r="O245" s="290"/>
      <c r="P245" s="290"/>
      <c r="Q245" s="290"/>
      <c r="R245" s="290"/>
      <c r="S245" s="290"/>
      <c r="T245" s="290"/>
      <c r="U245" s="290"/>
    </row>
    <row r="246" spans="1:21" ht="15.75">
      <c r="A246" s="287"/>
      <c r="B246" s="287"/>
      <c r="C246" s="288"/>
      <c r="D246" s="290"/>
      <c r="E246" s="290"/>
      <c r="F246" s="290"/>
      <c r="G246" s="290"/>
      <c r="H246" s="290"/>
      <c r="I246" s="290"/>
      <c r="J246" s="290"/>
      <c r="K246" s="290"/>
      <c r="L246" s="290"/>
      <c r="M246" s="290"/>
      <c r="N246" s="290"/>
      <c r="O246" s="290"/>
      <c r="P246" s="290"/>
      <c r="Q246" s="290"/>
      <c r="R246" s="290"/>
      <c r="S246" s="290"/>
      <c r="T246" s="290"/>
      <c r="U246" s="290"/>
    </row>
    <row r="247" spans="1:21" ht="15.75">
      <c r="A247" s="287"/>
      <c r="B247" s="287"/>
      <c r="C247" s="288"/>
      <c r="D247" s="290"/>
      <c r="E247" s="290"/>
      <c r="F247" s="290"/>
      <c r="G247" s="290"/>
      <c r="H247" s="290"/>
      <c r="I247" s="290"/>
      <c r="J247" s="290"/>
      <c r="K247" s="290"/>
      <c r="L247" s="290"/>
      <c r="M247" s="290"/>
      <c r="N247" s="290"/>
      <c r="O247" s="290"/>
      <c r="P247" s="290"/>
      <c r="Q247" s="290"/>
      <c r="R247" s="290"/>
      <c r="S247" s="290"/>
      <c r="T247" s="290"/>
      <c r="U247" s="290"/>
    </row>
    <row r="248" spans="1:21" ht="15.75">
      <c r="A248" s="287"/>
      <c r="B248" s="287"/>
      <c r="C248" s="288"/>
      <c r="D248" s="290"/>
      <c r="E248" s="290"/>
      <c r="F248" s="290"/>
      <c r="G248" s="290"/>
      <c r="H248" s="290"/>
      <c r="I248" s="290"/>
      <c r="J248" s="290"/>
      <c r="K248" s="290"/>
      <c r="L248" s="290"/>
      <c r="M248" s="290"/>
      <c r="N248" s="290"/>
      <c r="O248" s="290"/>
      <c r="P248" s="290"/>
      <c r="Q248" s="290"/>
      <c r="R248" s="290"/>
      <c r="S248" s="290"/>
      <c r="T248" s="290"/>
      <c r="U248" s="290"/>
    </row>
    <row r="249" spans="1:21" ht="15.75">
      <c r="A249" s="287"/>
      <c r="B249" s="287"/>
      <c r="C249" s="288"/>
      <c r="D249" s="290"/>
      <c r="E249" s="290"/>
      <c r="F249" s="290"/>
      <c r="G249" s="290"/>
      <c r="H249" s="290"/>
      <c r="I249" s="290"/>
      <c r="J249" s="290"/>
      <c r="K249" s="290"/>
      <c r="L249" s="290"/>
      <c r="M249" s="290"/>
      <c r="N249" s="290"/>
      <c r="O249" s="290"/>
      <c r="P249" s="290"/>
      <c r="Q249" s="290"/>
      <c r="R249" s="290"/>
      <c r="S249" s="290"/>
      <c r="T249" s="290"/>
      <c r="U249" s="290"/>
    </row>
    <row r="250" spans="1:21" ht="15.75">
      <c r="A250" s="287"/>
      <c r="B250" s="287"/>
      <c r="C250" s="288"/>
      <c r="D250" s="290"/>
      <c r="E250" s="290"/>
      <c r="F250" s="290"/>
      <c r="G250" s="290"/>
      <c r="H250" s="290"/>
      <c r="I250" s="290"/>
      <c r="J250" s="290"/>
      <c r="K250" s="290"/>
      <c r="L250" s="290"/>
      <c r="M250" s="290"/>
      <c r="N250" s="290"/>
      <c r="O250" s="290"/>
      <c r="P250" s="290"/>
      <c r="Q250" s="290"/>
      <c r="R250" s="290"/>
      <c r="S250" s="290"/>
      <c r="T250" s="290"/>
      <c r="U250" s="290"/>
    </row>
    <row r="251" spans="1:21" ht="15.75">
      <c r="A251" s="287"/>
      <c r="B251" s="287"/>
      <c r="C251" s="288"/>
      <c r="D251" s="290"/>
      <c r="E251" s="290"/>
      <c r="F251" s="290"/>
      <c r="G251" s="290"/>
      <c r="H251" s="290"/>
      <c r="I251" s="290"/>
      <c r="J251" s="290"/>
      <c r="K251" s="290"/>
      <c r="L251" s="290"/>
      <c r="M251" s="290"/>
      <c r="N251" s="290"/>
      <c r="O251" s="290"/>
      <c r="P251" s="290"/>
      <c r="Q251" s="290"/>
      <c r="R251" s="290"/>
      <c r="S251" s="290"/>
      <c r="T251" s="290"/>
      <c r="U251" s="290"/>
    </row>
    <row r="252" spans="1:21" ht="15.75">
      <c r="A252" s="287"/>
      <c r="B252" s="287"/>
      <c r="C252" s="288"/>
      <c r="D252" s="290"/>
      <c r="E252" s="290"/>
      <c r="F252" s="290"/>
      <c r="G252" s="290"/>
      <c r="H252" s="290"/>
      <c r="I252" s="290"/>
      <c r="J252" s="290"/>
      <c r="K252" s="290"/>
      <c r="L252" s="290"/>
      <c r="M252" s="290"/>
      <c r="N252" s="290"/>
      <c r="O252" s="290"/>
      <c r="P252" s="290"/>
      <c r="Q252" s="290"/>
      <c r="R252" s="290"/>
      <c r="S252" s="290"/>
      <c r="T252" s="290"/>
      <c r="U252" s="290"/>
    </row>
    <row r="253" spans="1:21" ht="15.75">
      <c r="A253" s="287"/>
      <c r="B253" s="287"/>
      <c r="C253" s="288"/>
      <c r="D253" s="290"/>
      <c r="E253" s="290"/>
      <c r="F253" s="290"/>
      <c r="G253" s="290"/>
      <c r="H253" s="290"/>
      <c r="I253" s="290"/>
      <c r="J253" s="290"/>
      <c r="K253" s="290"/>
      <c r="L253" s="290"/>
      <c r="M253" s="290"/>
      <c r="N253" s="290"/>
      <c r="O253" s="290"/>
      <c r="P253" s="290"/>
      <c r="Q253" s="290"/>
      <c r="R253" s="290"/>
      <c r="S253" s="290"/>
      <c r="T253" s="290"/>
      <c r="U253" s="290"/>
    </row>
    <row r="254" spans="1:21" ht="15.75">
      <c r="A254" s="287"/>
      <c r="B254" s="287"/>
      <c r="C254" s="288"/>
      <c r="D254" s="290"/>
      <c r="E254" s="290"/>
      <c r="F254" s="290"/>
      <c r="G254" s="290"/>
      <c r="H254" s="290"/>
      <c r="I254" s="290"/>
      <c r="J254" s="290"/>
      <c r="K254" s="290"/>
      <c r="L254" s="290"/>
      <c r="M254" s="290"/>
      <c r="N254" s="290"/>
      <c r="O254" s="290"/>
      <c r="P254" s="290"/>
      <c r="Q254" s="290"/>
      <c r="R254" s="290"/>
      <c r="S254" s="290"/>
      <c r="T254" s="290"/>
      <c r="U254" s="290"/>
    </row>
    <row r="255" spans="1:21" ht="15.75">
      <c r="A255" s="287"/>
      <c r="B255" s="287"/>
      <c r="C255" s="288"/>
      <c r="D255" s="290"/>
      <c r="E255" s="290"/>
      <c r="F255" s="290"/>
      <c r="G255" s="290"/>
      <c r="H255" s="290"/>
      <c r="I255" s="290"/>
      <c r="J255" s="290"/>
      <c r="K255" s="290"/>
      <c r="L255" s="290"/>
      <c r="M255" s="290"/>
      <c r="N255" s="290"/>
      <c r="O255" s="290"/>
      <c r="P255" s="290"/>
      <c r="Q255" s="290"/>
      <c r="R255" s="290"/>
      <c r="S255" s="290"/>
      <c r="T255" s="290"/>
      <c r="U255" s="290"/>
    </row>
    <row r="256" spans="1:21" ht="15.75">
      <c r="A256" s="287"/>
      <c r="B256" s="287"/>
      <c r="C256" s="288"/>
      <c r="D256" s="290"/>
      <c r="E256" s="290"/>
      <c r="F256" s="290"/>
      <c r="G256" s="290"/>
      <c r="H256" s="290"/>
      <c r="I256" s="290"/>
      <c r="J256" s="290"/>
      <c r="K256" s="290"/>
      <c r="L256" s="290"/>
      <c r="M256" s="290"/>
      <c r="N256" s="290"/>
      <c r="O256" s="290"/>
      <c r="P256" s="290"/>
      <c r="Q256" s="290"/>
      <c r="R256" s="290"/>
      <c r="S256" s="290"/>
      <c r="T256" s="290"/>
      <c r="U256" s="290"/>
    </row>
    <row r="257" spans="1:21" ht="15.75">
      <c r="A257" s="287"/>
      <c r="B257" s="287"/>
      <c r="C257" s="288"/>
      <c r="D257" s="290"/>
      <c r="E257" s="290"/>
      <c r="F257" s="290"/>
      <c r="G257" s="290"/>
      <c r="H257" s="290"/>
      <c r="I257" s="290"/>
      <c r="J257" s="290"/>
      <c r="K257" s="290"/>
      <c r="L257" s="290"/>
      <c r="M257" s="290"/>
      <c r="N257" s="290"/>
      <c r="O257" s="290"/>
      <c r="P257" s="290"/>
      <c r="Q257" s="290"/>
      <c r="R257" s="290"/>
      <c r="S257" s="290"/>
      <c r="T257" s="290"/>
      <c r="U257" s="290"/>
    </row>
    <row r="258" spans="1:21" ht="15.75">
      <c r="A258" s="287"/>
      <c r="B258" s="287"/>
      <c r="C258" s="288"/>
      <c r="D258" s="290"/>
      <c r="E258" s="290"/>
      <c r="F258" s="290"/>
      <c r="G258" s="290"/>
      <c r="H258" s="290"/>
      <c r="I258" s="290"/>
      <c r="J258" s="290"/>
      <c r="K258" s="290"/>
      <c r="L258" s="290"/>
      <c r="M258" s="290"/>
      <c r="N258" s="290"/>
      <c r="O258" s="290"/>
      <c r="P258" s="290"/>
      <c r="Q258" s="290"/>
      <c r="R258" s="290"/>
      <c r="S258" s="290"/>
      <c r="T258" s="290"/>
      <c r="U258" s="290"/>
    </row>
    <row r="259" spans="1:21" ht="15.75">
      <c r="A259" s="287"/>
      <c r="B259" s="287"/>
      <c r="C259" s="288"/>
      <c r="D259" s="290"/>
      <c r="E259" s="290"/>
      <c r="F259" s="290"/>
      <c r="G259" s="290"/>
      <c r="H259" s="290"/>
      <c r="I259" s="290"/>
      <c r="J259" s="290"/>
      <c r="K259" s="290"/>
      <c r="L259" s="290"/>
      <c r="M259" s="290"/>
      <c r="N259" s="290"/>
      <c r="O259" s="290"/>
      <c r="P259" s="290"/>
      <c r="Q259" s="290"/>
      <c r="R259" s="290"/>
      <c r="S259" s="290"/>
      <c r="T259" s="290"/>
      <c r="U259" s="290"/>
    </row>
    <row r="260" spans="1:21" ht="15.75">
      <c r="A260" s="287"/>
      <c r="B260" s="287"/>
      <c r="C260" s="288"/>
      <c r="D260" s="290"/>
      <c r="E260" s="290"/>
      <c r="F260" s="290"/>
      <c r="G260" s="290"/>
      <c r="H260" s="290"/>
      <c r="I260" s="290"/>
      <c r="J260" s="290"/>
      <c r="K260" s="290"/>
      <c r="L260" s="290"/>
      <c r="M260" s="290"/>
      <c r="N260" s="290"/>
      <c r="O260" s="290"/>
      <c r="P260" s="290"/>
      <c r="Q260" s="290"/>
      <c r="R260" s="290"/>
      <c r="S260" s="290"/>
      <c r="T260" s="290"/>
      <c r="U260" s="290"/>
    </row>
    <row r="261" spans="1:21" ht="15.75">
      <c r="A261" s="287"/>
      <c r="B261" s="287"/>
      <c r="C261" s="288"/>
      <c r="D261" s="290"/>
      <c r="E261" s="290"/>
      <c r="F261" s="290"/>
      <c r="G261" s="290"/>
      <c r="H261" s="290"/>
      <c r="I261" s="290"/>
      <c r="J261" s="290"/>
      <c r="K261" s="290"/>
      <c r="L261" s="290"/>
      <c r="M261" s="290"/>
      <c r="N261" s="290"/>
      <c r="O261" s="290"/>
      <c r="P261" s="290"/>
      <c r="Q261" s="290"/>
      <c r="R261" s="290"/>
      <c r="S261" s="290"/>
      <c r="T261" s="290"/>
      <c r="U261" s="290"/>
    </row>
    <row r="262" spans="1:21" ht="15.75">
      <c r="A262" s="287"/>
      <c r="B262" s="287"/>
      <c r="C262" s="288"/>
      <c r="D262" s="290"/>
      <c r="E262" s="290"/>
      <c r="F262" s="290"/>
      <c r="G262" s="290"/>
      <c r="H262" s="290"/>
      <c r="I262" s="290"/>
      <c r="J262" s="290"/>
      <c r="K262" s="290"/>
      <c r="L262" s="290"/>
      <c r="M262" s="290"/>
      <c r="N262" s="290"/>
      <c r="O262" s="290"/>
      <c r="P262" s="290"/>
      <c r="Q262" s="290"/>
      <c r="R262" s="290"/>
      <c r="S262" s="290"/>
      <c r="T262" s="290"/>
      <c r="U262" s="290"/>
    </row>
    <row r="263" spans="1:21" ht="15.75">
      <c r="A263" s="287"/>
      <c r="B263" s="287"/>
      <c r="C263" s="288"/>
      <c r="D263" s="290"/>
      <c r="E263" s="290"/>
      <c r="F263" s="290"/>
      <c r="G263" s="290"/>
      <c r="H263" s="290"/>
      <c r="I263" s="290"/>
      <c r="J263" s="290"/>
      <c r="K263" s="290"/>
      <c r="L263" s="290"/>
      <c r="M263" s="290"/>
      <c r="N263" s="290"/>
      <c r="O263" s="290"/>
      <c r="P263" s="290"/>
      <c r="Q263" s="290"/>
      <c r="R263" s="290"/>
      <c r="S263" s="290"/>
      <c r="T263" s="290"/>
      <c r="U263" s="290"/>
    </row>
    <row r="264" spans="1:21" ht="15.75">
      <c r="A264" s="287"/>
      <c r="B264" s="287"/>
      <c r="C264" s="288"/>
      <c r="D264" s="290"/>
      <c r="E264" s="290"/>
      <c r="F264" s="290"/>
      <c r="G264" s="290"/>
      <c r="H264" s="290"/>
      <c r="I264" s="290"/>
      <c r="J264" s="290"/>
      <c r="K264" s="290"/>
      <c r="L264" s="290"/>
      <c r="M264" s="290"/>
      <c r="N264" s="290"/>
      <c r="O264" s="290"/>
      <c r="P264" s="290"/>
      <c r="Q264" s="290"/>
      <c r="R264" s="290"/>
      <c r="S264" s="290"/>
      <c r="T264" s="290"/>
      <c r="U264" s="290"/>
    </row>
    <row r="265" spans="1:21" ht="15.75">
      <c r="A265" s="287"/>
      <c r="B265" s="287"/>
      <c r="C265" s="288"/>
      <c r="D265" s="290"/>
      <c r="E265" s="290"/>
      <c r="F265" s="290"/>
      <c r="G265" s="290"/>
      <c r="H265" s="290"/>
      <c r="I265" s="290"/>
      <c r="J265" s="290"/>
      <c r="K265" s="290"/>
      <c r="L265" s="290"/>
      <c r="M265" s="290"/>
      <c r="N265" s="290"/>
      <c r="O265" s="290"/>
      <c r="P265" s="290"/>
      <c r="Q265" s="290"/>
      <c r="R265" s="290"/>
      <c r="S265" s="290"/>
      <c r="T265" s="290"/>
      <c r="U265" s="290"/>
    </row>
    <row r="266" spans="1:21" ht="15.75">
      <c r="A266" s="287"/>
      <c r="B266" s="287"/>
      <c r="C266" s="288"/>
      <c r="D266" s="290"/>
      <c r="E266" s="290"/>
      <c r="F266" s="290"/>
      <c r="G266" s="290"/>
      <c r="H266" s="290"/>
      <c r="I266" s="290"/>
      <c r="J266" s="290"/>
      <c r="K266" s="290"/>
      <c r="L266" s="290"/>
      <c r="M266" s="290"/>
      <c r="N266" s="290"/>
      <c r="O266" s="290"/>
      <c r="P266" s="290"/>
      <c r="Q266" s="290"/>
      <c r="R266" s="290"/>
      <c r="S266" s="290"/>
      <c r="T266" s="290"/>
      <c r="U266" s="290"/>
    </row>
    <row r="267" spans="1:21" ht="15.75">
      <c r="A267" s="287"/>
      <c r="B267" s="287"/>
      <c r="C267" s="288"/>
      <c r="D267" s="290"/>
      <c r="E267" s="290"/>
      <c r="F267" s="290"/>
      <c r="G267" s="290"/>
      <c r="H267" s="290"/>
      <c r="I267" s="290"/>
      <c r="J267" s="290"/>
      <c r="K267" s="290"/>
      <c r="L267" s="290"/>
      <c r="M267" s="290"/>
      <c r="N267" s="290"/>
      <c r="O267" s="290"/>
      <c r="P267" s="290"/>
      <c r="Q267" s="290"/>
      <c r="R267" s="290"/>
      <c r="S267" s="290"/>
      <c r="T267" s="290"/>
      <c r="U267" s="290"/>
    </row>
  </sheetData>
  <pageMargins left="0.5" right="0.2" top="0.75" bottom="0.75" header="0.3" footer="0.3"/>
  <pageSetup paperSize="3" scale="73" fitToHeight="0" orientation="landscape" r:id="rId1"/>
  <headerFooter>
    <oddFooter>&amp;L&amp;D&amp;C&amp;A&amp;RPage &amp;P of &amp;N</oddFooter>
  </headerFooter>
  <rowBreaks count="2" manualBreakCount="2">
    <brk id="53" max="18" man="1"/>
    <brk id="150" max="1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941E-EE0D-4986-9FFD-E490493693C1}">
  <sheetPr>
    <pageSetUpPr fitToPage="1"/>
  </sheetPr>
  <dimension ref="A1:K50"/>
  <sheetViews>
    <sheetView workbookViewId="0">
      <selection activeCell="K39" sqref="K30:K39"/>
    </sheetView>
  </sheetViews>
  <sheetFormatPr defaultRowHeight="15"/>
  <cols>
    <col min="1" max="1" width="8.109375" bestFit="1" customWidth="1"/>
    <col min="3" max="3" width="43.6640625" customWidth="1"/>
    <col min="4" max="4" width="10.109375" customWidth="1"/>
    <col min="5" max="5" width="2.5546875" customWidth="1"/>
    <col min="6" max="6" width="10.21875" bestFit="1" customWidth="1"/>
    <col min="8" max="8" width="11.33203125" bestFit="1" customWidth="1"/>
    <col min="11" max="11" width="9.44140625" bestFit="1" customWidth="1"/>
  </cols>
  <sheetData>
    <row r="1" spans="1:10" ht="18.75">
      <c r="A1" s="783" t="s">
        <v>16</v>
      </c>
      <c r="B1" s="784"/>
      <c r="C1" s="784"/>
      <c r="D1" s="784"/>
      <c r="E1" s="784"/>
      <c r="F1" s="784"/>
    </row>
    <row r="2" spans="1:10" ht="18.75">
      <c r="A2" s="783" t="s">
        <v>1470</v>
      </c>
      <c r="B2" s="784"/>
      <c r="C2" s="784"/>
      <c r="D2" s="784"/>
      <c r="E2" s="784"/>
      <c r="F2" s="784"/>
    </row>
    <row r="3" spans="1:10" ht="18.75">
      <c r="A3" s="783" t="s">
        <v>744</v>
      </c>
      <c r="B3" s="784"/>
      <c r="C3" s="784"/>
      <c r="D3" s="784"/>
      <c r="E3" s="784"/>
      <c r="F3" s="784"/>
    </row>
    <row r="4" spans="1:10">
      <c r="A4" s="205"/>
      <c r="B4" s="202"/>
      <c r="C4" s="202"/>
      <c r="D4" s="202"/>
      <c r="E4" s="202"/>
      <c r="F4" s="202"/>
    </row>
    <row r="5" spans="1:10" ht="15.75">
      <c r="A5" s="205" t="s">
        <v>753</v>
      </c>
      <c r="B5" s="202"/>
      <c r="C5" s="202"/>
      <c r="D5" s="202"/>
      <c r="E5" s="202"/>
      <c r="F5" s="202"/>
      <c r="H5" s="89"/>
    </row>
    <row r="6" spans="1:10" ht="15.75">
      <c r="A6" s="206" t="s">
        <v>15</v>
      </c>
      <c r="B6" s="202" t="s">
        <v>672</v>
      </c>
      <c r="C6" s="202" t="s">
        <v>754</v>
      </c>
      <c r="D6" s="202"/>
      <c r="E6" s="202"/>
      <c r="F6" s="204">
        <v>4356704.87</v>
      </c>
      <c r="H6" s="127">
        <f>+F6</f>
        <v>4356704.87</v>
      </c>
      <c r="I6" s="594">
        <f>+H6/$H$24-0.0375</f>
        <v>0.1929254751698968</v>
      </c>
      <c r="J6" s="594"/>
    </row>
    <row r="7" spans="1:10" ht="15.75">
      <c r="A7" s="202"/>
      <c r="B7" s="202" t="s">
        <v>672</v>
      </c>
      <c r="C7" s="202" t="s">
        <v>664</v>
      </c>
      <c r="D7" s="202"/>
      <c r="E7" s="202"/>
      <c r="F7" s="204">
        <v>6910416.0899999999</v>
      </c>
      <c r="H7" s="127">
        <f t="shared" ref="H7:H20" si="0">+F7</f>
        <v>6910416.0899999999</v>
      </c>
      <c r="I7" s="594">
        <f>+H7/$H$24-0.045</f>
        <v>0.32049088328766007</v>
      </c>
      <c r="J7" s="594"/>
    </row>
    <row r="8" spans="1:10" ht="15.75">
      <c r="A8" s="202"/>
      <c r="B8" s="202" t="s">
        <v>672</v>
      </c>
      <c r="C8" s="202" t="s">
        <v>755</v>
      </c>
      <c r="D8" s="202"/>
      <c r="E8" s="202"/>
      <c r="F8" s="204">
        <v>5957933.79</v>
      </c>
      <c r="H8" s="127">
        <f t="shared" si="0"/>
        <v>5957933.79</v>
      </c>
      <c r="I8" s="594">
        <f>+H8/$H$24-0.034</f>
        <v>0.28111423554185666</v>
      </c>
      <c r="J8" s="594"/>
    </row>
    <row r="9" spans="1:10" ht="15.75">
      <c r="A9" s="202"/>
      <c r="B9" s="202"/>
      <c r="C9" s="202" t="s">
        <v>752</v>
      </c>
      <c r="D9" s="202"/>
      <c r="E9" s="202"/>
      <c r="F9" s="204">
        <v>1181227.92</v>
      </c>
      <c r="H9" s="127">
        <f t="shared" si="0"/>
        <v>1181227.92</v>
      </c>
      <c r="I9" s="594">
        <f t="shared" ref="I9:I15" si="1">+H9/$H$24</f>
        <v>6.2474969701114692E-2</v>
      </c>
      <c r="J9" s="594"/>
    </row>
    <row r="10" spans="1:10" ht="15.75">
      <c r="A10" s="202"/>
      <c r="B10" s="202"/>
      <c r="C10" s="202" t="s">
        <v>751</v>
      </c>
      <c r="D10" s="202"/>
      <c r="E10" s="202"/>
      <c r="F10" s="204">
        <v>492521.04</v>
      </c>
      <c r="H10" s="127">
        <f t="shared" si="0"/>
        <v>492521.04</v>
      </c>
      <c r="I10" s="594">
        <f t="shared" si="1"/>
        <v>2.6049364843290783E-2</v>
      </c>
      <c r="J10" s="594"/>
    </row>
    <row r="11" spans="1:10" ht="15.75">
      <c r="A11" s="202"/>
      <c r="B11" s="202"/>
      <c r="C11" s="202" t="s">
        <v>756</v>
      </c>
      <c r="D11" s="202"/>
      <c r="E11" s="202"/>
      <c r="F11" s="204">
        <v>106041.59</v>
      </c>
      <c r="H11" s="127">
        <f t="shared" si="0"/>
        <v>106041.59</v>
      </c>
      <c r="I11" s="594">
        <f t="shared" si="1"/>
        <v>5.6085239860466781E-3</v>
      </c>
      <c r="J11" s="594"/>
    </row>
    <row r="12" spans="1:10" ht="15.75">
      <c r="A12" s="202"/>
      <c r="B12" s="202"/>
      <c r="C12" s="202" t="s">
        <v>712</v>
      </c>
      <c r="D12" s="202"/>
      <c r="E12" s="202"/>
      <c r="F12" s="204">
        <v>1174513.3500000001</v>
      </c>
      <c r="H12" s="127">
        <f t="shared" si="0"/>
        <v>1174513.3500000001</v>
      </c>
      <c r="I12" s="594">
        <f t="shared" si="1"/>
        <v>6.2119837088514401E-2</v>
      </c>
      <c r="J12" s="594"/>
    </row>
    <row r="13" spans="1:10" ht="15.75">
      <c r="A13" s="202"/>
      <c r="B13" s="202"/>
      <c r="C13" s="202" t="s">
        <v>428</v>
      </c>
      <c r="D13" s="202"/>
      <c r="E13" s="202"/>
      <c r="F13" s="204">
        <v>540</v>
      </c>
      <c r="H13" s="127">
        <f t="shared" si="0"/>
        <v>540</v>
      </c>
      <c r="I13" s="594">
        <f t="shared" si="1"/>
        <v>2.8560520004134287E-5</v>
      </c>
      <c r="J13" s="594"/>
    </row>
    <row r="14" spans="1:10" ht="15.75">
      <c r="A14" s="202"/>
      <c r="B14" s="202"/>
      <c r="C14" s="202" t="s">
        <v>757</v>
      </c>
      <c r="D14" s="202"/>
      <c r="E14" s="202"/>
      <c r="F14" s="204">
        <v>913309.51</v>
      </c>
      <c r="H14" s="127">
        <f t="shared" si="0"/>
        <v>913309.51</v>
      </c>
      <c r="I14" s="594">
        <f t="shared" si="1"/>
        <v>4.8304804685779787E-2</v>
      </c>
      <c r="J14" s="594"/>
    </row>
    <row r="15" spans="1:10" ht="15.75">
      <c r="A15" s="202"/>
      <c r="B15" s="202"/>
      <c r="C15" s="202" t="s">
        <v>758</v>
      </c>
      <c r="D15" s="202"/>
      <c r="E15" s="202"/>
      <c r="F15" s="207">
        <v>16915.03</v>
      </c>
      <c r="H15" s="127">
        <f t="shared" si="0"/>
        <v>16915.03</v>
      </c>
      <c r="I15" s="594">
        <f t="shared" si="1"/>
        <v>8.9463343089913249E-4</v>
      </c>
      <c r="J15" s="594"/>
    </row>
    <row r="16" spans="1:10" ht="15.75">
      <c r="A16" s="202" t="s">
        <v>417</v>
      </c>
      <c r="B16" s="202"/>
      <c r="C16" s="202"/>
      <c r="D16" s="202"/>
      <c r="E16" s="202"/>
      <c r="F16" s="204">
        <f>SUM(F6:F15)</f>
        <v>21110123.190000005</v>
      </c>
      <c r="H16" s="127">
        <f>SUM(H6:H15)</f>
        <v>21110123.190000005</v>
      </c>
      <c r="I16" s="594">
        <f>SUM(I6:I15)</f>
        <v>1.0000112882550631</v>
      </c>
      <c r="J16" s="593"/>
    </row>
    <row r="17" spans="1:11" ht="15.75">
      <c r="A17" s="202" t="s">
        <v>759</v>
      </c>
      <c r="B17" s="202"/>
      <c r="C17" s="202" t="s">
        <v>760</v>
      </c>
      <c r="D17" s="202"/>
      <c r="E17" s="202"/>
      <c r="F17" s="204">
        <v>-3741651.23</v>
      </c>
      <c r="H17" s="127"/>
      <c r="I17" s="594"/>
    </row>
    <row r="18" spans="1:11" ht="15.75">
      <c r="A18" s="202"/>
      <c r="B18" s="202"/>
      <c r="C18" s="202" t="s">
        <v>1463</v>
      </c>
      <c r="D18" s="202"/>
      <c r="E18" s="202"/>
      <c r="F18" s="204">
        <f>-'Mukilteo Utility Franchise Tax'!E23</f>
        <v>-54695.332290000006</v>
      </c>
      <c r="H18" s="127">
        <f t="shared" si="0"/>
        <v>-54695.332290000006</v>
      </c>
      <c r="I18" s="594"/>
    </row>
    <row r="19" spans="1:11" ht="15.75">
      <c r="A19" s="202"/>
      <c r="B19" s="202"/>
      <c r="C19" s="202" t="s">
        <v>1464</v>
      </c>
      <c r="D19" s="202"/>
      <c r="E19" s="202"/>
      <c r="F19" s="204">
        <f>-'Everett Utility-B&amp;O'!E24</f>
        <v>-1245281.6387400001</v>
      </c>
      <c r="H19" s="127">
        <f t="shared" si="0"/>
        <v>-1245281.6387400001</v>
      </c>
      <c r="I19" s="594"/>
    </row>
    <row r="20" spans="1:11" ht="15.75">
      <c r="A20" s="202"/>
      <c r="B20" s="202"/>
      <c r="C20" s="202" t="s">
        <v>1465</v>
      </c>
      <c r="D20" s="202"/>
      <c r="E20" s="202"/>
      <c r="F20" s="204">
        <f>-'Washington Service B&amp;O'!I26</f>
        <v>-902927.44557820004</v>
      </c>
      <c r="H20" s="127">
        <f t="shared" si="0"/>
        <v>-902927.44557820004</v>
      </c>
      <c r="I20" s="594"/>
    </row>
    <row r="21" spans="1:11" ht="15.75">
      <c r="A21" s="202"/>
      <c r="B21" s="202"/>
      <c r="C21" s="202" t="s">
        <v>1469</v>
      </c>
      <c r="D21" s="202"/>
      <c r="E21" s="202"/>
      <c r="F21" s="204">
        <f>-F10</f>
        <v>-492521.04</v>
      </c>
      <c r="H21" s="89"/>
      <c r="I21" s="593"/>
    </row>
    <row r="22" spans="1:11" ht="15.75">
      <c r="A22" s="202"/>
      <c r="B22" s="202"/>
      <c r="C22" s="202" t="s">
        <v>761</v>
      </c>
      <c r="D22" s="202"/>
      <c r="E22" s="202"/>
      <c r="F22" s="204">
        <f>-F14</f>
        <v>-913309.51</v>
      </c>
      <c r="H22" s="89"/>
    </row>
    <row r="23" spans="1:11" ht="15.75">
      <c r="A23" s="202"/>
      <c r="B23" s="202"/>
      <c r="C23" s="202" t="s">
        <v>762</v>
      </c>
      <c r="D23" s="202"/>
      <c r="E23" s="202"/>
      <c r="F23" s="207">
        <f>-F15</f>
        <v>-16915.03</v>
      </c>
      <c r="H23" s="89"/>
    </row>
    <row r="24" spans="1:11" ht="15.75">
      <c r="A24" s="202" t="s">
        <v>763</v>
      </c>
      <c r="B24" s="202"/>
      <c r="C24" s="202"/>
      <c r="D24" s="202"/>
      <c r="E24" s="202"/>
      <c r="F24" s="204">
        <f>SUM(F16:F23)</f>
        <v>13742821.963391805</v>
      </c>
      <c r="H24" s="127">
        <f>SUM(H16:H23)</f>
        <v>18907218.773391806</v>
      </c>
    </row>
    <row r="25" spans="1:11" ht="15.75">
      <c r="A25" s="202"/>
      <c r="B25" s="202"/>
      <c r="C25" s="202"/>
      <c r="D25" s="202"/>
      <c r="E25" s="202"/>
      <c r="F25" s="204"/>
      <c r="H25" s="127"/>
    </row>
    <row r="26" spans="1:11" ht="15.75">
      <c r="A26" s="208" t="s">
        <v>764</v>
      </c>
      <c r="B26" s="202"/>
      <c r="C26" s="202"/>
      <c r="D26" s="202"/>
      <c r="E26" s="202"/>
      <c r="F26" s="204"/>
      <c r="H26" s="127"/>
    </row>
    <row r="27" spans="1:11" ht="15.75">
      <c r="A27" s="202" t="s">
        <v>765</v>
      </c>
      <c r="B27" s="202"/>
      <c r="C27" s="202" t="s">
        <v>661</v>
      </c>
      <c r="D27" s="202" t="s">
        <v>672</v>
      </c>
      <c r="E27" s="202"/>
      <c r="F27" s="203">
        <v>3272271.93</v>
      </c>
      <c r="G27" s="594"/>
      <c r="H27" s="553">
        <f>+F27*1.02</f>
        <v>3337717.3686000002</v>
      </c>
    </row>
    <row r="28" spans="1:11" ht="15.75">
      <c r="A28" s="202"/>
      <c r="B28" s="202"/>
      <c r="C28" s="202"/>
      <c r="D28" s="202" t="s">
        <v>668</v>
      </c>
      <c r="E28" s="202"/>
      <c r="F28" s="203">
        <v>1316587.5</v>
      </c>
      <c r="G28" s="594"/>
      <c r="H28" s="553">
        <f t="shared" ref="H28:H38" si="2">+F28*1.02</f>
        <v>1342919.25</v>
      </c>
    </row>
    <row r="29" spans="1:11" ht="15.75">
      <c r="A29" s="202"/>
      <c r="B29" s="202"/>
      <c r="C29" s="202"/>
      <c r="D29" s="202" t="s">
        <v>660</v>
      </c>
      <c r="E29" s="202"/>
      <c r="F29" s="203">
        <v>1108341</v>
      </c>
      <c r="G29" s="594"/>
      <c r="H29" s="553">
        <f t="shared" si="2"/>
        <v>1130507.82</v>
      </c>
    </row>
    <row r="30" spans="1:11" ht="15.75">
      <c r="A30" s="202"/>
      <c r="B30" s="202"/>
      <c r="C30" s="202" t="s">
        <v>664</v>
      </c>
      <c r="D30" s="202" t="s">
        <v>766</v>
      </c>
      <c r="E30" s="202"/>
      <c r="F30" s="209">
        <v>4000338.4</v>
      </c>
      <c r="G30" s="594"/>
      <c r="H30" s="553">
        <f t="shared" si="2"/>
        <v>4080345.1680000001</v>
      </c>
      <c r="K30" s="414"/>
    </row>
    <row r="31" spans="1:11" ht="15.75">
      <c r="A31" s="202"/>
      <c r="B31" s="202"/>
      <c r="C31" s="202"/>
      <c r="D31" s="202" t="s">
        <v>662</v>
      </c>
      <c r="E31" s="202"/>
      <c r="F31" s="209">
        <v>1792070.9716200004</v>
      </c>
      <c r="G31" s="594"/>
      <c r="H31" s="553">
        <f t="shared" si="2"/>
        <v>1827912.3910524005</v>
      </c>
    </row>
    <row r="32" spans="1:11" ht="15.75">
      <c r="A32" s="202"/>
      <c r="B32" s="202"/>
      <c r="C32" s="202"/>
      <c r="D32" s="202" t="s">
        <v>733</v>
      </c>
      <c r="E32" s="202"/>
      <c r="F32" s="209">
        <v>1577563.4300000002</v>
      </c>
      <c r="G32" s="594"/>
      <c r="H32" s="553">
        <f t="shared" si="2"/>
        <v>1609114.6986000002</v>
      </c>
      <c r="K32" s="414"/>
    </row>
    <row r="33" spans="1:11" ht="15.75">
      <c r="A33" s="202" t="s">
        <v>767</v>
      </c>
      <c r="B33" s="202"/>
      <c r="C33" s="202" t="s">
        <v>661</v>
      </c>
      <c r="D33" s="202" t="s">
        <v>672</v>
      </c>
      <c r="E33" s="202"/>
      <c r="F33" s="203">
        <v>189792.83</v>
      </c>
      <c r="G33" s="595"/>
      <c r="H33" s="553">
        <f t="shared" si="2"/>
        <v>193588.68659999999</v>
      </c>
    </row>
    <row r="34" spans="1:11" ht="15.75">
      <c r="A34" s="202"/>
      <c r="B34" s="202"/>
      <c r="C34" s="202"/>
      <c r="D34" s="202" t="s">
        <v>668</v>
      </c>
      <c r="E34" s="202"/>
      <c r="F34" s="203">
        <v>78845.809999999983</v>
      </c>
      <c r="G34" s="595"/>
      <c r="H34" s="553">
        <f t="shared" si="2"/>
        <v>80422.72619999999</v>
      </c>
    </row>
    <row r="35" spans="1:11" ht="15.75">
      <c r="A35" s="202"/>
      <c r="B35" s="202"/>
      <c r="C35" s="202"/>
      <c r="D35" s="202" t="s">
        <v>660</v>
      </c>
      <c r="E35" s="202"/>
      <c r="F35" s="203">
        <v>69682.11</v>
      </c>
      <c r="G35" s="595"/>
      <c r="H35" s="553">
        <f t="shared" si="2"/>
        <v>71075.752200000003</v>
      </c>
    </row>
    <row r="36" spans="1:11" ht="15.75">
      <c r="A36" s="202"/>
      <c r="B36" s="202"/>
      <c r="C36" s="202" t="s">
        <v>664</v>
      </c>
      <c r="D36" s="202" t="s">
        <v>766</v>
      </c>
      <c r="E36" s="202"/>
      <c r="F36" s="209">
        <v>53127.584139999999</v>
      </c>
      <c r="G36" s="595"/>
      <c r="H36" s="553">
        <f t="shared" si="2"/>
        <v>54190.135822800003</v>
      </c>
      <c r="K36" s="414"/>
    </row>
    <row r="37" spans="1:11" ht="15.75">
      <c r="A37" s="202"/>
      <c r="B37" s="202"/>
      <c r="C37" s="202"/>
      <c r="D37" s="202" t="s">
        <v>662</v>
      </c>
      <c r="E37" s="202"/>
      <c r="F37" s="209">
        <v>1774.08</v>
      </c>
      <c r="G37" s="595"/>
      <c r="H37" s="553">
        <f t="shared" si="2"/>
        <v>1809.5616</v>
      </c>
    </row>
    <row r="38" spans="1:11" ht="15.75">
      <c r="A38" s="202"/>
      <c r="B38" s="202"/>
      <c r="C38" s="202"/>
      <c r="D38" s="202" t="s">
        <v>733</v>
      </c>
      <c r="E38" s="202"/>
      <c r="F38" s="210">
        <v>11040.599999999999</v>
      </c>
      <c r="G38" s="595"/>
      <c r="H38" s="553">
        <f t="shared" si="2"/>
        <v>11261.411999999998</v>
      </c>
      <c r="K38" s="414"/>
    </row>
    <row r="39" spans="1:11" ht="15.75">
      <c r="A39" s="202"/>
      <c r="B39" s="202"/>
      <c r="C39" s="202"/>
      <c r="D39" s="202"/>
      <c r="E39" s="202"/>
      <c r="F39" s="203">
        <f>SUM(F27:F38)</f>
        <v>13471436.245760001</v>
      </c>
      <c r="G39" s="596"/>
      <c r="H39" s="553">
        <f>SUM(H27:H38)</f>
        <v>13740864.9706752</v>
      </c>
      <c r="K39" s="414"/>
    </row>
    <row r="40" spans="1:11" ht="15.75">
      <c r="A40" s="202" t="s">
        <v>1281</v>
      </c>
      <c r="B40" s="202"/>
      <c r="C40" s="202"/>
      <c r="D40" s="202"/>
      <c r="E40" s="202"/>
      <c r="F40" s="211">
        <f>+F24/F39-1</f>
        <v>2.0145269790162068E-2</v>
      </c>
      <c r="H40" s="89"/>
    </row>
    <row r="41" spans="1:11" ht="15.75">
      <c r="A41" s="202"/>
      <c r="B41" s="202"/>
      <c r="C41" s="202"/>
      <c r="D41" s="202"/>
      <c r="E41" s="202"/>
      <c r="F41" s="211"/>
      <c r="H41" s="89"/>
    </row>
    <row r="42" spans="1:11">
      <c r="A42" s="202"/>
      <c r="B42" s="202"/>
      <c r="C42" s="202"/>
      <c r="D42" s="202"/>
      <c r="E42" s="202"/>
      <c r="F42" s="202"/>
    </row>
    <row r="43" spans="1:11">
      <c r="A43" s="202" t="s">
        <v>970</v>
      </c>
      <c r="B43" s="202"/>
      <c r="C43" s="202"/>
      <c r="D43" s="202"/>
      <c r="E43" s="202"/>
      <c r="F43" s="202"/>
    </row>
    <row r="44" spans="1:11">
      <c r="A44" s="202" t="str">
        <f>+C18</f>
        <v>Mukilteo Franchise &amp; Utility Tax-City Report Summary</v>
      </c>
      <c r="B44" s="202"/>
      <c r="C44" s="202"/>
      <c r="D44" s="202"/>
      <c r="E44" s="202"/>
      <c r="F44" s="204">
        <f>-F18</f>
        <v>54695.332290000006</v>
      </c>
    </row>
    <row r="45" spans="1:11">
      <c r="A45" s="202" t="str">
        <f t="shared" ref="A45:A46" si="3">+C19</f>
        <v>Everett Utility Tax-City Report Summary</v>
      </c>
      <c r="B45" s="202"/>
      <c r="C45" s="202"/>
      <c r="D45" s="202"/>
      <c r="E45" s="202"/>
      <c r="F45" s="204">
        <f t="shared" ref="F45:F46" si="4">-F19</f>
        <v>1245281.6387400001</v>
      </c>
    </row>
    <row r="46" spans="1:11">
      <c r="A46" s="202" t="str">
        <f t="shared" si="3"/>
        <v>Washington Service &amp; Refuse Collection Tax-Excise Return Summary</v>
      </c>
      <c r="B46" s="202"/>
      <c r="C46" s="202"/>
      <c r="D46" s="202"/>
      <c r="E46" s="202"/>
      <c r="F46" s="207">
        <f t="shared" si="4"/>
        <v>902927.44557820004</v>
      </c>
    </row>
    <row r="47" spans="1:11">
      <c r="A47" s="202"/>
      <c r="B47" s="202"/>
      <c r="C47" s="202"/>
      <c r="D47" s="202"/>
      <c r="E47" s="202"/>
      <c r="F47" s="204">
        <f>SUM(F44:F46)</f>
        <v>2202904.4166082004</v>
      </c>
    </row>
    <row r="48" spans="1:11">
      <c r="A48" s="202"/>
      <c r="B48" s="202"/>
      <c r="C48" s="202"/>
      <c r="D48" s="202"/>
      <c r="E48" s="202"/>
      <c r="F48" s="202"/>
    </row>
    <row r="49" spans="1:6">
      <c r="A49" s="202"/>
      <c r="B49" s="202"/>
      <c r="C49" s="202"/>
      <c r="D49" s="202"/>
      <c r="E49" s="202"/>
      <c r="F49" s="202"/>
    </row>
    <row r="50" spans="1:6">
      <c r="A50" s="202"/>
      <c r="B50" s="202"/>
      <c r="C50" s="202"/>
      <c r="D50" s="202"/>
      <c r="E50" s="202"/>
      <c r="F50" s="202"/>
    </row>
  </sheetData>
  <printOptions headings="1" gridLines="1"/>
  <pageMargins left="0.5" right="0.25" top="0.75" bottom="0.75" header="0.3" footer="0.3"/>
  <pageSetup scale="92" fitToWidth="0" orientation="portrait"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CF1A5-5F09-46E2-9F89-9D60F50811B8}">
  <sheetPr>
    <pageSetUpPr fitToPage="1"/>
  </sheetPr>
  <dimension ref="A1:M30"/>
  <sheetViews>
    <sheetView topLeftCell="A13" workbookViewId="0">
      <selection activeCell="A24" sqref="A24:H24"/>
    </sheetView>
  </sheetViews>
  <sheetFormatPr defaultRowHeight="15"/>
  <cols>
    <col min="1" max="1" width="24.77734375" bestFit="1" customWidth="1"/>
    <col min="2" max="2" width="13.109375" customWidth="1"/>
    <col min="3" max="3" width="12.33203125" customWidth="1"/>
    <col min="4" max="4" width="10.21875" bestFit="1" customWidth="1"/>
    <col min="5" max="5" width="12" bestFit="1" customWidth="1"/>
    <col min="6" max="6" width="10.33203125" bestFit="1" customWidth="1"/>
    <col min="7" max="7" width="8.88671875" bestFit="1" customWidth="1"/>
    <col min="8" max="9" width="9.88671875" bestFit="1" customWidth="1"/>
  </cols>
  <sheetData>
    <row r="1" spans="1:9" ht="18.75">
      <c r="A1" s="783" t="s">
        <v>16</v>
      </c>
      <c r="B1" s="784"/>
      <c r="C1" s="784"/>
      <c r="D1" s="775"/>
      <c r="E1" s="789"/>
      <c r="F1" s="29"/>
      <c r="G1" s="29"/>
      <c r="H1" s="29"/>
    </row>
    <row r="2" spans="1:9" ht="18.75">
      <c r="A2" s="783" t="s">
        <v>1471</v>
      </c>
      <c r="B2" s="784"/>
      <c r="C2" s="784"/>
      <c r="D2" s="775"/>
      <c r="E2" s="789"/>
      <c r="F2" s="29"/>
      <c r="G2" s="29"/>
      <c r="H2" s="29"/>
    </row>
    <row r="3" spans="1:9" ht="18.75">
      <c r="A3" s="783" t="s">
        <v>744</v>
      </c>
      <c r="B3" s="784"/>
      <c r="C3" s="784"/>
      <c r="D3" s="775"/>
      <c r="E3" s="789"/>
      <c r="F3" s="29"/>
      <c r="G3" s="29"/>
      <c r="H3" s="29"/>
    </row>
    <row r="4" spans="1:9" ht="15.75">
      <c r="A4" s="205"/>
      <c r="B4" s="202"/>
      <c r="C4" s="202"/>
      <c r="D4" s="516"/>
      <c r="E4" s="785"/>
    </row>
    <row r="5" spans="1:9" ht="15.75">
      <c r="A5" s="516"/>
      <c r="B5" s="516"/>
      <c r="C5" s="516"/>
      <c r="D5" s="516"/>
      <c r="E5" s="785"/>
    </row>
    <row r="6" spans="1:9" ht="15.75">
      <c r="A6" s="516"/>
      <c r="B6" s="516"/>
      <c r="C6" s="516"/>
      <c r="D6" s="516"/>
      <c r="E6" s="785"/>
    </row>
    <row r="7" spans="1:9" ht="16.5" thickBot="1">
      <c r="A7" s="516" t="s">
        <v>1472</v>
      </c>
      <c r="B7" s="516"/>
      <c r="C7" s="516"/>
      <c r="D7" s="516"/>
      <c r="E7" s="785"/>
    </row>
    <row r="8" spans="1:9" ht="16.5" thickBot="1">
      <c r="A8" s="516"/>
      <c r="B8" s="790" t="s">
        <v>661</v>
      </c>
      <c r="C8" s="791"/>
      <c r="D8" s="792"/>
      <c r="E8" s="790" t="s">
        <v>664</v>
      </c>
      <c r="F8" s="791"/>
      <c r="G8" s="793"/>
      <c r="H8" s="787" t="s">
        <v>648</v>
      </c>
    </row>
    <row r="9" spans="1:9" ht="15.75">
      <c r="B9" s="787" t="s">
        <v>672</v>
      </c>
      <c r="C9" s="787" t="s">
        <v>668</v>
      </c>
      <c r="D9" s="787" t="s">
        <v>660</v>
      </c>
      <c r="E9" s="787" t="s">
        <v>1466</v>
      </c>
      <c r="F9" s="787" t="s">
        <v>662</v>
      </c>
      <c r="G9" s="787" t="s">
        <v>733</v>
      </c>
      <c r="H9" s="787"/>
    </row>
    <row r="10" spans="1:9" ht="15.75">
      <c r="B10" s="640">
        <f>+'Residential Everett'!H73+'Residential Mukilteo'!H70</f>
        <v>3463044.3600000003</v>
      </c>
      <c r="C10" s="640">
        <f>+'Residential Everett'!I73+'Residential Mukilteo'!I70</f>
        <v>1395460.31</v>
      </c>
      <c r="D10" s="640">
        <f>+'Residential Everett'!J73+'Residential Mukilteo'!J70</f>
        <v>1178023.1100000001</v>
      </c>
      <c r="E10" s="640">
        <f>+'Commercial Everett'!E66+'Commercial Mukilteo'!E61</f>
        <v>4141800.066310002</v>
      </c>
      <c r="F10" s="640">
        <f>+'Commercial Everett'!E92+'Commercial Mukilteo'!E77</f>
        <v>1793845.0516200005</v>
      </c>
      <c r="G10" s="640">
        <f>+'Commercial Everett'!E135+'Commercial Mukilteo'!E108</f>
        <v>1555907.36</v>
      </c>
      <c r="H10" s="640">
        <f>SUM(B10:G10)</f>
        <v>13528080.257930003</v>
      </c>
    </row>
    <row r="11" spans="1:9" ht="15.75">
      <c r="A11" s="516"/>
      <c r="B11" s="516"/>
      <c r="C11" s="516"/>
      <c r="D11" s="640"/>
      <c r="E11" s="516"/>
      <c r="F11" s="516"/>
      <c r="G11" s="516"/>
      <c r="H11" s="516"/>
    </row>
    <row r="12" spans="1:9" ht="16.5" thickBot="1">
      <c r="A12" s="516"/>
      <c r="B12" s="516"/>
      <c r="C12" s="516"/>
      <c r="D12" s="640"/>
      <c r="E12" s="516"/>
      <c r="F12" s="516"/>
      <c r="G12" s="516"/>
      <c r="H12" s="516"/>
    </row>
    <row r="13" spans="1:9" ht="16.5" thickBot="1">
      <c r="A13" s="516" t="s">
        <v>1473</v>
      </c>
      <c r="B13" s="790" t="s">
        <v>661</v>
      </c>
      <c r="C13" s="791"/>
      <c r="D13" s="792"/>
      <c r="E13" s="790" t="s">
        <v>664</v>
      </c>
      <c r="F13" s="791"/>
      <c r="G13" s="793"/>
      <c r="H13" s="787" t="s">
        <v>648</v>
      </c>
    </row>
    <row r="14" spans="1:9" ht="15.75">
      <c r="A14" s="516"/>
      <c r="B14" s="787" t="s">
        <v>672</v>
      </c>
      <c r="C14" s="787" t="s">
        <v>668</v>
      </c>
      <c r="D14" s="787" t="s">
        <v>660</v>
      </c>
      <c r="E14" s="787" t="s">
        <v>1466</v>
      </c>
      <c r="F14" s="787" t="s">
        <v>662</v>
      </c>
      <c r="G14" s="787" t="s">
        <v>733</v>
      </c>
      <c r="H14" s="516"/>
    </row>
    <row r="15" spans="1:9" ht="15.75">
      <c r="A15" s="640"/>
      <c r="B15" s="640">
        <f>+'Pro Forma'!C7</f>
        <v>4356704.87</v>
      </c>
      <c r="C15" s="640">
        <f>+'Pro Forma'!C11</f>
        <v>1181227.92</v>
      </c>
      <c r="D15" s="640">
        <f>+'Pro Forma'!C14</f>
        <v>1174513.3500000001</v>
      </c>
      <c r="E15" s="640">
        <f>+'Pro Forma'!C8</f>
        <v>6910416.0899999999</v>
      </c>
      <c r="F15" s="640">
        <f>+'Pro Forma'!C13</f>
        <v>106041.59</v>
      </c>
      <c r="G15" s="640">
        <f>+'Pro Forma'!C9</f>
        <v>5957933.79</v>
      </c>
      <c r="H15" s="640">
        <f>SUM(B15:G15)</f>
        <v>19686837.609999999</v>
      </c>
      <c r="I15" s="598"/>
    </row>
    <row r="16" spans="1:9" ht="15.75">
      <c r="A16" s="640" t="s">
        <v>1467</v>
      </c>
      <c r="B16" s="640"/>
      <c r="C16" s="640"/>
      <c r="D16" s="640"/>
      <c r="E16" s="640"/>
      <c r="F16" s="640"/>
      <c r="G16" s="640">
        <f>-'Restating Entries'!B10</f>
        <v>-3741651.2299999995</v>
      </c>
      <c r="H16" s="640">
        <f>SUM(B16:G16)</f>
        <v>-3741651.2299999995</v>
      </c>
      <c r="I16" s="598"/>
    </row>
    <row r="17" spans="1:13" ht="15.75">
      <c r="A17" s="640" t="s">
        <v>1468</v>
      </c>
      <c r="B17" s="786">
        <f>+'Restating Entries'!C7</f>
        <v>-424996.38132800139</v>
      </c>
      <c r="C17" s="786">
        <f>+'Restating Entries'!C11</f>
        <v>-137626.38668204905</v>
      </c>
      <c r="D17" s="786">
        <f>+'Restating Entries'!C14</f>
        <v>-136844.06348127028</v>
      </c>
      <c r="E17" s="786">
        <f>+'Restating Entries'!C8</f>
        <v>-706010.78227704961</v>
      </c>
      <c r="F17" s="786">
        <f>+'Restating Entries'!C13</f>
        <v>-12355.042259515256</v>
      </c>
      <c r="G17" s="786">
        <f>+'Restating Entries'!C9</f>
        <v>-619267.79104659404</v>
      </c>
      <c r="H17" s="786">
        <f>SUM(B17:G17)</f>
        <v>-2037100.4470744797</v>
      </c>
      <c r="I17" s="598"/>
    </row>
    <row r="18" spans="1:13" ht="15.75">
      <c r="A18" s="640"/>
      <c r="B18" s="640">
        <f t="shared" ref="B18:G18" si="0">SUM(B15:B17)</f>
        <v>3931708.4886719985</v>
      </c>
      <c r="C18" s="640">
        <f t="shared" si="0"/>
        <v>1043601.5333179509</v>
      </c>
      <c r="D18" s="640">
        <f t="shared" si="0"/>
        <v>1037669.2865187298</v>
      </c>
      <c r="E18" s="640">
        <f t="shared" si="0"/>
        <v>6204405.3077229504</v>
      </c>
      <c r="F18" s="640">
        <f t="shared" si="0"/>
        <v>93686.547740484733</v>
      </c>
      <c r="G18" s="640">
        <f t="shared" si="0"/>
        <v>1597014.7689534065</v>
      </c>
      <c r="H18" s="640">
        <f>SUM(B18:G18)</f>
        <v>13908085.932925522</v>
      </c>
      <c r="I18" s="598"/>
    </row>
    <row r="19" spans="1:13" ht="15.75">
      <c r="A19" s="640"/>
      <c r="B19" s="640"/>
      <c r="C19" s="640"/>
      <c r="D19" s="640"/>
      <c r="E19" s="640"/>
      <c r="F19" s="640"/>
      <c r="G19" s="640"/>
      <c r="H19" s="640"/>
      <c r="I19" s="598"/>
      <c r="J19" s="598"/>
      <c r="M19" s="598"/>
    </row>
    <row r="20" spans="1:13" ht="31.5">
      <c r="A20" s="788" t="s">
        <v>1557</v>
      </c>
      <c r="B20" s="640">
        <f>+B10-B18</f>
        <v>-468664.12867199816</v>
      </c>
      <c r="C20" s="640">
        <f t="shared" ref="C20:G20" si="1">+C10-C18</f>
        <v>351858.77668204915</v>
      </c>
      <c r="D20" s="640">
        <f t="shared" si="1"/>
        <v>140353.82348127034</v>
      </c>
      <c r="E20" s="640">
        <f t="shared" si="1"/>
        <v>-2062605.2414129484</v>
      </c>
      <c r="F20" s="640">
        <f t="shared" si="1"/>
        <v>1700158.5038795157</v>
      </c>
      <c r="G20" s="640">
        <f t="shared" si="1"/>
        <v>-41107.408953406382</v>
      </c>
      <c r="H20" s="640">
        <f>SUM(B20:G20)</f>
        <v>-380005.67499551759</v>
      </c>
      <c r="I20" s="598"/>
    </row>
    <row r="21" spans="1:13" ht="15.75">
      <c r="A21" s="640" t="s">
        <v>1558</v>
      </c>
      <c r="B21" s="640">
        <f>+B20+C20+D20</f>
        <v>23548.471491321339</v>
      </c>
      <c r="C21" s="640"/>
      <c r="D21" s="640"/>
      <c r="F21" s="640"/>
      <c r="G21" s="640"/>
      <c r="H21" s="640"/>
      <c r="I21" s="598"/>
    </row>
    <row r="22" spans="1:13" ht="15.75">
      <c r="A22" s="640" t="s">
        <v>1559</v>
      </c>
      <c r="B22" s="640"/>
      <c r="C22" s="640"/>
      <c r="D22" s="640"/>
      <c r="E22" s="640">
        <f>+E20+F20+G20</f>
        <v>-403554.14648683905</v>
      </c>
      <c r="F22" s="640"/>
      <c r="G22" s="640"/>
      <c r="H22" s="641"/>
      <c r="I22" s="598"/>
    </row>
    <row r="23" spans="1:13" ht="15.75">
      <c r="A23" s="640"/>
      <c r="B23" s="640"/>
      <c r="C23" s="640"/>
      <c r="D23" s="640"/>
      <c r="E23" s="640"/>
      <c r="F23" s="640"/>
      <c r="G23" s="640"/>
      <c r="H23" s="640"/>
      <c r="I23" s="598"/>
    </row>
    <row r="24" spans="1:13" ht="83.25" customHeight="1">
      <c r="A24" s="880" t="s">
        <v>1572</v>
      </c>
      <c r="B24" s="880"/>
      <c r="C24" s="880"/>
      <c r="D24" s="880"/>
      <c r="E24" s="880"/>
      <c r="F24" s="880"/>
      <c r="G24" s="880"/>
      <c r="H24" s="880"/>
      <c r="I24" s="598"/>
    </row>
    <row r="25" spans="1:13" ht="15.75">
      <c r="A25" s="717"/>
      <c r="B25" s="640"/>
      <c r="C25" s="640"/>
      <c r="D25" s="640"/>
      <c r="E25" s="640"/>
      <c r="F25" s="640"/>
      <c r="G25" s="640"/>
      <c r="H25" s="640"/>
      <c r="I25" s="598"/>
    </row>
    <row r="26" spans="1:13" ht="15.75">
      <c r="A26" s="785"/>
      <c r="B26" s="516"/>
      <c r="C26" s="516"/>
      <c r="D26" s="516"/>
      <c r="E26" s="516"/>
      <c r="F26" s="516"/>
      <c r="G26" s="516"/>
      <c r="H26" s="516"/>
    </row>
    <row r="27" spans="1:13" ht="15.75">
      <c r="A27" s="785"/>
      <c r="B27" s="516"/>
      <c r="C27" s="516"/>
      <c r="D27" s="516"/>
      <c r="E27" s="516"/>
      <c r="F27" s="516"/>
      <c r="G27" s="516"/>
      <c r="H27" s="516"/>
    </row>
    <row r="28" spans="1:13" ht="15.75">
      <c r="A28" s="785"/>
      <c r="B28" s="516"/>
      <c r="C28" s="516"/>
      <c r="D28" s="516"/>
      <c r="E28" s="516"/>
      <c r="F28" s="516"/>
      <c r="G28" s="516"/>
      <c r="H28" s="516"/>
    </row>
    <row r="29" spans="1:13" ht="15.75">
      <c r="A29" s="785"/>
      <c r="B29" s="516"/>
      <c r="C29" s="516"/>
      <c r="D29" s="516"/>
      <c r="E29" s="516"/>
      <c r="F29" s="516"/>
      <c r="G29" s="516"/>
      <c r="H29" s="516"/>
    </row>
    <row r="30" spans="1:13" ht="15.75">
      <c r="A30" s="785"/>
      <c r="B30" s="516"/>
      <c r="C30" s="516"/>
      <c r="D30" s="516"/>
      <c r="E30" s="516"/>
      <c r="F30" s="516"/>
      <c r="G30" s="516"/>
      <c r="H30" s="516"/>
    </row>
  </sheetData>
  <mergeCells count="1">
    <mergeCell ref="A24:H24"/>
  </mergeCells>
  <printOptions headings="1" gridLines="1"/>
  <pageMargins left="0.5" right="0.25" top="0.75" bottom="0.75" header="0.3" footer="0.3"/>
  <pageSetup fitToHeight="0" orientation="landscape"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7BD46-E5ED-4724-B4E0-AC50D34B1CB1}">
  <sheetPr>
    <pageSetUpPr fitToPage="1"/>
  </sheetPr>
  <dimension ref="A1:Y76"/>
  <sheetViews>
    <sheetView workbookViewId="0">
      <selection activeCell="G4" sqref="G4"/>
    </sheetView>
  </sheetViews>
  <sheetFormatPr defaultRowHeight="15"/>
  <cols>
    <col min="1" max="1" width="16.33203125" customWidth="1"/>
    <col min="2" max="2" width="9.33203125" customWidth="1"/>
    <col min="3" max="3" width="7.88671875" bestFit="1" customWidth="1"/>
    <col min="4" max="4" width="7.109375" bestFit="1" customWidth="1"/>
    <col min="5" max="5" width="6.21875" bestFit="1" customWidth="1"/>
    <col min="6" max="6" width="7.88671875" bestFit="1" customWidth="1"/>
    <col min="7" max="7" width="7.109375" bestFit="1" customWidth="1"/>
    <col min="8" max="10" width="7.77734375" bestFit="1" customWidth="1"/>
    <col min="11" max="11" width="8.77734375" bestFit="1" customWidth="1"/>
    <col min="14" max="16" width="7.77734375" bestFit="1" customWidth="1"/>
    <col min="19" max="19" width="10.5546875" customWidth="1"/>
  </cols>
  <sheetData>
    <row r="1" spans="1:25" ht="15.75">
      <c r="A1" s="125" t="s">
        <v>16</v>
      </c>
      <c r="B1" s="820"/>
      <c r="C1" s="820"/>
      <c r="D1" s="820"/>
      <c r="E1" s="820"/>
      <c r="F1" s="820"/>
      <c r="G1" s="821"/>
      <c r="H1" s="822"/>
      <c r="I1" s="822"/>
      <c r="J1" s="822"/>
      <c r="K1" s="820"/>
      <c r="L1" s="89"/>
      <c r="M1" s="89"/>
      <c r="N1" s="89"/>
      <c r="O1" s="89"/>
      <c r="P1" s="89"/>
      <c r="Q1" s="89"/>
      <c r="R1" s="89"/>
      <c r="S1" s="89" t="s">
        <v>1567</v>
      </c>
      <c r="T1" s="579">
        <v>1.0575000000000001</v>
      </c>
      <c r="U1" s="89"/>
      <c r="V1" s="89"/>
      <c r="W1" s="89"/>
      <c r="X1" s="89"/>
      <c r="Y1" s="89"/>
    </row>
    <row r="2" spans="1:25" ht="15.75">
      <c r="A2" s="125" t="s">
        <v>768</v>
      </c>
      <c r="B2" s="820"/>
      <c r="C2" s="820"/>
      <c r="D2" s="820"/>
      <c r="E2" s="820"/>
      <c r="F2" s="820"/>
      <c r="G2" s="820"/>
      <c r="H2" s="820"/>
      <c r="I2" s="820"/>
      <c r="J2" s="820"/>
      <c r="K2" s="126"/>
      <c r="L2" s="89"/>
      <c r="M2" s="89"/>
      <c r="N2" s="89"/>
      <c r="O2" s="89"/>
      <c r="P2" s="89"/>
      <c r="Q2" s="89"/>
      <c r="R2" s="89"/>
      <c r="S2" s="89"/>
      <c r="T2" s="89"/>
      <c r="U2" s="89"/>
      <c r="V2" s="89"/>
      <c r="W2" s="89"/>
      <c r="X2" s="89"/>
      <c r="Y2" s="89"/>
    </row>
    <row r="3" spans="1:25" ht="15.75">
      <c r="A3" s="125" t="s">
        <v>744</v>
      </c>
      <c r="B3" s="820"/>
      <c r="C3" s="820"/>
      <c r="D3" s="820"/>
      <c r="E3" s="820"/>
      <c r="F3" s="820"/>
      <c r="G3" s="820"/>
      <c r="H3" s="820"/>
      <c r="I3" s="820"/>
      <c r="J3" s="820"/>
      <c r="K3" s="820"/>
      <c r="L3" s="89"/>
      <c r="M3" s="89"/>
      <c r="N3" s="89"/>
      <c r="O3" s="89"/>
      <c r="P3" s="89"/>
      <c r="Q3" s="89"/>
      <c r="R3" s="89"/>
      <c r="S3" s="89"/>
      <c r="T3" s="89"/>
      <c r="U3" s="89"/>
      <c r="V3" s="89"/>
      <c r="W3" s="89"/>
      <c r="X3" s="89"/>
      <c r="Y3" s="89"/>
    </row>
    <row r="4" spans="1:25" ht="15.75">
      <c r="A4" s="125"/>
      <c r="B4" s="820"/>
      <c r="C4" s="820"/>
      <c r="D4" s="820"/>
      <c r="E4" s="820"/>
      <c r="F4" s="820"/>
      <c r="G4" s="820"/>
      <c r="H4" s="820"/>
      <c r="I4" s="820"/>
      <c r="J4" s="820"/>
      <c r="K4" s="820"/>
      <c r="L4" s="89"/>
      <c r="M4" s="89"/>
      <c r="N4" s="89"/>
      <c r="O4" s="89"/>
      <c r="P4" s="89"/>
      <c r="Q4" s="89"/>
      <c r="R4" s="89"/>
      <c r="S4" s="89"/>
      <c r="T4" s="89"/>
      <c r="U4" s="89"/>
      <c r="V4" s="89"/>
      <c r="W4" s="89"/>
      <c r="X4" s="89"/>
      <c r="Y4" s="89"/>
    </row>
    <row r="5" spans="1:25" ht="15.75">
      <c r="A5" s="823"/>
      <c r="B5" s="823"/>
      <c r="C5" s="823"/>
      <c r="D5" s="824"/>
      <c r="E5" s="824"/>
      <c r="F5" s="824"/>
      <c r="G5" s="824"/>
      <c r="H5" s="824"/>
      <c r="I5" s="824"/>
      <c r="J5" s="824"/>
      <c r="K5" s="824" t="s">
        <v>734</v>
      </c>
      <c r="L5" s="824" t="s">
        <v>734</v>
      </c>
      <c r="M5" s="824" t="s">
        <v>734</v>
      </c>
      <c r="N5" s="126" t="s">
        <v>1568</v>
      </c>
      <c r="O5" s="126"/>
      <c r="P5" s="126"/>
      <c r="Q5" s="89"/>
      <c r="R5" s="89"/>
      <c r="S5" s="89"/>
      <c r="T5" s="89"/>
      <c r="U5" s="89"/>
      <c r="V5" s="89"/>
      <c r="W5" s="89"/>
      <c r="X5" s="89"/>
      <c r="Y5" s="89"/>
    </row>
    <row r="6" spans="1:25" ht="15.75">
      <c r="A6" s="823"/>
      <c r="B6" s="824" t="s">
        <v>769</v>
      </c>
      <c r="C6" s="824" t="s">
        <v>770</v>
      </c>
      <c r="D6" s="824" t="s">
        <v>672</v>
      </c>
      <c r="E6" s="824" t="s">
        <v>668</v>
      </c>
      <c r="F6" s="824" t="s">
        <v>660</v>
      </c>
      <c r="G6" s="824" t="s">
        <v>648</v>
      </c>
      <c r="H6" s="824" t="s">
        <v>672</v>
      </c>
      <c r="I6" s="824" t="s">
        <v>668</v>
      </c>
      <c r="J6" s="824" t="s">
        <v>660</v>
      </c>
      <c r="K6" s="824" t="s">
        <v>672</v>
      </c>
      <c r="L6" s="824" t="s">
        <v>668</v>
      </c>
      <c r="M6" s="824" t="s">
        <v>660</v>
      </c>
      <c r="N6" s="824" t="s">
        <v>672</v>
      </c>
      <c r="O6" s="824" t="s">
        <v>668</v>
      </c>
      <c r="P6" s="824" t="s">
        <v>660</v>
      </c>
      <c r="Q6" s="89"/>
      <c r="R6" s="89"/>
      <c r="S6" s="89"/>
      <c r="T6" s="89"/>
      <c r="U6" s="89"/>
      <c r="V6" s="89"/>
      <c r="W6" s="89"/>
      <c r="X6" s="89"/>
      <c r="Y6" s="89"/>
    </row>
    <row r="7" spans="1:25" ht="15.75">
      <c r="A7" s="825" t="s">
        <v>771</v>
      </c>
      <c r="B7" s="825" t="s">
        <v>772</v>
      </c>
      <c r="C7" s="825" t="s">
        <v>773</v>
      </c>
      <c r="D7" s="825" t="s">
        <v>774</v>
      </c>
      <c r="E7" s="825" t="s">
        <v>729</v>
      </c>
      <c r="F7" s="825" t="s">
        <v>729</v>
      </c>
      <c r="G7" s="825" t="s">
        <v>729</v>
      </c>
      <c r="H7" s="825" t="s">
        <v>1</v>
      </c>
      <c r="I7" s="825" t="s">
        <v>1</v>
      </c>
      <c r="J7" s="825" t="s">
        <v>1</v>
      </c>
      <c r="K7" s="825" t="s">
        <v>774</v>
      </c>
      <c r="L7" s="825" t="s">
        <v>774</v>
      </c>
      <c r="M7" s="825" t="s">
        <v>774</v>
      </c>
      <c r="N7" s="825" t="s">
        <v>1</v>
      </c>
      <c r="O7" s="825" t="s">
        <v>1</v>
      </c>
      <c r="P7" s="825" t="s">
        <v>1</v>
      </c>
      <c r="Q7" s="89"/>
      <c r="R7" s="89"/>
      <c r="S7" s="89"/>
      <c r="T7" s="89"/>
      <c r="U7" s="89"/>
      <c r="V7" s="89"/>
      <c r="W7" s="89"/>
      <c r="X7" s="89"/>
      <c r="Y7" s="89"/>
    </row>
    <row r="8" spans="1:25" ht="15.75">
      <c r="A8" s="826" t="s">
        <v>775</v>
      </c>
      <c r="B8" s="827">
        <v>100</v>
      </c>
      <c r="C8" s="823">
        <v>7234</v>
      </c>
      <c r="D8" s="828">
        <v>8.89</v>
      </c>
      <c r="E8" s="828">
        <v>6.75</v>
      </c>
      <c r="F8" s="828">
        <v>9</v>
      </c>
      <c r="G8" s="829">
        <f>SUM(D8:F8)</f>
        <v>24.64</v>
      </c>
      <c r="H8" s="830">
        <f>D8*C8</f>
        <v>64310.26</v>
      </c>
      <c r="I8" s="830">
        <f>C8*E8</f>
        <v>48829.5</v>
      </c>
      <c r="J8" s="830"/>
      <c r="K8" s="828">
        <f>+D8*$T$1</f>
        <v>9.4011750000000021</v>
      </c>
      <c r="L8" s="828">
        <f>+E8*$T$1</f>
        <v>7.1381250000000005</v>
      </c>
      <c r="M8" s="828">
        <f>+F8*$T$1</f>
        <v>9.5175000000000018</v>
      </c>
      <c r="N8" s="553">
        <f>+C8*K8</f>
        <v>68008.099950000018</v>
      </c>
      <c r="O8" s="553">
        <f>+C8*L8</f>
        <v>51637.196250000001</v>
      </c>
      <c r="P8" s="89"/>
      <c r="Q8" s="89"/>
      <c r="R8" s="89"/>
      <c r="S8" s="89"/>
      <c r="T8" s="89"/>
      <c r="U8" s="89"/>
      <c r="V8" s="89"/>
      <c r="W8" s="89"/>
      <c r="X8" s="89"/>
      <c r="Y8" s="89"/>
    </row>
    <row r="9" spans="1:25" ht="15.75">
      <c r="A9" s="826" t="s">
        <v>776</v>
      </c>
      <c r="B9" s="827">
        <v>100</v>
      </c>
      <c r="C9" s="823">
        <v>3874</v>
      </c>
      <c r="D9" s="828">
        <v>6.72</v>
      </c>
      <c r="E9" s="828">
        <v>2.7</v>
      </c>
      <c r="F9" s="828">
        <v>9</v>
      </c>
      <c r="G9" s="829">
        <f t="shared" ref="G9:G34" si="0">SUM(D9:F9)</f>
        <v>18.420000000000002</v>
      </c>
      <c r="H9" s="830">
        <f t="shared" ref="H9:H34" si="1">D9*C9</f>
        <v>26033.279999999999</v>
      </c>
      <c r="I9" s="830">
        <f t="shared" ref="I9:I33" si="2">C9*E9</f>
        <v>10459.800000000001</v>
      </c>
      <c r="J9" s="830"/>
      <c r="K9" s="828">
        <f t="shared" ref="K9:K34" si="3">+D9*$T$1</f>
        <v>7.1064000000000007</v>
      </c>
      <c r="L9" s="828">
        <f t="shared" ref="L9:L34" si="4">+E9*$T$1</f>
        <v>2.8552500000000003</v>
      </c>
      <c r="M9" s="828">
        <f t="shared" ref="M9:M34" si="5">+F9*$T$1</f>
        <v>9.5175000000000018</v>
      </c>
      <c r="N9" s="553">
        <f t="shared" ref="N9:N33" si="6">+C9*K9</f>
        <v>27530.193600000002</v>
      </c>
      <c r="O9" s="553">
        <f t="shared" ref="O9:O27" si="7">+C9*L9</f>
        <v>11061.238500000001</v>
      </c>
      <c r="P9" s="89"/>
      <c r="Q9" s="89"/>
      <c r="R9" s="89"/>
      <c r="S9" s="89"/>
      <c r="T9" s="89"/>
      <c r="U9" s="89"/>
      <c r="V9" s="89"/>
      <c r="W9" s="89"/>
      <c r="X9" s="89"/>
      <c r="Y9" s="89"/>
    </row>
    <row r="10" spans="1:25" ht="15.75">
      <c r="A10" s="826" t="s">
        <v>777</v>
      </c>
      <c r="B10" s="827">
        <v>100</v>
      </c>
      <c r="C10" s="823">
        <v>60904</v>
      </c>
      <c r="D10" s="828">
        <v>13.29</v>
      </c>
      <c r="E10" s="828">
        <v>6.75</v>
      </c>
      <c r="F10" s="828">
        <v>9</v>
      </c>
      <c r="G10" s="829">
        <f t="shared" si="0"/>
        <v>29.04</v>
      </c>
      <c r="H10" s="830">
        <f t="shared" si="1"/>
        <v>809414.15999999992</v>
      </c>
      <c r="I10" s="830">
        <f t="shared" si="2"/>
        <v>411102</v>
      </c>
      <c r="J10" s="830"/>
      <c r="K10" s="828">
        <f t="shared" si="3"/>
        <v>14.054175000000001</v>
      </c>
      <c r="L10" s="828">
        <f t="shared" si="4"/>
        <v>7.1381250000000005</v>
      </c>
      <c r="M10" s="828">
        <f t="shared" si="5"/>
        <v>9.5175000000000018</v>
      </c>
      <c r="N10" s="553">
        <f t="shared" si="6"/>
        <v>855955.47420000006</v>
      </c>
      <c r="O10" s="553">
        <f t="shared" si="7"/>
        <v>434740.36500000005</v>
      </c>
      <c r="P10" s="89"/>
      <c r="Q10" s="89"/>
      <c r="R10" s="89"/>
      <c r="S10" s="89"/>
      <c r="T10" s="89"/>
      <c r="U10" s="89"/>
      <c r="V10" s="89"/>
      <c r="W10" s="89"/>
      <c r="X10" s="89"/>
      <c r="Y10" s="89"/>
    </row>
    <row r="11" spans="1:25" ht="15.75">
      <c r="A11" s="826" t="s">
        <v>778</v>
      </c>
      <c r="B11" s="827">
        <v>100</v>
      </c>
      <c r="C11" s="823">
        <v>8564</v>
      </c>
      <c r="D11" s="828">
        <v>19.100000000000001</v>
      </c>
      <c r="E11" s="828">
        <v>6.75</v>
      </c>
      <c r="F11" s="828">
        <v>9</v>
      </c>
      <c r="G11" s="829">
        <f t="shared" si="0"/>
        <v>34.85</v>
      </c>
      <c r="H11" s="830">
        <f t="shared" si="1"/>
        <v>163572.40000000002</v>
      </c>
      <c r="I11" s="830">
        <f t="shared" si="2"/>
        <v>57807</v>
      </c>
      <c r="J11" s="830"/>
      <c r="K11" s="828">
        <f t="shared" si="3"/>
        <v>20.198250000000005</v>
      </c>
      <c r="L11" s="828">
        <f t="shared" si="4"/>
        <v>7.1381250000000005</v>
      </c>
      <c r="M11" s="828">
        <f t="shared" si="5"/>
        <v>9.5175000000000018</v>
      </c>
      <c r="N11" s="553">
        <f t="shared" si="6"/>
        <v>172977.81300000005</v>
      </c>
      <c r="O11" s="553">
        <f t="shared" si="7"/>
        <v>61130.902500000004</v>
      </c>
      <c r="P11" s="89"/>
      <c r="Q11" s="89"/>
      <c r="R11" s="89"/>
      <c r="S11" s="89"/>
      <c r="T11" s="89"/>
      <c r="U11" s="89"/>
      <c r="V11" s="89"/>
      <c r="W11" s="89"/>
      <c r="X11" s="89"/>
      <c r="Y11" s="89"/>
    </row>
    <row r="12" spans="1:25" ht="15.75">
      <c r="A12" s="826" t="s">
        <v>779</v>
      </c>
      <c r="B12" s="827">
        <v>100</v>
      </c>
      <c r="C12" s="823">
        <v>693</v>
      </c>
      <c r="D12" s="828">
        <v>24.41</v>
      </c>
      <c r="E12" s="828">
        <v>6.75</v>
      </c>
      <c r="F12" s="828">
        <v>9</v>
      </c>
      <c r="G12" s="829">
        <f t="shared" si="0"/>
        <v>40.159999999999997</v>
      </c>
      <c r="H12" s="830">
        <f t="shared" si="1"/>
        <v>16916.13</v>
      </c>
      <c r="I12" s="830">
        <f t="shared" si="2"/>
        <v>4677.75</v>
      </c>
      <c r="J12" s="830"/>
      <c r="K12" s="828">
        <f t="shared" si="3"/>
        <v>25.813575000000004</v>
      </c>
      <c r="L12" s="828">
        <f t="shared" si="4"/>
        <v>7.1381250000000005</v>
      </c>
      <c r="M12" s="828">
        <f t="shared" si="5"/>
        <v>9.5175000000000018</v>
      </c>
      <c r="N12" s="553">
        <f t="shared" si="6"/>
        <v>17888.807475000001</v>
      </c>
      <c r="O12" s="553">
        <f t="shared" si="7"/>
        <v>4946.7206249999999</v>
      </c>
      <c r="P12" s="89"/>
      <c r="Q12" s="89"/>
      <c r="R12" s="89"/>
      <c r="S12" s="89"/>
      <c r="T12" s="89"/>
      <c r="U12" s="89"/>
      <c r="V12" s="89"/>
      <c r="W12" s="89"/>
      <c r="X12" s="89"/>
      <c r="Y12" s="89"/>
    </row>
    <row r="13" spans="1:25" ht="15.75">
      <c r="A13" s="826" t="s">
        <v>780</v>
      </c>
      <c r="B13" s="827">
        <v>100</v>
      </c>
      <c r="C13" s="823">
        <v>337</v>
      </c>
      <c r="D13" s="828">
        <v>30.12</v>
      </c>
      <c r="E13" s="828">
        <v>6.75</v>
      </c>
      <c r="F13" s="828">
        <v>9</v>
      </c>
      <c r="G13" s="829">
        <f t="shared" si="0"/>
        <v>45.870000000000005</v>
      </c>
      <c r="H13" s="830">
        <f t="shared" si="1"/>
        <v>10150.44</v>
      </c>
      <c r="I13" s="830">
        <f t="shared" si="2"/>
        <v>2274.75</v>
      </c>
      <c r="J13" s="830"/>
      <c r="K13" s="828">
        <f t="shared" si="3"/>
        <v>31.851900000000004</v>
      </c>
      <c r="L13" s="828">
        <f t="shared" si="4"/>
        <v>7.1381250000000005</v>
      </c>
      <c r="M13" s="828">
        <f t="shared" si="5"/>
        <v>9.5175000000000018</v>
      </c>
      <c r="N13" s="553">
        <f t="shared" si="6"/>
        <v>10734.090300000002</v>
      </c>
      <c r="O13" s="553">
        <f t="shared" si="7"/>
        <v>2405.5481250000003</v>
      </c>
      <c r="P13" s="89"/>
      <c r="Q13" s="89"/>
      <c r="R13" s="89"/>
      <c r="S13" s="89"/>
      <c r="T13" s="89"/>
      <c r="U13" s="89"/>
      <c r="V13" s="89"/>
      <c r="W13" s="89"/>
      <c r="X13" s="89"/>
      <c r="Y13" s="89"/>
    </row>
    <row r="14" spans="1:25" ht="15.75">
      <c r="A14" s="826" t="s">
        <v>781</v>
      </c>
      <c r="B14" s="827">
        <v>100</v>
      </c>
      <c r="C14" s="823">
        <v>32</v>
      </c>
      <c r="D14" s="828">
        <v>35.83</v>
      </c>
      <c r="E14" s="828">
        <v>6.75</v>
      </c>
      <c r="F14" s="828">
        <v>9</v>
      </c>
      <c r="G14" s="829">
        <f t="shared" si="0"/>
        <v>51.58</v>
      </c>
      <c r="H14" s="830">
        <f t="shared" si="1"/>
        <v>1146.56</v>
      </c>
      <c r="I14" s="830">
        <f t="shared" si="2"/>
        <v>216</v>
      </c>
      <c r="J14" s="830"/>
      <c r="K14" s="828">
        <f t="shared" si="3"/>
        <v>37.890225000000001</v>
      </c>
      <c r="L14" s="828">
        <f t="shared" si="4"/>
        <v>7.1381250000000005</v>
      </c>
      <c r="M14" s="828">
        <f t="shared" si="5"/>
        <v>9.5175000000000018</v>
      </c>
      <c r="N14" s="553">
        <f t="shared" si="6"/>
        <v>1212.4872</v>
      </c>
      <c r="O14" s="553">
        <f t="shared" si="7"/>
        <v>228.42000000000002</v>
      </c>
      <c r="P14" s="89"/>
      <c r="Q14" s="89"/>
      <c r="R14" s="89"/>
      <c r="S14" s="89"/>
      <c r="T14" s="89"/>
      <c r="U14" s="89"/>
      <c r="V14" s="89"/>
      <c r="W14" s="89"/>
      <c r="X14" s="89"/>
      <c r="Y14" s="89"/>
    </row>
    <row r="15" spans="1:25" ht="15.75">
      <c r="A15" s="826" t="s">
        <v>782</v>
      </c>
      <c r="B15" s="827">
        <v>100</v>
      </c>
      <c r="C15" s="823">
        <v>24</v>
      </c>
      <c r="D15" s="828">
        <v>39.229999999999997</v>
      </c>
      <c r="E15" s="828">
        <v>6.75</v>
      </c>
      <c r="F15" s="828">
        <v>9</v>
      </c>
      <c r="G15" s="829">
        <f t="shared" si="0"/>
        <v>54.98</v>
      </c>
      <c r="H15" s="830">
        <f t="shared" si="1"/>
        <v>941.52</v>
      </c>
      <c r="I15" s="830">
        <f t="shared" si="2"/>
        <v>162</v>
      </c>
      <c r="J15" s="830"/>
      <c r="K15" s="828">
        <f t="shared" si="3"/>
        <v>41.485725000000002</v>
      </c>
      <c r="L15" s="828">
        <f t="shared" si="4"/>
        <v>7.1381250000000005</v>
      </c>
      <c r="M15" s="828">
        <f t="shared" si="5"/>
        <v>9.5175000000000018</v>
      </c>
      <c r="N15" s="553">
        <f t="shared" si="6"/>
        <v>995.65740000000005</v>
      </c>
      <c r="O15" s="553">
        <f t="shared" si="7"/>
        <v>171.315</v>
      </c>
      <c r="P15" s="89"/>
      <c r="Q15" s="89"/>
      <c r="R15" s="89"/>
      <c r="S15" s="89"/>
      <c r="T15" s="89"/>
      <c r="U15" s="89"/>
      <c r="V15" s="89"/>
      <c r="W15" s="89"/>
      <c r="X15" s="89"/>
      <c r="Y15" s="89"/>
    </row>
    <row r="16" spans="1:25" ht="15.75">
      <c r="A16" s="826" t="s">
        <v>783</v>
      </c>
      <c r="B16" s="827">
        <v>100</v>
      </c>
      <c r="C16" s="823"/>
      <c r="D16" s="828"/>
      <c r="E16" s="828">
        <v>8.0399999999999991</v>
      </c>
      <c r="F16" s="828">
        <v>9</v>
      </c>
      <c r="G16" s="829">
        <f t="shared" si="0"/>
        <v>17.04</v>
      </c>
      <c r="H16" s="830">
        <f t="shared" si="1"/>
        <v>0</v>
      </c>
      <c r="I16" s="830">
        <f t="shared" si="2"/>
        <v>0</v>
      </c>
      <c r="J16" s="830"/>
      <c r="K16" s="828">
        <f t="shared" si="3"/>
        <v>0</v>
      </c>
      <c r="L16" s="828">
        <f t="shared" si="4"/>
        <v>8.5023</v>
      </c>
      <c r="M16" s="828">
        <f t="shared" si="5"/>
        <v>9.5175000000000018</v>
      </c>
      <c r="N16" s="553"/>
      <c r="O16" s="553"/>
      <c r="P16" s="89"/>
      <c r="Q16" s="89"/>
      <c r="R16" s="89"/>
      <c r="S16" s="89"/>
      <c r="T16" s="89"/>
      <c r="U16" s="89"/>
      <c r="V16" s="89"/>
      <c r="W16" s="89"/>
      <c r="X16" s="89"/>
      <c r="Y16" s="89"/>
    </row>
    <row r="17" spans="1:25" ht="15.75">
      <c r="A17" s="826" t="s">
        <v>784</v>
      </c>
      <c r="B17" s="827">
        <v>100</v>
      </c>
      <c r="C17" s="823">
        <v>14334</v>
      </c>
      <c r="D17" s="828">
        <v>10.11</v>
      </c>
      <c r="E17" s="828">
        <v>6.75</v>
      </c>
      <c r="F17" s="828">
        <v>9</v>
      </c>
      <c r="G17" s="829">
        <f t="shared" si="0"/>
        <v>25.86</v>
      </c>
      <c r="H17" s="830">
        <f t="shared" si="1"/>
        <v>144916.74</v>
      </c>
      <c r="I17" s="830">
        <f t="shared" si="2"/>
        <v>96754.5</v>
      </c>
      <c r="J17" s="830"/>
      <c r="K17" s="828">
        <f t="shared" si="3"/>
        <v>10.691325000000001</v>
      </c>
      <c r="L17" s="828">
        <f t="shared" si="4"/>
        <v>7.1381250000000005</v>
      </c>
      <c r="M17" s="828">
        <f t="shared" si="5"/>
        <v>9.5175000000000018</v>
      </c>
      <c r="N17" s="553">
        <f t="shared" si="6"/>
        <v>153249.45255000002</v>
      </c>
      <c r="O17" s="553">
        <f t="shared" si="7"/>
        <v>102317.88375000001</v>
      </c>
      <c r="P17" s="89"/>
      <c r="Q17" s="89"/>
      <c r="R17" s="89"/>
      <c r="S17" s="89"/>
      <c r="T17" s="89"/>
      <c r="U17" s="89"/>
      <c r="V17" s="89"/>
      <c r="W17" s="89"/>
      <c r="X17" s="89"/>
      <c r="Y17" s="89"/>
    </row>
    <row r="18" spans="1:25" ht="15.75">
      <c r="A18" s="826" t="s">
        <v>785</v>
      </c>
      <c r="B18" s="827">
        <v>100</v>
      </c>
      <c r="C18" s="823">
        <v>46506</v>
      </c>
      <c r="D18" s="828">
        <v>14.5</v>
      </c>
      <c r="E18" s="828">
        <v>6.75</v>
      </c>
      <c r="F18" s="828">
        <v>9</v>
      </c>
      <c r="G18" s="829">
        <f t="shared" si="0"/>
        <v>30.25</v>
      </c>
      <c r="H18" s="830">
        <f t="shared" si="1"/>
        <v>674337</v>
      </c>
      <c r="I18" s="830">
        <f t="shared" si="2"/>
        <v>313915.5</v>
      </c>
      <c r="J18" s="830"/>
      <c r="K18" s="828">
        <f t="shared" si="3"/>
        <v>15.333750000000002</v>
      </c>
      <c r="L18" s="828">
        <f t="shared" si="4"/>
        <v>7.1381250000000005</v>
      </c>
      <c r="M18" s="828">
        <f t="shared" si="5"/>
        <v>9.5175000000000018</v>
      </c>
      <c r="N18" s="553">
        <f t="shared" si="6"/>
        <v>713111.37750000006</v>
      </c>
      <c r="O18" s="553">
        <f t="shared" si="7"/>
        <v>331965.64125000004</v>
      </c>
      <c r="P18" s="89"/>
      <c r="Q18" s="89"/>
      <c r="R18" s="89"/>
      <c r="S18" s="89"/>
      <c r="T18" s="89"/>
      <c r="U18" s="89"/>
      <c r="V18" s="89"/>
      <c r="W18" s="89"/>
      <c r="X18" s="89"/>
      <c r="Y18" s="89"/>
    </row>
    <row r="19" spans="1:25" ht="15.75">
      <c r="A19" s="826" t="s">
        <v>786</v>
      </c>
      <c r="B19" s="827">
        <v>100</v>
      </c>
      <c r="C19" s="823">
        <v>906</v>
      </c>
      <c r="D19" s="828">
        <v>28.27</v>
      </c>
      <c r="E19" s="828"/>
      <c r="F19" s="828"/>
      <c r="G19" s="829"/>
      <c r="H19" s="830">
        <f t="shared" si="1"/>
        <v>25612.62</v>
      </c>
      <c r="I19" s="830">
        <f t="shared" si="2"/>
        <v>0</v>
      </c>
      <c r="J19" s="830"/>
      <c r="K19" s="828">
        <f t="shared" si="3"/>
        <v>29.895525000000003</v>
      </c>
      <c r="L19" s="828">
        <f t="shared" si="4"/>
        <v>0</v>
      </c>
      <c r="M19" s="828">
        <f t="shared" si="5"/>
        <v>0</v>
      </c>
      <c r="N19" s="553">
        <f t="shared" si="6"/>
        <v>27085.345650000003</v>
      </c>
      <c r="O19" s="553"/>
      <c r="P19" s="89"/>
      <c r="Q19" s="89"/>
      <c r="R19" s="89"/>
      <c r="S19" s="89"/>
      <c r="T19" s="89"/>
      <c r="U19" s="89"/>
      <c r="V19" s="89"/>
      <c r="W19" s="89"/>
      <c r="X19" s="89"/>
      <c r="Y19" s="89"/>
    </row>
    <row r="20" spans="1:25" ht="15.75">
      <c r="A20" s="826" t="s">
        <v>787</v>
      </c>
      <c r="B20" s="827">
        <v>100</v>
      </c>
      <c r="C20" s="823">
        <v>27015</v>
      </c>
      <c r="D20" s="828">
        <v>17.690000000000001</v>
      </c>
      <c r="E20" s="828">
        <v>6.75</v>
      </c>
      <c r="F20" s="828">
        <v>9</v>
      </c>
      <c r="G20" s="829">
        <f t="shared" si="0"/>
        <v>33.44</v>
      </c>
      <c r="H20" s="830">
        <f>D20*C20</f>
        <v>477895.35000000003</v>
      </c>
      <c r="I20" s="830">
        <f t="shared" si="2"/>
        <v>182351.25</v>
      </c>
      <c r="J20" s="830"/>
      <c r="K20" s="828">
        <f t="shared" si="3"/>
        <v>18.707175000000003</v>
      </c>
      <c r="L20" s="828">
        <f t="shared" si="4"/>
        <v>7.1381250000000005</v>
      </c>
      <c r="M20" s="828">
        <f t="shared" si="5"/>
        <v>9.5175000000000018</v>
      </c>
      <c r="N20" s="553">
        <f t="shared" si="6"/>
        <v>505374.3326250001</v>
      </c>
      <c r="O20" s="553">
        <f t="shared" si="7"/>
        <v>192836.44687500002</v>
      </c>
      <c r="P20" s="89"/>
      <c r="Q20" s="89"/>
      <c r="R20" s="89"/>
      <c r="S20" s="89"/>
      <c r="T20" s="89"/>
      <c r="U20" s="89"/>
      <c r="V20" s="89"/>
      <c r="W20" s="89"/>
      <c r="X20" s="89"/>
      <c r="Y20" s="89"/>
    </row>
    <row r="21" spans="1:25" ht="15.75">
      <c r="A21" s="826" t="s">
        <v>788</v>
      </c>
      <c r="B21" s="827">
        <v>100</v>
      </c>
      <c r="C21" s="823">
        <v>18870</v>
      </c>
      <c r="D21" s="828">
        <v>20.52</v>
      </c>
      <c r="E21" s="828">
        <v>6.75</v>
      </c>
      <c r="F21" s="828">
        <v>9</v>
      </c>
      <c r="G21" s="829">
        <f t="shared" si="0"/>
        <v>36.269999999999996</v>
      </c>
      <c r="H21" s="830">
        <f>D21*C21</f>
        <v>387212.39999999997</v>
      </c>
      <c r="I21" s="830">
        <f t="shared" si="2"/>
        <v>127372.5</v>
      </c>
      <c r="J21" s="830"/>
      <c r="K21" s="828">
        <f t="shared" si="3"/>
        <v>21.699900000000003</v>
      </c>
      <c r="L21" s="828">
        <f t="shared" si="4"/>
        <v>7.1381250000000005</v>
      </c>
      <c r="M21" s="828">
        <f t="shared" si="5"/>
        <v>9.5175000000000018</v>
      </c>
      <c r="N21" s="553">
        <f t="shared" si="6"/>
        <v>409477.11300000007</v>
      </c>
      <c r="O21" s="553">
        <f t="shared" si="7"/>
        <v>134696.41875000001</v>
      </c>
      <c r="P21" s="89"/>
      <c r="Q21" s="89"/>
      <c r="R21" s="89"/>
      <c r="S21" s="89"/>
      <c r="T21" s="89"/>
      <c r="U21" s="89"/>
      <c r="V21" s="89"/>
      <c r="W21" s="89"/>
      <c r="X21" s="89"/>
      <c r="Y21" s="89"/>
    </row>
    <row r="22" spans="1:25" ht="15.75">
      <c r="A22" s="826" t="s">
        <v>789</v>
      </c>
      <c r="B22" s="827">
        <v>100</v>
      </c>
      <c r="C22" s="823">
        <v>591</v>
      </c>
      <c r="D22" s="828">
        <v>39.71</v>
      </c>
      <c r="E22" s="828"/>
      <c r="F22" s="828"/>
      <c r="G22" s="829"/>
      <c r="H22" s="830">
        <f t="shared" ref="H22:H23" si="8">D22*C22</f>
        <v>23468.61</v>
      </c>
      <c r="I22" s="830">
        <f t="shared" si="2"/>
        <v>0</v>
      </c>
      <c r="J22" s="830"/>
      <c r="K22" s="828">
        <f t="shared" si="3"/>
        <v>41.993325000000006</v>
      </c>
      <c r="L22" s="828">
        <f t="shared" si="4"/>
        <v>0</v>
      </c>
      <c r="M22" s="828">
        <f t="shared" si="5"/>
        <v>0</v>
      </c>
      <c r="N22" s="553">
        <f t="shared" si="6"/>
        <v>24818.055075000004</v>
      </c>
      <c r="O22" s="553"/>
      <c r="P22" s="89"/>
      <c r="Q22" s="89"/>
      <c r="R22" s="89"/>
      <c r="S22" s="89"/>
      <c r="T22" s="89"/>
      <c r="U22" s="89"/>
      <c r="V22" s="89"/>
      <c r="W22" s="89"/>
      <c r="X22" s="89"/>
      <c r="Y22" s="89"/>
    </row>
    <row r="23" spans="1:25" ht="15.75">
      <c r="A23" s="826" t="s">
        <v>790</v>
      </c>
      <c r="B23" s="827">
        <v>100</v>
      </c>
      <c r="C23" s="823">
        <v>28</v>
      </c>
      <c r="D23" s="828">
        <v>51.65</v>
      </c>
      <c r="E23" s="828"/>
      <c r="F23" s="828"/>
      <c r="G23" s="829"/>
      <c r="H23" s="830">
        <f t="shared" si="8"/>
        <v>1446.2</v>
      </c>
      <c r="I23" s="830">
        <f t="shared" si="2"/>
        <v>0</v>
      </c>
      <c r="J23" s="830"/>
      <c r="K23" s="828">
        <f t="shared" si="3"/>
        <v>54.619875000000008</v>
      </c>
      <c r="L23" s="828">
        <f t="shared" si="4"/>
        <v>0</v>
      </c>
      <c r="M23" s="828">
        <f t="shared" si="5"/>
        <v>0</v>
      </c>
      <c r="N23" s="553">
        <f t="shared" si="6"/>
        <v>1529.3565000000003</v>
      </c>
      <c r="O23" s="553"/>
      <c r="P23" s="89"/>
      <c r="Q23" s="89"/>
      <c r="R23" s="89"/>
      <c r="S23" s="89"/>
      <c r="T23" s="89"/>
      <c r="U23" s="89"/>
      <c r="V23" s="89"/>
      <c r="W23" s="89"/>
      <c r="X23" s="89"/>
      <c r="Y23" s="89"/>
    </row>
    <row r="24" spans="1:25" ht="15.75">
      <c r="A24" s="826" t="s">
        <v>791</v>
      </c>
      <c r="B24" s="827">
        <v>100</v>
      </c>
      <c r="C24" s="823">
        <v>8449</v>
      </c>
      <c r="D24" s="828">
        <v>25.82</v>
      </c>
      <c r="E24" s="828">
        <v>6.75</v>
      </c>
      <c r="F24" s="828">
        <v>9</v>
      </c>
      <c r="G24" s="829">
        <f t="shared" si="0"/>
        <v>41.57</v>
      </c>
      <c r="H24" s="830">
        <f>D24*C24</f>
        <v>218153.18</v>
      </c>
      <c r="I24" s="830">
        <f t="shared" si="2"/>
        <v>57030.75</v>
      </c>
      <c r="J24" s="830"/>
      <c r="K24" s="828">
        <f t="shared" si="3"/>
        <v>27.304650000000002</v>
      </c>
      <c r="L24" s="828">
        <f t="shared" si="4"/>
        <v>7.1381250000000005</v>
      </c>
      <c r="M24" s="828">
        <f t="shared" si="5"/>
        <v>9.5175000000000018</v>
      </c>
      <c r="N24" s="553">
        <f t="shared" si="6"/>
        <v>230696.98785</v>
      </c>
      <c r="O24" s="553">
        <f t="shared" si="7"/>
        <v>60310.018125000002</v>
      </c>
      <c r="P24" s="89"/>
      <c r="Q24" s="89"/>
      <c r="R24" s="89"/>
      <c r="S24" s="89"/>
      <c r="T24" s="89"/>
      <c r="U24" s="89"/>
      <c r="V24" s="89"/>
      <c r="W24" s="89"/>
      <c r="X24" s="89"/>
      <c r="Y24" s="89"/>
    </row>
    <row r="25" spans="1:25" ht="15.75">
      <c r="A25" s="826" t="s">
        <v>792</v>
      </c>
      <c r="B25" s="827">
        <v>100</v>
      </c>
      <c r="C25" s="823">
        <v>632</v>
      </c>
      <c r="D25" s="828">
        <v>51.13</v>
      </c>
      <c r="E25" s="828"/>
      <c r="F25" s="828">
        <v>9</v>
      </c>
      <c r="G25" s="829">
        <f t="shared" si="0"/>
        <v>60.13</v>
      </c>
      <c r="H25" s="830">
        <f>D25*C25</f>
        <v>32314.16</v>
      </c>
      <c r="I25" s="830">
        <f t="shared" si="2"/>
        <v>0</v>
      </c>
      <c r="J25" s="830"/>
      <c r="K25" s="828">
        <f t="shared" si="3"/>
        <v>54.069975000000007</v>
      </c>
      <c r="L25" s="828">
        <f t="shared" si="4"/>
        <v>0</v>
      </c>
      <c r="M25" s="828">
        <f t="shared" si="5"/>
        <v>9.5175000000000018</v>
      </c>
      <c r="N25" s="553">
        <f t="shared" si="6"/>
        <v>34172.224200000004</v>
      </c>
      <c r="O25" s="553"/>
      <c r="P25" s="89"/>
      <c r="Q25" s="89"/>
      <c r="R25" s="89"/>
      <c r="S25" s="89"/>
      <c r="T25" s="89"/>
      <c r="U25" s="89"/>
      <c r="V25" s="89"/>
      <c r="W25" s="89"/>
      <c r="X25" s="89"/>
      <c r="Y25" s="89"/>
    </row>
    <row r="26" spans="1:25" ht="15.75">
      <c r="A26" s="826" t="s">
        <v>793</v>
      </c>
      <c r="B26" s="827">
        <v>100</v>
      </c>
      <c r="C26" s="823">
        <v>32</v>
      </c>
      <c r="D26" s="828">
        <v>69.69</v>
      </c>
      <c r="E26" s="828"/>
      <c r="F26" s="828">
        <v>9</v>
      </c>
      <c r="G26" s="829">
        <f t="shared" si="0"/>
        <v>78.69</v>
      </c>
      <c r="H26" s="830">
        <f>D26*C26</f>
        <v>2230.08</v>
      </c>
      <c r="I26" s="830">
        <f t="shared" si="2"/>
        <v>0</v>
      </c>
      <c r="J26" s="830"/>
      <c r="K26" s="828">
        <f t="shared" si="3"/>
        <v>73.697175000000001</v>
      </c>
      <c r="L26" s="828">
        <f t="shared" si="4"/>
        <v>0</v>
      </c>
      <c r="M26" s="828">
        <f t="shared" si="5"/>
        <v>9.5175000000000018</v>
      </c>
      <c r="N26" s="553">
        <f t="shared" si="6"/>
        <v>2358.3096</v>
      </c>
      <c r="O26" s="553"/>
      <c r="P26" s="89"/>
      <c r="Q26" s="89"/>
      <c r="R26" s="89"/>
      <c r="S26" s="89"/>
      <c r="T26" s="89"/>
      <c r="U26" s="89"/>
      <c r="V26" s="89"/>
      <c r="W26" s="89"/>
      <c r="X26" s="89"/>
      <c r="Y26" s="89"/>
    </row>
    <row r="27" spans="1:25" ht="15.75">
      <c r="A27" s="826" t="s">
        <v>794</v>
      </c>
      <c r="B27" s="827">
        <v>100</v>
      </c>
      <c r="C27" s="823">
        <v>1356</v>
      </c>
      <c r="D27" s="828">
        <v>6.72</v>
      </c>
      <c r="E27" s="828">
        <v>2.7</v>
      </c>
      <c r="F27" s="828">
        <v>9</v>
      </c>
      <c r="G27" s="829">
        <f t="shared" si="0"/>
        <v>18.420000000000002</v>
      </c>
      <c r="H27" s="830">
        <f>D27*C27</f>
        <v>9112.32</v>
      </c>
      <c r="I27" s="830">
        <f t="shared" si="2"/>
        <v>3661.2000000000003</v>
      </c>
      <c r="J27" s="830"/>
      <c r="K27" s="828">
        <f t="shared" si="3"/>
        <v>7.1064000000000007</v>
      </c>
      <c r="L27" s="828">
        <f t="shared" si="4"/>
        <v>2.8552500000000003</v>
      </c>
      <c r="M27" s="828">
        <f t="shared" si="5"/>
        <v>9.5175000000000018</v>
      </c>
      <c r="N27" s="553">
        <f t="shared" si="6"/>
        <v>9636.2784000000011</v>
      </c>
      <c r="O27" s="553">
        <f t="shared" si="7"/>
        <v>3871.7190000000005</v>
      </c>
      <c r="P27" s="89"/>
      <c r="Q27" s="89"/>
      <c r="R27" s="89"/>
      <c r="S27" s="89"/>
      <c r="T27" s="89"/>
      <c r="U27" s="89"/>
      <c r="V27" s="89"/>
      <c r="W27" s="89"/>
      <c r="X27" s="89"/>
      <c r="Y27" s="89"/>
    </row>
    <row r="28" spans="1:25" ht="15.75">
      <c r="A28" s="826" t="s">
        <v>660</v>
      </c>
      <c r="B28" s="827">
        <v>100</v>
      </c>
      <c r="C28" s="823">
        <v>123149</v>
      </c>
      <c r="D28" s="828"/>
      <c r="E28" s="828"/>
      <c r="F28" s="828">
        <v>9</v>
      </c>
      <c r="G28" s="829"/>
      <c r="H28" s="830"/>
      <c r="I28" s="830">
        <f t="shared" si="2"/>
        <v>0</v>
      </c>
      <c r="J28" s="830">
        <f>+F28*C28</f>
        <v>1108341</v>
      </c>
      <c r="K28" s="828">
        <f t="shared" si="3"/>
        <v>0</v>
      </c>
      <c r="L28" s="828">
        <f t="shared" si="4"/>
        <v>0</v>
      </c>
      <c r="M28" s="828">
        <f t="shared" si="5"/>
        <v>9.5175000000000018</v>
      </c>
      <c r="N28" s="553"/>
      <c r="O28" s="553"/>
      <c r="P28" s="553">
        <f>+C28*M28</f>
        <v>1172070.6075000002</v>
      </c>
      <c r="Q28" s="89"/>
      <c r="R28" s="89"/>
      <c r="S28" s="89"/>
      <c r="T28" s="89"/>
      <c r="U28" s="89"/>
      <c r="V28" s="89"/>
      <c r="W28" s="89"/>
      <c r="X28" s="89"/>
      <c r="Y28" s="89"/>
    </row>
    <row r="29" spans="1:25" ht="15.75">
      <c r="A29" s="826" t="s">
        <v>795</v>
      </c>
      <c r="B29" s="827">
        <v>100</v>
      </c>
      <c r="C29" s="823">
        <v>18906</v>
      </c>
      <c r="D29" s="828">
        <v>3.85</v>
      </c>
      <c r="E29" s="828"/>
      <c r="F29" s="828"/>
      <c r="G29" s="829">
        <f t="shared" si="0"/>
        <v>3.85</v>
      </c>
      <c r="H29" s="830">
        <f>D29*C29</f>
        <v>72788.100000000006</v>
      </c>
      <c r="I29" s="830">
        <f t="shared" si="2"/>
        <v>0</v>
      </c>
      <c r="J29" s="830"/>
      <c r="K29" s="828">
        <f t="shared" si="3"/>
        <v>4.0713750000000006</v>
      </c>
      <c r="L29" s="828">
        <f t="shared" si="4"/>
        <v>0</v>
      </c>
      <c r="M29" s="828">
        <f t="shared" si="5"/>
        <v>0</v>
      </c>
      <c r="N29" s="553">
        <f t="shared" si="6"/>
        <v>76973.415750000015</v>
      </c>
      <c r="O29" s="553"/>
      <c r="P29" s="89"/>
      <c r="Q29" s="89"/>
      <c r="R29" s="89"/>
      <c r="S29" s="89"/>
      <c r="T29" s="89"/>
      <c r="U29" s="89"/>
      <c r="V29" s="89"/>
      <c r="W29" s="89"/>
      <c r="X29" s="89"/>
      <c r="Y29" s="89"/>
    </row>
    <row r="30" spans="1:25" ht="15.75">
      <c r="A30" s="826" t="s">
        <v>796</v>
      </c>
      <c r="B30" s="827">
        <v>50</v>
      </c>
      <c r="C30" s="823">
        <v>15</v>
      </c>
      <c r="D30" s="828">
        <v>21.04</v>
      </c>
      <c r="E30" s="828"/>
      <c r="F30" s="828"/>
      <c r="G30" s="829">
        <f t="shared" si="0"/>
        <v>21.04</v>
      </c>
      <c r="H30" s="830">
        <f>D30*C30</f>
        <v>315.59999999999997</v>
      </c>
      <c r="I30" s="830">
        <f t="shared" si="2"/>
        <v>0</v>
      </c>
      <c r="J30" s="830"/>
      <c r="K30" s="828">
        <f t="shared" si="3"/>
        <v>22.2498</v>
      </c>
      <c r="L30" s="828">
        <f t="shared" si="4"/>
        <v>0</v>
      </c>
      <c r="M30" s="828">
        <f t="shared" si="5"/>
        <v>0</v>
      </c>
      <c r="N30" s="553">
        <f t="shared" si="6"/>
        <v>333.74700000000001</v>
      </c>
      <c r="O30" s="553"/>
      <c r="P30" s="89"/>
      <c r="Q30" s="89"/>
      <c r="R30" s="89"/>
      <c r="S30" s="89"/>
      <c r="T30" s="89"/>
      <c r="U30" s="89"/>
      <c r="V30" s="89"/>
      <c r="W30" s="89"/>
      <c r="X30" s="89"/>
      <c r="Y30" s="89"/>
    </row>
    <row r="31" spans="1:25" ht="15.75">
      <c r="A31" s="826"/>
      <c r="B31" s="827"/>
      <c r="C31" s="823"/>
      <c r="D31" s="828"/>
      <c r="E31" s="828"/>
      <c r="F31" s="828"/>
      <c r="G31" s="829"/>
      <c r="H31" s="830"/>
      <c r="I31" s="830"/>
      <c r="J31" s="830"/>
      <c r="K31" s="828">
        <f t="shared" si="3"/>
        <v>0</v>
      </c>
      <c r="L31" s="828">
        <f t="shared" si="4"/>
        <v>0</v>
      </c>
      <c r="M31" s="828">
        <f t="shared" si="5"/>
        <v>0</v>
      </c>
      <c r="N31" s="553"/>
      <c r="O31" s="553"/>
      <c r="P31" s="89"/>
      <c r="Q31" s="89"/>
      <c r="R31" s="89"/>
      <c r="S31" s="89"/>
      <c r="T31" s="89"/>
      <c r="U31" s="89"/>
      <c r="V31" s="89"/>
      <c r="W31" s="89"/>
      <c r="X31" s="89"/>
      <c r="Y31" s="89"/>
    </row>
    <row r="32" spans="1:25" ht="15.75">
      <c r="A32" s="826" t="s">
        <v>797</v>
      </c>
      <c r="B32" s="827">
        <v>50</v>
      </c>
      <c r="C32" s="831">
        <v>118</v>
      </c>
      <c r="D32" s="828">
        <v>10</v>
      </c>
      <c r="E32" s="828"/>
      <c r="F32" s="828"/>
      <c r="G32" s="829">
        <f t="shared" si="0"/>
        <v>10</v>
      </c>
      <c r="H32" s="830">
        <f>D32*C32</f>
        <v>1180</v>
      </c>
      <c r="I32" s="830">
        <f t="shared" si="2"/>
        <v>0</v>
      </c>
      <c r="J32" s="830"/>
      <c r="K32" s="828">
        <f t="shared" si="3"/>
        <v>10.575000000000001</v>
      </c>
      <c r="L32" s="828">
        <f t="shared" si="4"/>
        <v>0</v>
      </c>
      <c r="M32" s="828">
        <f t="shared" si="5"/>
        <v>0</v>
      </c>
      <c r="N32" s="553">
        <f t="shared" si="6"/>
        <v>1247.8500000000001</v>
      </c>
      <c r="O32" s="553"/>
      <c r="P32" s="89"/>
      <c r="Q32" s="89"/>
      <c r="R32" s="89"/>
      <c r="S32" s="89"/>
      <c r="T32" s="89"/>
      <c r="U32" s="89"/>
      <c r="V32" s="89"/>
      <c r="W32" s="89"/>
      <c r="X32" s="89"/>
      <c r="Y32" s="89"/>
    </row>
    <row r="33" spans="1:25" ht="15.75">
      <c r="A33" s="826" t="s">
        <v>798</v>
      </c>
      <c r="B33" s="827">
        <v>51</v>
      </c>
      <c r="C33" s="831">
        <v>460</v>
      </c>
      <c r="D33" s="828">
        <v>5</v>
      </c>
      <c r="E33" s="828"/>
      <c r="F33" s="828"/>
      <c r="G33" s="829">
        <f t="shared" si="0"/>
        <v>5</v>
      </c>
      <c r="H33" s="830">
        <f>D33*C33</f>
        <v>2300</v>
      </c>
      <c r="I33" s="830">
        <f t="shared" si="2"/>
        <v>0</v>
      </c>
      <c r="J33" s="830"/>
      <c r="K33" s="828">
        <f t="shared" si="3"/>
        <v>5.2875000000000005</v>
      </c>
      <c r="L33" s="828">
        <f t="shared" si="4"/>
        <v>0</v>
      </c>
      <c r="M33" s="828">
        <f t="shared" si="5"/>
        <v>0</v>
      </c>
      <c r="N33" s="553">
        <f t="shared" si="6"/>
        <v>2432.2500000000005</v>
      </c>
      <c r="O33" s="553"/>
      <c r="P33" s="89"/>
      <c r="Q33" s="89"/>
      <c r="R33" s="89"/>
      <c r="S33" s="89"/>
      <c r="T33" s="89"/>
      <c r="U33" s="89"/>
      <c r="V33" s="89"/>
      <c r="W33" s="89"/>
      <c r="X33" s="89"/>
      <c r="Y33" s="89"/>
    </row>
    <row r="34" spans="1:25" ht="15.75">
      <c r="A34" s="826" t="s">
        <v>799</v>
      </c>
      <c r="B34" s="827">
        <v>80</v>
      </c>
      <c r="C34" s="832"/>
      <c r="D34" s="828">
        <v>1.66</v>
      </c>
      <c r="E34" s="828"/>
      <c r="F34" s="828"/>
      <c r="G34" s="829">
        <f t="shared" si="0"/>
        <v>1.66</v>
      </c>
      <c r="H34" s="833">
        <f t="shared" si="1"/>
        <v>0</v>
      </c>
      <c r="I34" s="833"/>
      <c r="J34" s="833"/>
      <c r="K34" s="828">
        <f t="shared" si="3"/>
        <v>1.7554500000000002</v>
      </c>
      <c r="L34" s="828">
        <f t="shared" si="4"/>
        <v>0</v>
      </c>
      <c r="M34" s="828">
        <f t="shared" si="5"/>
        <v>0</v>
      </c>
      <c r="N34" s="833">
        <f t="shared" ref="N34" si="9">J34*I34</f>
        <v>0</v>
      </c>
      <c r="O34" s="833"/>
      <c r="P34" s="833"/>
      <c r="Q34" s="89"/>
      <c r="R34" s="89"/>
      <c r="S34" s="89"/>
      <c r="T34" s="89"/>
      <c r="U34" s="89"/>
      <c r="V34" s="89"/>
      <c r="W34" s="89"/>
      <c r="X34" s="89"/>
      <c r="Y34" s="89"/>
    </row>
    <row r="35" spans="1:25" ht="15.75">
      <c r="A35" s="826" t="s">
        <v>800</v>
      </c>
      <c r="B35" s="826"/>
      <c r="C35" s="823"/>
      <c r="D35" s="823"/>
      <c r="E35" s="823"/>
      <c r="F35" s="823"/>
      <c r="G35" s="834"/>
      <c r="H35" s="823">
        <f>SUM(H8:H34)</f>
        <v>3165767.1100000003</v>
      </c>
      <c r="I35" s="823">
        <f>SUM(I8:I34)</f>
        <v>1316614.5</v>
      </c>
      <c r="J35" s="823">
        <f>SUM(J8:J34)</f>
        <v>1108341</v>
      </c>
      <c r="K35" s="823"/>
      <c r="L35" s="89"/>
      <c r="M35" s="89"/>
      <c r="N35" s="823">
        <f>SUM(N8:N34)</f>
        <v>3347798.7188250013</v>
      </c>
      <c r="O35" s="823">
        <f>SUM(O8:O34)</f>
        <v>1392319.83375</v>
      </c>
      <c r="P35" s="823">
        <f>SUM(P8:P34)</f>
        <v>1172070.6075000002</v>
      </c>
      <c r="Q35" s="89"/>
      <c r="R35" s="89"/>
      <c r="S35" s="89"/>
      <c r="T35" s="89"/>
      <c r="U35" s="89"/>
      <c r="V35" s="89"/>
      <c r="W35" s="89"/>
      <c r="X35" s="89"/>
      <c r="Y35" s="89"/>
    </row>
    <row r="36" spans="1:25" ht="15.75">
      <c r="A36" s="835"/>
      <c r="B36" s="835"/>
      <c r="C36" s="823"/>
      <c r="D36" s="834"/>
      <c r="E36" s="823"/>
      <c r="F36" s="823"/>
      <c r="G36" s="836"/>
      <c r="H36" s="823"/>
      <c r="I36" s="823"/>
      <c r="J36" s="823"/>
      <c r="K36" s="823"/>
      <c r="L36" s="89"/>
      <c r="M36" s="89"/>
      <c r="N36" s="89"/>
      <c r="O36" s="89"/>
      <c r="P36" s="89"/>
      <c r="Q36" s="89"/>
      <c r="R36" s="89"/>
      <c r="S36" s="89"/>
      <c r="T36" s="89"/>
      <c r="U36" s="89"/>
      <c r="V36" s="89"/>
      <c r="W36" s="89"/>
      <c r="X36" s="89"/>
      <c r="Y36" s="89"/>
    </row>
    <row r="37" spans="1:25" ht="15.75">
      <c r="A37" s="835"/>
      <c r="B37" s="835"/>
      <c r="C37" s="823"/>
      <c r="D37" s="834"/>
      <c r="E37" s="823"/>
      <c r="F37" s="823"/>
      <c r="G37" s="836"/>
      <c r="H37" s="823"/>
      <c r="I37" s="823"/>
      <c r="J37" s="823"/>
      <c r="K37" s="823"/>
      <c r="L37" s="89"/>
      <c r="M37" s="89"/>
      <c r="N37" s="89"/>
      <c r="O37" s="89"/>
      <c r="P37" s="89"/>
      <c r="Q37" s="89"/>
      <c r="R37" s="89"/>
      <c r="S37" s="89"/>
      <c r="T37" s="89"/>
      <c r="U37" s="89"/>
      <c r="V37" s="89"/>
      <c r="W37" s="89"/>
      <c r="X37" s="89"/>
      <c r="Y37" s="89"/>
    </row>
    <row r="38" spans="1:25" ht="15.75">
      <c r="A38" s="837" t="s">
        <v>801</v>
      </c>
      <c r="B38" s="837"/>
      <c r="C38" s="837"/>
      <c r="D38" s="838"/>
      <c r="E38" s="837"/>
      <c r="F38" s="837"/>
      <c r="G38" s="839"/>
      <c r="H38" s="837"/>
      <c r="I38" s="837"/>
      <c r="J38" s="837"/>
      <c r="K38" s="837"/>
      <c r="L38" s="580"/>
      <c r="M38" s="125"/>
      <c r="N38" s="89"/>
      <c r="O38" s="89"/>
      <c r="P38" s="89"/>
      <c r="Q38" s="89"/>
      <c r="R38" s="89"/>
      <c r="S38" s="89"/>
      <c r="T38" s="89"/>
      <c r="U38" s="89"/>
      <c r="V38" s="89"/>
      <c r="W38" s="89"/>
      <c r="X38" s="89"/>
      <c r="Y38" s="89"/>
    </row>
    <row r="39" spans="1:25" ht="15.75">
      <c r="A39" s="89"/>
      <c r="B39" s="823"/>
      <c r="C39" s="823"/>
      <c r="D39" s="824"/>
      <c r="E39" s="824"/>
      <c r="F39" s="824"/>
      <c r="G39" s="824"/>
      <c r="H39" s="824"/>
      <c r="I39" s="824"/>
      <c r="J39" s="824"/>
      <c r="K39" s="823" t="s">
        <v>734</v>
      </c>
      <c r="L39" s="823" t="s">
        <v>734</v>
      </c>
      <c r="M39" s="823" t="s">
        <v>734</v>
      </c>
      <c r="N39" s="126" t="s">
        <v>1568</v>
      </c>
      <c r="O39" s="126"/>
      <c r="P39" s="126"/>
      <c r="Q39" s="89"/>
      <c r="R39" s="89"/>
      <c r="S39" s="89"/>
      <c r="T39" s="89"/>
      <c r="U39" s="89"/>
      <c r="V39" s="89"/>
      <c r="W39" s="89"/>
      <c r="X39" s="89"/>
      <c r="Y39" s="89"/>
    </row>
    <row r="40" spans="1:25" ht="15.75">
      <c r="A40" s="823"/>
      <c r="B40" s="824" t="s">
        <v>769</v>
      </c>
      <c r="C40" s="824" t="s">
        <v>770</v>
      </c>
      <c r="D40" s="824" t="s">
        <v>672</v>
      </c>
      <c r="E40" s="824" t="s">
        <v>668</v>
      </c>
      <c r="F40" s="824" t="s">
        <v>660</v>
      </c>
      <c r="G40" s="824" t="s">
        <v>648</v>
      </c>
      <c r="H40" s="824" t="s">
        <v>672</v>
      </c>
      <c r="I40" s="824" t="s">
        <v>668</v>
      </c>
      <c r="J40" s="824" t="s">
        <v>660</v>
      </c>
      <c r="K40" s="824" t="s">
        <v>672</v>
      </c>
      <c r="L40" s="824" t="s">
        <v>668</v>
      </c>
      <c r="M40" s="824" t="s">
        <v>660</v>
      </c>
      <c r="N40" s="824" t="s">
        <v>672</v>
      </c>
      <c r="O40" s="824" t="s">
        <v>668</v>
      </c>
      <c r="P40" s="824" t="s">
        <v>660</v>
      </c>
      <c r="Q40" s="89"/>
      <c r="R40" s="89"/>
      <c r="S40" s="89"/>
      <c r="T40" s="89"/>
      <c r="U40" s="89"/>
      <c r="V40" s="89"/>
      <c r="W40" s="89"/>
      <c r="X40" s="89"/>
      <c r="Y40" s="89"/>
    </row>
    <row r="41" spans="1:25" ht="15.75">
      <c r="A41" s="825" t="s">
        <v>771</v>
      </c>
      <c r="B41" s="825" t="s">
        <v>772</v>
      </c>
      <c r="C41" s="825" t="s">
        <v>773</v>
      </c>
      <c r="D41" s="825" t="s">
        <v>774</v>
      </c>
      <c r="E41" s="825" t="s">
        <v>729</v>
      </c>
      <c r="F41" s="825" t="s">
        <v>729</v>
      </c>
      <c r="G41" s="825" t="s">
        <v>729</v>
      </c>
      <c r="H41" s="825" t="s">
        <v>1</v>
      </c>
      <c r="I41" s="825" t="s">
        <v>1</v>
      </c>
      <c r="J41" s="825" t="s">
        <v>1</v>
      </c>
      <c r="K41" s="825" t="s">
        <v>774</v>
      </c>
      <c r="L41" s="825" t="s">
        <v>774</v>
      </c>
      <c r="M41" s="825" t="s">
        <v>774</v>
      </c>
      <c r="N41" s="825" t="s">
        <v>1</v>
      </c>
      <c r="O41" s="825" t="s">
        <v>1</v>
      </c>
      <c r="P41" s="825" t="s">
        <v>1</v>
      </c>
      <c r="Q41" s="89"/>
      <c r="R41" s="89"/>
      <c r="S41" s="89"/>
      <c r="T41" s="89"/>
      <c r="U41" s="89"/>
      <c r="V41" s="89"/>
      <c r="W41" s="89"/>
      <c r="X41" s="89"/>
      <c r="Y41" s="89"/>
    </row>
    <row r="42" spans="1:25" ht="15.75">
      <c r="A42" s="826" t="s">
        <v>775</v>
      </c>
      <c r="B42" s="827">
        <v>100</v>
      </c>
      <c r="C42" s="823">
        <v>446</v>
      </c>
      <c r="D42" s="828">
        <v>8.89</v>
      </c>
      <c r="E42" s="828"/>
      <c r="F42" s="828">
        <v>9</v>
      </c>
      <c r="G42" s="829">
        <f>SUM(D42:F42)</f>
        <v>17.89</v>
      </c>
      <c r="H42" s="830">
        <f>D42*C42</f>
        <v>3964.94</v>
      </c>
      <c r="I42" s="830">
        <f>C42*E42</f>
        <v>0</v>
      </c>
      <c r="J42" s="830"/>
      <c r="K42" s="828">
        <f t="shared" ref="K42:K68" si="10">+D42*$T$1</f>
        <v>9.4011750000000021</v>
      </c>
      <c r="L42" s="828"/>
      <c r="M42" s="828">
        <f t="shared" ref="M42:M68" si="11">+F42*$T$1</f>
        <v>9.5175000000000018</v>
      </c>
      <c r="N42" s="553">
        <f>+C42*K42</f>
        <v>4192.9240500000005</v>
      </c>
      <c r="O42" s="638"/>
      <c r="P42" s="89"/>
      <c r="Q42" s="89"/>
      <c r="R42" s="89"/>
      <c r="S42" s="89"/>
      <c r="T42" s="89"/>
      <c r="U42" s="89"/>
      <c r="V42" s="89"/>
      <c r="W42" s="89"/>
      <c r="X42" s="89"/>
      <c r="Y42" s="89"/>
    </row>
    <row r="43" spans="1:25" ht="15.75">
      <c r="A43" s="826" t="s">
        <v>776</v>
      </c>
      <c r="B43" s="827">
        <v>100</v>
      </c>
      <c r="C43" s="823">
        <v>302</v>
      </c>
      <c r="D43" s="828">
        <v>6.72</v>
      </c>
      <c r="E43" s="828"/>
      <c r="F43" s="828">
        <v>9</v>
      </c>
      <c r="G43" s="829">
        <f t="shared" ref="G43:G52" si="12">SUM(D43:F43)</f>
        <v>15.719999999999999</v>
      </c>
      <c r="H43" s="830">
        <f t="shared" ref="H43:H53" si="13">D43*C43</f>
        <v>2029.4399999999998</v>
      </c>
      <c r="I43" s="830">
        <f t="shared" ref="I43:I64" si="14">C43*E43</f>
        <v>0</v>
      </c>
      <c r="J43" s="830"/>
      <c r="K43" s="828">
        <f t="shared" si="10"/>
        <v>7.1064000000000007</v>
      </c>
      <c r="L43" s="828"/>
      <c r="M43" s="828">
        <f t="shared" si="11"/>
        <v>9.5175000000000018</v>
      </c>
      <c r="N43" s="553">
        <f t="shared" ref="N43:N68" si="15">+C43*K43</f>
        <v>2146.1328000000003</v>
      </c>
      <c r="O43" s="638"/>
      <c r="P43" s="89"/>
      <c r="Q43" s="89"/>
      <c r="R43" s="89"/>
      <c r="S43" s="89"/>
      <c r="T43" s="89"/>
      <c r="U43" s="89"/>
      <c r="V43" s="89"/>
      <c r="W43" s="89"/>
      <c r="X43" s="89"/>
      <c r="Y43" s="89"/>
    </row>
    <row r="44" spans="1:25" ht="15.75">
      <c r="A44" s="826" t="s">
        <v>777</v>
      </c>
      <c r="B44" s="827">
        <v>100</v>
      </c>
      <c r="C44" s="823">
        <v>3967</v>
      </c>
      <c r="D44" s="828">
        <v>13.29</v>
      </c>
      <c r="E44" s="828"/>
      <c r="F44" s="828">
        <v>9</v>
      </c>
      <c r="G44" s="829">
        <f t="shared" si="12"/>
        <v>22.29</v>
      </c>
      <c r="H44" s="830">
        <f t="shared" si="13"/>
        <v>52721.429999999993</v>
      </c>
      <c r="I44" s="830">
        <f t="shared" si="14"/>
        <v>0</v>
      </c>
      <c r="J44" s="830"/>
      <c r="K44" s="828">
        <f t="shared" si="10"/>
        <v>14.054175000000001</v>
      </c>
      <c r="L44" s="828"/>
      <c r="M44" s="828">
        <f t="shared" si="11"/>
        <v>9.5175000000000018</v>
      </c>
      <c r="N44" s="553">
        <f t="shared" si="15"/>
        <v>55752.912225</v>
      </c>
      <c r="O44" s="638"/>
      <c r="P44" s="89"/>
      <c r="Q44" s="89"/>
      <c r="R44" s="89"/>
      <c r="S44" s="89"/>
      <c r="T44" s="89"/>
      <c r="U44" s="89"/>
      <c r="V44" s="89"/>
      <c r="W44" s="89"/>
      <c r="X44" s="89"/>
      <c r="Y44" s="89"/>
    </row>
    <row r="45" spans="1:25" ht="15.75">
      <c r="A45" s="826" t="s">
        <v>778</v>
      </c>
      <c r="B45" s="827">
        <v>100</v>
      </c>
      <c r="C45" s="823">
        <v>1524</v>
      </c>
      <c r="D45" s="828">
        <v>19.100000000000001</v>
      </c>
      <c r="E45" s="828"/>
      <c r="F45" s="828">
        <v>9</v>
      </c>
      <c r="G45" s="829">
        <f t="shared" si="12"/>
        <v>28.1</v>
      </c>
      <c r="H45" s="830">
        <f t="shared" si="13"/>
        <v>29108.400000000001</v>
      </c>
      <c r="I45" s="830">
        <f t="shared" si="14"/>
        <v>0</v>
      </c>
      <c r="J45" s="830"/>
      <c r="K45" s="828">
        <f t="shared" si="10"/>
        <v>20.198250000000005</v>
      </c>
      <c r="L45" s="828"/>
      <c r="M45" s="828">
        <f t="shared" si="11"/>
        <v>9.5175000000000018</v>
      </c>
      <c r="N45" s="553">
        <f t="shared" si="15"/>
        <v>30782.133000000009</v>
      </c>
      <c r="O45" s="638"/>
      <c r="P45" s="89"/>
      <c r="Q45" s="89"/>
      <c r="R45" s="89"/>
      <c r="S45" s="89"/>
      <c r="T45" s="89"/>
      <c r="U45" s="89"/>
      <c r="V45" s="89"/>
      <c r="W45" s="89"/>
      <c r="X45" s="89"/>
      <c r="Y45" s="89"/>
    </row>
    <row r="46" spans="1:25" ht="15.75">
      <c r="A46" s="826" t="s">
        <v>779</v>
      </c>
      <c r="B46" s="827">
        <v>100</v>
      </c>
      <c r="C46" s="823">
        <v>169</v>
      </c>
      <c r="D46" s="828">
        <v>24.41</v>
      </c>
      <c r="E46" s="828"/>
      <c r="F46" s="828">
        <v>9</v>
      </c>
      <c r="G46" s="829">
        <f t="shared" si="12"/>
        <v>33.409999999999997</v>
      </c>
      <c r="H46" s="830">
        <f t="shared" si="13"/>
        <v>4125.29</v>
      </c>
      <c r="I46" s="830">
        <f t="shared" si="14"/>
        <v>0</v>
      </c>
      <c r="J46" s="830"/>
      <c r="K46" s="828">
        <f t="shared" si="10"/>
        <v>25.813575000000004</v>
      </c>
      <c r="L46" s="828"/>
      <c r="M46" s="828">
        <f t="shared" si="11"/>
        <v>9.5175000000000018</v>
      </c>
      <c r="N46" s="553">
        <f t="shared" si="15"/>
        <v>4362.4941750000007</v>
      </c>
      <c r="O46" s="638"/>
      <c r="P46" s="89"/>
      <c r="Q46" s="89"/>
      <c r="R46" s="89"/>
      <c r="S46" s="89"/>
      <c r="T46" s="89"/>
      <c r="U46" s="89"/>
      <c r="V46" s="89"/>
      <c r="W46" s="89"/>
      <c r="X46" s="89"/>
      <c r="Y46" s="89"/>
    </row>
    <row r="47" spans="1:25" ht="15.75">
      <c r="A47" s="826" t="s">
        <v>780</v>
      </c>
      <c r="B47" s="827">
        <v>100</v>
      </c>
      <c r="C47" s="823"/>
      <c r="D47" s="828">
        <v>30.12</v>
      </c>
      <c r="E47" s="828"/>
      <c r="F47" s="828">
        <v>9</v>
      </c>
      <c r="G47" s="829">
        <f t="shared" si="12"/>
        <v>39.120000000000005</v>
      </c>
      <c r="H47" s="830">
        <f t="shared" si="13"/>
        <v>0</v>
      </c>
      <c r="I47" s="830">
        <f t="shared" si="14"/>
        <v>0</v>
      </c>
      <c r="J47" s="830"/>
      <c r="K47" s="828">
        <f t="shared" si="10"/>
        <v>31.851900000000004</v>
      </c>
      <c r="L47" s="828"/>
      <c r="M47" s="828">
        <f t="shared" si="11"/>
        <v>9.5175000000000018</v>
      </c>
      <c r="N47" s="553"/>
      <c r="O47" s="638"/>
      <c r="P47" s="89"/>
      <c r="Q47" s="89"/>
      <c r="R47" s="89"/>
      <c r="S47" s="89"/>
      <c r="T47" s="89"/>
      <c r="U47" s="89"/>
      <c r="V47" s="89"/>
      <c r="W47" s="89"/>
      <c r="X47" s="89"/>
      <c r="Y47" s="89"/>
    </row>
    <row r="48" spans="1:25" ht="15.75">
      <c r="A48" s="826" t="s">
        <v>781</v>
      </c>
      <c r="B48" s="827">
        <v>100</v>
      </c>
      <c r="C48" s="823"/>
      <c r="D48" s="828">
        <v>35.83</v>
      </c>
      <c r="E48" s="828"/>
      <c r="F48" s="828">
        <v>9</v>
      </c>
      <c r="G48" s="829">
        <f t="shared" si="12"/>
        <v>44.83</v>
      </c>
      <c r="H48" s="830">
        <f t="shared" si="13"/>
        <v>0</v>
      </c>
      <c r="I48" s="830">
        <f t="shared" si="14"/>
        <v>0</v>
      </c>
      <c r="J48" s="830"/>
      <c r="K48" s="828">
        <f t="shared" si="10"/>
        <v>37.890225000000001</v>
      </c>
      <c r="L48" s="828"/>
      <c r="M48" s="828">
        <f t="shared" si="11"/>
        <v>9.5175000000000018</v>
      </c>
      <c r="N48" s="553"/>
      <c r="O48" s="638"/>
      <c r="P48" s="89"/>
      <c r="Q48" s="89"/>
      <c r="R48" s="89"/>
      <c r="S48" s="89"/>
      <c r="T48" s="89"/>
      <c r="U48" s="89"/>
      <c r="V48" s="89"/>
      <c r="W48" s="89"/>
      <c r="X48" s="89"/>
      <c r="Y48" s="89"/>
    </row>
    <row r="49" spans="1:25" ht="15.75">
      <c r="A49" s="826" t="s">
        <v>782</v>
      </c>
      <c r="B49" s="827">
        <v>100</v>
      </c>
      <c r="C49" s="823"/>
      <c r="D49" s="828">
        <v>39.229999999999997</v>
      </c>
      <c r="E49" s="828"/>
      <c r="F49" s="828">
        <v>9</v>
      </c>
      <c r="G49" s="829">
        <f t="shared" si="12"/>
        <v>48.23</v>
      </c>
      <c r="H49" s="830">
        <f t="shared" si="13"/>
        <v>0</v>
      </c>
      <c r="I49" s="830">
        <f t="shared" si="14"/>
        <v>0</v>
      </c>
      <c r="J49" s="830"/>
      <c r="K49" s="828">
        <f t="shared" si="10"/>
        <v>41.485725000000002</v>
      </c>
      <c r="L49" s="828"/>
      <c r="M49" s="828">
        <f t="shared" si="11"/>
        <v>9.5175000000000018</v>
      </c>
      <c r="N49" s="553"/>
      <c r="O49" s="638"/>
      <c r="P49" s="89"/>
      <c r="Q49" s="89"/>
      <c r="R49" s="89"/>
      <c r="S49" s="89"/>
      <c r="T49" s="89"/>
      <c r="U49" s="89"/>
      <c r="V49" s="89"/>
      <c r="W49" s="89"/>
      <c r="X49" s="89"/>
      <c r="Y49" s="89"/>
    </row>
    <row r="50" spans="1:25" ht="15.75">
      <c r="A50" s="826" t="s">
        <v>783</v>
      </c>
      <c r="B50" s="827">
        <v>100</v>
      </c>
      <c r="C50" s="823"/>
      <c r="D50" s="828"/>
      <c r="E50" s="828"/>
      <c r="F50" s="828">
        <v>9</v>
      </c>
      <c r="G50" s="829">
        <f t="shared" si="12"/>
        <v>9</v>
      </c>
      <c r="H50" s="830">
        <f t="shared" si="13"/>
        <v>0</v>
      </c>
      <c r="I50" s="830">
        <f t="shared" si="14"/>
        <v>0</v>
      </c>
      <c r="J50" s="830"/>
      <c r="K50" s="828">
        <f t="shared" si="10"/>
        <v>0</v>
      </c>
      <c r="L50" s="828"/>
      <c r="M50" s="828">
        <f t="shared" si="11"/>
        <v>9.5175000000000018</v>
      </c>
      <c r="N50" s="553"/>
      <c r="O50" s="638"/>
      <c r="P50" s="89"/>
      <c r="Q50" s="89"/>
      <c r="R50" s="89"/>
      <c r="S50" s="89"/>
      <c r="T50" s="89"/>
      <c r="U50" s="89"/>
      <c r="V50" s="89"/>
      <c r="W50" s="89"/>
      <c r="X50" s="89"/>
      <c r="Y50" s="89"/>
    </row>
    <row r="51" spans="1:25" ht="15.75">
      <c r="A51" s="826" t="s">
        <v>784</v>
      </c>
      <c r="B51" s="827">
        <v>100</v>
      </c>
      <c r="C51" s="823">
        <v>24</v>
      </c>
      <c r="D51" s="828">
        <v>10.11</v>
      </c>
      <c r="E51" s="828"/>
      <c r="F51" s="828">
        <v>9</v>
      </c>
      <c r="G51" s="829">
        <f t="shared" si="12"/>
        <v>19.11</v>
      </c>
      <c r="H51" s="830">
        <f t="shared" si="13"/>
        <v>242.64</v>
      </c>
      <c r="I51" s="830">
        <f t="shared" si="14"/>
        <v>0</v>
      </c>
      <c r="J51" s="830"/>
      <c r="K51" s="828">
        <f t="shared" si="10"/>
        <v>10.691325000000001</v>
      </c>
      <c r="L51" s="828"/>
      <c r="M51" s="828">
        <f t="shared" si="11"/>
        <v>9.5175000000000018</v>
      </c>
      <c r="N51" s="553">
        <f t="shared" si="15"/>
        <v>256.59180000000003</v>
      </c>
      <c r="O51" s="638"/>
      <c r="P51" s="89"/>
      <c r="Q51" s="89"/>
      <c r="R51" s="89"/>
      <c r="S51" s="89"/>
      <c r="T51" s="89"/>
      <c r="U51" s="89"/>
      <c r="V51" s="89"/>
      <c r="W51" s="89"/>
      <c r="X51" s="89"/>
      <c r="Y51" s="89"/>
    </row>
    <row r="52" spans="1:25" ht="15.75">
      <c r="A52" s="826" t="s">
        <v>785</v>
      </c>
      <c r="B52" s="827">
        <v>100</v>
      </c>
      <c r="C52" s="823">
        <v>312</v>
      </c>
      <c r="D52" s="828">
        <v>14.5</v>
      </c>
      <c r="E52" s="828"/>
      <c r="F52" s="828">
        <v>9</v>
      </c>
      <c r="G52" s="829">
        <f t="shared" si="12"/>
        <v>23.5</v>
      </c>
      <c r="H52" s="830">
        <f t="shared" si="13"/>
        <v>4524</v>
      </c>
      <c r="I52" s="830">
        <f t="shared" si="14"/>
        <v>0</v>
      </c>
      <c r="J52" s="830"/>
      <c r="K52" s="828">
        <f t="shared" si="10"/>
        <v>15.333750000000002</v>
      </c>
      <c r="L52" s="828"/>
      <c r="M52" s="828">
        <f t="shared" si="11"/>
        <v>9.5175000000000018</v>
      </c>
      <c r="N52" s="553">
        <f t="shared" si="15"/>
        <v>4784.130000000001</v>
      </c>
      <c r="O52" s="638"/>
      <c r="P52" s="89"/>
      <c r="Q52" s="89"/>
      <c r="R52" s="89"/>
      <c r="S52" s="89"/>
      <c r="T52" s="89"/>
      <c r="U52" s="89"/>
      <c r="V52" s="89"/>
      <c r="W52" s="89"/>
      <c r="X52" s="89"/>
      <c r="Y52" s="89"/>
    </row>
    <row r="53" spans="1:25" ht="15.75">
      <c r="A53" s="826" t="s">
        <v>786</v>
      </c>
      <c r="B53" s="827">
        <v>100</v>
      </c>
      <c r="C53" s="823">
        <v>142</v>
      </c>
      <c r="D53" s="828">
        <v>28.27</v>
      </c>
      <c r="E53" s="828"/>
      <c r="F53" s="828"/>
      <c r="G53" s="829"/>
      <c r="H53" s="830">
        <f t="shared" si="13"/>
        <v>4014.34</v>
      </c>
      <c r="I53" s="830">
        <f t="shared" si="14"/>
        <v>0</v>
      </c>
      <c r="J53" s="830"/>
      <c r="K53" s="828">
        <f t="shared" si="10"/>
        <v>29.895525000000003</v>
      </c>
      <c r="L53" s="828"/>
      <c r="M53" s="828">
        <f t="shared" si="11"/>
        <v>0</v>
      </c>
      <c r="N53" s="553">
        <f t="shared" si="15"/>
        <v>4245.1645500000004</v>
      </c>
      <c r="O53" s="638"/>
      <c r="P53" s="89"/>
      <c r="Q53" s="89"/>
      <c r="R53" s="89"/>
      <c r="S53" s="89"/>
      <c r="T53" s="89"/>
      <c r="U53" s="89"/>
      <c r="V53" s="89"/>
      <c r="W53" s="89"/>
      <c r="X53" s="89"/>
      <c r="Y53" s="89"/>
    </row>
    <row r="54" spans="1:25" ht="15.75">
      <c r="A54" s="826" t="s">
        <v>787</v>
      </c>
      <c r="B54" s="827">
        <v>100</v>
      </c>
      <c r="C54" s="823">
        <v>144</v>
      </c>
      <c r="D54" s="828">
        <v>17.690000000000001</v>
      </c>
      <c r="E54" s="828"/>
      <c r="F54" s="828">
        <v>9</v>
      </c>
      <c r="G54" s="829">
        <f t="shared" ref="G54:G55" si="16">SUM(D54:F54)</f>
        <v>26.69</v>
      </c>
      <c r="H54" s="830">
        <f>D54*C54</f>
        <v>2547.36</v>
      </c>
      <c r="I54" s="830">
        <f t="shared" si="14"/>
        <v>0</v>
      </c>
      <c r="J54" s="830"/>
      <c r="K54" s="828">
        <f t="shared" si="10"/>
        <v>18.707175000000003</v>
      </c>
      <c r="L54" s="828"/>
      <c r="M54" s="828">
        <f t="shared" si="11"/>
        <v>9.5175000000000018</v>
      </c>
      <c r="N54" s="553">
        <f t="shared" si="15"/>
        <v>2693.8332000000005</v>
      </c>
      <c r="O54" s="638"/>
      <c r="P54" s="89"/>
      <c r="Q54" s="89"/>
      <c r="R54" s="89"/>
      <c r="S54" s="89"/>
      <c r="T54" s="89"/>
      <c r="U54" s="89"/>
      <c r="V54" s="89"/>
      <c r="W54" s="89"/>
      <c r="X54" s="89"/>
      <c r="Y54" s="89"/>
    </row>
    <row r="55" spans="1:25" ht="15.75">
      <c r="A55" s="826" t="s">
        <v>788</v>
      </c>
      <c r="B55" s="827">
        <v>100</v>
      </c>
      <c r="C55" s="823">
        <v>73</v>
      </c>
      <c r="D55" s="828">
        <v>20.52</v>
      </c>
      <c r="E55" s="828"/>
      <c r="F55" s="828">
        <v>9</v>
      </c>
      <c r="G55" s="829">
        <f t="shared" si="16"/>
        <v>29.52</v>
      </c>
      <c r="H55" s="830">
        <f>D55*C55</f>
        <v>1497.96</v>
      </c>
      <c r="I55" s="830">
        <f t="shared" si="14"/>
        <v>0</v>
      </c>
      <c r="J55" s="830"/>
      <c r="K55" s="828">
        <f t="shared" si="10"/>
        <v>21.699900000000003</v>
      </c>
      <c r="L55" s="828"/>
      <c r="M55" s="828">
        <f t="shared" si="11"/>
        <v>9.5175000000000018</v>
      </c>
      <c r="N55" s="553">
        <f t="shared" si="15"/>
        <v>1584.0927000000001</v>
      </c>
      <c r="O55" s="638"/>
      <c r="P55" s="89"/>
      <c r="Q55" s="89"/>
      <c r="R55" s="89"/>
      <c r="S55" s="89"/>
      <c r="T55" s="89"/>
      <c r="U55" s="89"/>
      <c r="V55" s="89"/>
      <c r="W55" s="89"/>
      <c r="X55" s="89"/>
      <c r="Y55" s="89"/>
    </row>
    <row r="56" spans="1:25" ht="15.75">
      <c r="A56" s="826" t="s">
        <v>789</v>
      </c>
      <c r="B56" s="827">
        <v>100</v>
      </c>
      <c r="C56" s="823"/>
      <c r="D56" s="828">
        <v>39.71</v>
      </c>
      <c r="E56" s="828"/>
      <c r="F56" s="828"/>
      <c r="G56" s="829"/>
      <c r="H56" s="830">
        <f t="shared" ref="H56:H57" si="17">D56*C56</f>
        <v>0</v>
      </c>
      <c r="I56" s="830">
        <f t="shared" si="14"/>
        <v>0</v>
      </c>
      <c r="J56" s="830"/>
      <c r="K56" s="828">
        <f t="shared" si="10"/>
        <v>41.993325000000006</v>
      </c>
      <c r="L56" s="828"/>
      <c r="M56" s="828">
        <f t="shared" si="11"/>
        <v>0</v>
      </c>
      <c r="N56" s="553">
        <f t="shared" si="15"/>
        <v>0</v>
      </c>
      <c r="O56" s="638"/>
      <c r="P56" s="89"/>
      <c r="Q56" s="89"/>
      <c r="R56" s="89"/>
      <c r="S56" s="89"/>
      <c r="T56" s="89"/>
      <c r="U56" s="89"/>
      <c r="V56" s="89"/>
      <c r="W56" s="89"/>
      <c r="X56" s="89"/>
      <c r="Y56" s="89"/>
    </row>
    <row r="57" spans="1:25" ht="15.75">
      <c r="A57" s="826" t="s">
        <v>790</v>
      </c>
      <c r="B57" s="827">
        <v>100</v>
      </c>
      <c r="C57" s="823"/>
      <c r="D57" s="828">
        <v>51.65</v>
      </c>
      <c r="E57" s="828"/>
      <c r="F57" s="828"/>
      <c r="G57" s="829"/>
      <c r="H57" s="830">
        <f t="shared" si="17"/>
        <v>0</v>
      </c>
      <c r="I57" s="830">
        <f t="shared" si="14"/>
        <v>0</v>
      </c>
      <c r="J57" s="830"/>
      <c r="K57" s="828">
        <f t="shared" si="10"/>
        <v>54.619875000000008</v>
      </c>
      <c r="L57" s="828"/>
      <c r="M57" s="828">
        <f t="shared" si="11"/>
        <v>0</v>
      </c>
      <c r="N57" s="553">
        <f t="shared" si="15"/>
        <v>0</v>
      </c>
      <c r="O57" s="638"/>
      <c r="P57" s="89"/>
      <c r="Q57" s="89"/>
      <c r="R57" s="89"/>
      <c r="S57" s="89"/>
      <c r="T57" s="89"/>
      <c r="U57" s="89"/>
      <c r="V57" s="89"/>
      <c r="W57" s="89"/>
      <c r="X57" s="89"/>
      <c r="Y57" s="89"/>
    </row>
    <row r="58" spans="1:25" ht="15.75">
      <c r="A58" s="826" t="s">
        <v>791</v>
      </c>
      <c r="B58" s="827">
        <v>100</v>
      </c>
      <c r="C58" s="823">
        <v>101</v>
      </c>
      <c r="D58" s="828">
        <v>25.82</v>
      </c>
      <c r="E58" s="828"/>
      <c r="F58" s="828">
        <v>9</v>
      </c>
      <c r="G58" s="829">
        <f t="shared" ref="G58:G61" si="18">SUM(D58:F58)</f>
        <v>34.82</v>
      </c>
      <c r="H58" s="830">
        <f>D58*C58</f>
        <v>2607.8200000000002</v>
      </c>
      <c r="I58" s="830">
        <f t="shared" si="14"/>
        <v>0</v>
      </c>
      <c r="J58" s="830"/>
      <c r="K58" s="828">
        <f t="shared" si="10"/>
        <v>27.304650000000002</v>
      </c>
      <c r="L58" s="828"/>
      <c r="M58" s="828">
        <f t="shared" si="11"/>
        <v>9.5175000000000018</v>
      </c>
      <c r="N58" s="553">
        <f t="shared" si="15"/>
        <v>2757.7696500000002</v>
      </c>
      <c r="O58" s="638"/>
      <c r="P58" s="89"/>
      <c r="Q58" s="89"/>
      <c r="R58" s="89"/>
      <c r="S58" s="89"/>
      <c r="T58" s="89"/>
      <c r="U58" s="89"/>
      <c r="V58" s="89"/>
      <c r="W58" s="89"/>
      <c r="X58" s="89"/>
      <c r="Y58" s="89"/>
    </row>
    <row r="59" spans="1:25" ht="15.75">
      <c r="A59" s="826" t="s">
        <v>792</v>
      </c>
      <c r="B59" s="827">
        <v>100</v>
      </c>
      <c r="C59" s="823"/>
      <c r="D59" s="828">
        <v>51.13</v>
      </c>
      <c r="E59" s="828"/>
      <c r="F59" s="828">
        <v>9</v>
      </c>
      <c r="G59" s="829">
        <f t="shared" si="18"/>
        <v>60.13</v>
      </c>
      <c r="H59" s="830">
        <f>D59*C59</f>
        <v>0</v>
      </c>
      <c r="I59" s="830">
        <f t="shared" si="14"/>
        <v>0</v>
      </c>
      <c r="J59" s="830"/>
      <c r="K59" s="828">
        <f t="shared" si="10"/>
        <v>54.069975000000007</v>
      </c>
      <c r="L59" s="828"/>
      <c r="M59" s="828">
        <f t="shared" si="11"/>
        <v>9.5175000000000018</v>
      </c>
      <c r="N59" s="553">
        <f t="shared" si="15"/>
        <v>0</v>
      </c>
      <c r="O59" s="638"/>
      <c r="P59" s="89"/>
      <c r="Q59" s="89"/>
      <c r="R59" s="89"/>
      <c r="S59" s="89"/>
      <c r="T59" s="89"/>
      <c r="U59" s="89"/>
      <c r="V59" s="89"/>
      <c r="W59" s="89"/>
      <c r="X59" s="89"/>
      <c r="Y59" s="89"/>
    </row>
    <row r="60" spans="1:25" ht="15.75">
      <c r="A60" s="826" t="s">
        <v>793</v>
      </c>
      <c r="B60" s="827">
        <v>100</v>
      </c>
      <c r="C60" s="823"/>
      <c r="D60" s="828">
        <v>69.69</v>
      </c>
      <c r="E60" s="828"/>
      <c r="F60" s="828">
        <v>9</v>
      </c>
      <c r="G60" s="829">
        <f t="shared" si="18"/>
        <v>78.69</v>
      </c>
      <c r="H60" s="830">
        <f>D60*C60</f>
        <v>0</v>
      </c>
      <c r="I60" s="830">
        <f t="shared" si="14"/>
        <v>0</v>
      </c>
      <c r="J60" s="830"/>
      <c r="K60" s="828">
        <f t="shared" si="10"/>
        <v>73.697175000000001</v>
      </c>
      <c r="L60" s="828"/>
      <c r="M60" s="828">
        <f t="shared" si="11"/>
        <v>9.5175000000000018</v>
      </c>
      <c r="N60" s="553">
        <f t="shared" si="15"/>
        <v>0</v>
      </c>
      <c r="O60" s="638"/>
      <c r="P60" s="89"/>
      <c r="Q60" s="89"/>
      <c r="R60" s="89"/>
      <c r="S60" s="89"/>
      <c r="T60" s="89"/>
      <c r="U60" s="89"/>
      <c r="V60" s="89"/>
      <c r="W60" s="89"/>
      <c r="X60" s="89"/>
      <c r="Y60" s="89"/>
    </row>
    <row r="61" spans="1:25" ht="15.75">
      <c r="A61" s="826" t="s">
        <v>794</v>
      </c>
      <c r="B61" s="827">
        <v>100</v>
      </c>
      <c r="C61" s="823">
        <v>15</v>
      </c>
      <c r="D61" s="828">
        <v>6.72</v>
      </c>
      <c r="E61" s="828"/>
      <c r="F61" s="828">
        <v>9</v>
      </c>
      <c r="G61" s="829">
        <f t="shared" si="18"/>
        <v>15.719999999999999</v>
      </c>
      <c r="H61" s="830">
        <f>D61*C61</f>
        <v>100.8</v>
      </c>
      <c r="I61" s="830">
        <f t="shared" si="14"/>
        <v>0</v>
      </c>
      <c r="J61" s="830"/>
      <c r="K61" s="828">
        <f t="shared" si="10"/>
        <v>7.1064000000000007</v>
      </c>
      <c r="L61" s="828"/>
      <c r="M61" s="828">
        <f t="shared" si="11"/>
        <v>9.5175000000000018</v>
      </c>
      <c r="N61" s="553">
        <f t="shared" si="15"/>
        <v>106.596</v>
      </c>
      <c r="O61" s="638"/>
      <c r="P61" s="89"/>
      <c r="Q61" s="89"/>
      <c r="R61" s="89"/>
      <c r="S61" s="89"/>
      <c r="T61" s="89"/>
      <c r="U61" s="89"/>
      <c r="V61" s="89"/>
      <c r="W61" s="89"/>
      <c r="X61" s="89"/>
      <c r="Y61" s="89"/>
    </row>
    <row r="62" spans="1:25" ht="15.75">
      <c r="A62" s="826" t="s">
        <v>660</v>
      </c>
      <c r="B62" s="827">
        <v>100</v>
      </c>
      <c r="C62" s="823"/>
      <c r="D62" s="828"/>
      <c r="E62" s="828"/>
      <c r="F62" s="828">
        <v>9</v>
      </c>
      <c r="G62" s="829"/>
      <c r="H62" s="830"/>
      <c r="I62" s="830">
        <f t="shared" si="14"/>
        <v>0</v>
      </c>
      <c r="J62" s="830">
        <f>+F62*C62</f>
        <v>0</v>
      </c>
      <c r="K62" s="828">
        <f t="shared" si="10"/>
        <v>0</v>
      </c>
      <c r="L62" s="828"/>
      <c r="M62" s="828">
        <f t="shared" si="11"/>
        <v>9.5175000000000018</v>
      </c>
      <c r="N62" s="553">
        <f t="shared" si="15"/>
        <v>0</v>
      </c>
      <c r="O62" s="638"/>
      <c r="P62" s="89"/>
      <c r="Q62" s="89"/>
      <c r="R62" s="89"/>
      <c r="S62" s="89"/>
      <c r="T62" s="89"/>
      <c r="U62" s="89"/>
      <c r="V62" s="89"/>
      <c r="W62" s="89"/>
      <c r="X62" s="89"/>
      <c r="Y62" s="89"/>
    </row>
    <row r="63" spans="1:25" ht="15.75">
      <c r="A63" s="826" t="s">
        <v>795</v>
      </c>
      <c r="B63" s="827">
        <v>100</v>
      </c>
      <c r="C63" s="823"/>
      <c r="D63" s="828">
        <v>3.85</v>
      </c>
      <c r="E63" s="828"/>
      <c r="F63" s="828"/>
      <c r="G63" s="829">
        <f t="shared" ref="G63:G64" si="19">SUM(D63:F63)</f>
        <v>3.85</v>
      </c>
      <c r="H63" s="830">
        <f>D63*C63</f>
        <v>0</v>
      </c>
      <c r="I63" s="830">
        <f t="shared" si="14"/>
        <v>0</v>
      </c>
      <c r="J63" s="830"/>
      <c r="K63" s="828">
        <f t="shared" si="10"/>
        <v>4.0713750000000006</v>
      </c>
      <c r="L63" s="828"/>
      <c r="M63" s="828">
        <f t="shared" si="11"/>
        <v>0</v>
      </c>
      <c r="N63" s="553">
        <f t="shared" si="15"/>
        <v>0</v>
      </c>
      <c r="O63" s="638"/>
      <c r="P63" s="89"/>
      <c r="Q63" s="89"/>
      <c r="R63" s="89"/>
      <c r="S63" s="89"/>
      <c r="T63" s="89"/>
      <c r="U63" s="89"/>
      <c r="V63" s="89"/>
      <c r="W63" s="89"/>
      <c r="X63" s="89"/>
      <c r="Y63" s="89"/>
    </row>
    <row r="64" spans="1:25" ht="15.75">
      <c r="A64" s="826" t="s">
        <v>796</v>
      </c>
      <c r="B64" s="827">
        <v>50</v>
      </c>
      <c r="C64" s="823"/>
      <c r="D64" s="828">
        <v>21.04</v>
      </c>
      <c r="E64" s="828"/>
      <c r="F64" s="828"/>
      <c r="G64" s="829">
        <f t="shared" si="19"/>
        <v>21.04</v>
      </c>
      <c r="H64" s="830">
        <f>D64*C64</f>
        <v>0</v>
      </c>
      <c r="I64" s="830">
        <f t="shared" si="14"/>
        <v>0</v>
      </c>
      <c r="J64" s="830"/>
      <c r="K64" s="828">
        <f t="shared" si="10"/>
        <v>22.2498</v>
      </c>
      <c r="L64" s="828"/>
      <c r="M64" s="828">
        <f t="shared" si="11"/>
        <v>0</v>
      </c>
      <c r="N64" s="553">
        <f t="shared" si="15"/>
        <v>0</v>
      </c>
      <c r="O64" s="89"/>
      <c r="P64" s="89"/>
      <c r="Q64" s="89"/>
      <c r="R64" s="89"/>
      <c r="S64" s="89"/>
      <c r="T64" s="89"/>
      <c r="U64" s="89"/>
      <c r="V64" s="89"/>
      <c r="W64" s="89"/>
      <c r="X64" s="89"/>
      <c r="Y64" s="89"/>
    </row>
    <row r="65" spans="1:25" ht="15.75">
      <c r="A65" s="826"/>
      <c r="B65" s="827"/>
      <c r="C65" s="823"/>
      <c r="D65" s="828"/>
      <c r="E65" s="828"/>
      <c r="F65" s="828"/>
      <c r="G65" s="829"/>
      <c r="H65" s="830"/>
      <c r="I65" s="830"/>
      <c r="J65" s="830"/>
      <c r="K65" s="828">
        <f t="shared" si="10"/>
        <v>0</v>
      </c>
      <c r="L65" s="828"/>
      <c r="M65" s="828">
        <f t="shared" si="11"/>
        <v>0</v>
      </c>
      <c r="N65" s="553">
        <f t="shared" si="15"/>
        <v>0</v>
      </c>
      <c r="O65" s="89"/>
      <c r="P65" s="89"/>
      <c r="Q65" s="89"/>
      <c r="R65" s="89"/>
      <c r="S65" s="89"/>
      <c r="T65" s="89"/>
      <c r="U65" s="89"/>
      <c r="V65" s="89"/>
      <c r="W65" s="89"/>
      <c r="X65" s="89"/>
      <c r="Y65" s="89"/>
    </row>
    <row r="66" spans="1:25" ht="15.75">
      <c r="A66" s="826" t="s">
        <v>797</v>
      </c>
      <c r="B66" s="827">
        <v>50</v>
      </c>
      <c r="C66" s="831"/>
      <c r="D66" s="828">
        <v>10</v>
      </c>
      <c r="E66" s="828"/>
      <c r="F66" s="828"/>
      <c r="G66" s="829">
        <f t="shared" ref="G66:G68" si="20">SUM(D66:F66)</f>
        <v>10</v>
      </c>
      <c r="H66" s="830">
        <f>D66*C66</f>
        <v>0</v>
      </c>
      <c r="I66" s="830">
        <f t="shared" ref="I66:I67" si="21">C66*E66</f>
        <v>0</v>
      </c>
      <c r="J66" s="830"/>
      <c r="K66" s="828">
        <f t="shared" si="10"/>
        <v>10.575000000000001</v>
      </c>
      <c r="L66" s="828"/>
      <c r="M66" s="828">
        <f t="shared" si="11"/>
        <v>0</v>
      </c>
      <c r="N66" s="553">
        <f t="shared" si="15"/>
        <v>0</v>
      </c>
      <c r="O66" s="89"/>
      <c r="P66" s="89"/>
      <c r="Q66" s="89"/>
      <c r="R66" s="89"/>
      <c r="S66" s="89"/>
      <c r="T66" s="89"/>
      <c r="U66" s="89"/>
      <c r="V66" s="89"/>
      <c r="W66" s="89"/>
      <c r="X66" s="89"/>
      <c r="Y66" s="89"/>
    </row>
    <row r="67" spans="1:25" ht="15.75">
      <c r="A67" s="826" t="s">
        <v>798</v>
      </c>
      <c r="B67" s="827">
        <v>51</v>
      </c>
      <c r="C67" s="831"/>
      <c r="D67" s="828">
        <v>5</v>
      </c>
      <c r="E67" s="828"/>
      <c r="F67" s="828"/>
      <c r="G67" s="829">
        <f t="shared" si="20"/>
        <v>5</v>
      </c>
      <c r="H67" s="830">
        <f>D67*C67</f>
        <v>0</v>
      </c>
      <c r="I67" s="830">
        <f t="shared" si="21"/>
        <v>0</v>
      </c>
      <c r="J67" s="830"/>
      <c r="K67" s="828">
        <f t="shared" si="10"/>
        <v>5.2875000000000005</v>
      </c>
      <c r="L67" s="828"/>
      <c r="M67" s="828">
        <f t="shared" si="11"/>
        <v>0</v>
      </c>
      <c r="N67" s="553">
        <f t="shared" si="15"/>
        <v>0</v>
      </c>
      <c r="O67" s="89"/>
      <c r="P67" s="89"/>
      <c r="Q67" s="89"/>
      <c r="R67" s="89"/>
      <c r="S67" s="89"/>
      <c r="T67" s="89"/>
      <c r="U67" s="89"/>
      <c r="V67" s="89"/>
      <c r="W67" s="89"/>
      <c r="X67" s="89"/>
      <c r="Y67" s="89"/>
    </row>
    <row r="68" spans="1:25" ht="15.75">
      <c r="A68" s="826" t="s">
        <v>799</v>
      </c>
      <c r="B68" s="827">
        <v>80</v>
      </c>
      <c r="C68" s="832"/>
      <c r="D68" s="828">
        <v>1.66</v>
      </c>
      <c r="E68" s="828"/>
      <c r="F68" s="828"/>
      <c r="G68" s="829">
        <f t="shared" si="20"/>
        <v>1.66</v>
      </c>
      <c r="H68" s="833">
        <f t="shared" ref="H68" si="22">D68*C68</f>
        <v>0</v>
      </c>
      <c r="I68" s="833"/>
      <c r="J68" s="833"/>
      <c r="K68" s="828">
        <f t="shared" si="10"/>
        <v>1.7554500000000002</v>
      </c>
      <c r="L68" s="828"/>
      <c r="M68" s="828">
        <f t="shared" si="11"/>
        <v>0</v>
      </c>
      <c r="N68" s="627">
        <f t="shared" si="15"/>
        <v>0</v>
      </c>
      <c r="O68" s="128"/>
      <c r="P68" s="128"/>
      <c r="Q68" s="89"/>
      <c r="R68" s="89"/>
      <c r="S68" s="89"/>
      <c r="T68" s="89"/>
      <c r="U68" s="89"/>
      <c r="V68" s="89"/>
      <c r="W68" s="89"/>
      <c r="X68" s="89"/>
      <c r="Y68" s="89"/>
    </row>
    <row r="69" spans="1:25" ht="15.75">
      <c r="A69" s="826" t="s">
        <v>800</v>
      </c>
      <c r="B69" s="826"/>
      <c r="C69" s="823"/>
      <c r="D69" s="823"/>
      <c r="E69" s="823"/>
      <c r="F69" s="823"/>
      <c r="G69" s="834"/>
      <c r="H69" s="823">
        <f>SUM(H42:H68)</f>
        <v>107484.42</v>
      </c>
      <c r="I69" s="823">
        <f t="shared" ref="I69:J69" si="23">SUM(I42:I68)</f>
        <v>0</v>
      </c>
      <c r="J69" s="823">
        <f t="shared" si="23"/>
        <v>0</v>
      </c>
      <c r="K69" s="823"/>
      <c r="L69" s="89"/>
      <c r="M69" s="89"/>
      <c r="N69" s="823">
        <f>SUM(N42:N68)</f>
        <v>113664.77415</v>
      </c>
      <c r="O69" s="823">
        <f t="shared" ref="O69:P69" si="24">SUM(O42:O68)</f>
        <v>0</v>
      </c>
      <c r="P69" s="823">
        <f t="shared" si="24"/>
        <v>0</v>
      </c>
      <c r="Q69" s="89"/>
      <c r="R69" s="89"/>
      <c r="S69" s="89"/>
      <c r="T69" s="89"/>
      <c r="U69" s="89"/>
      <c r="V69" s="89"/>
      <c r="W69" s="89"/>
      <c r="X69" s="89"/>
      <c r="Y69" s="89"/>
    </row>
    <row r="70" spans="1:25" ht="15.75">
      <c r="A70" s="835"/>
      <c r="B70" s="835"/>
      <c r="C70" s="823"/>
      <c r="D70" s="834"/>
      <c r="E70" s="823"/>
      <c r="F70" s="823"/>
      <c r="G70" s="836"/>
      <c r="H70" s="823"/>
      <c r="I70" s="823"/>
      <c r="J70" s="823"/>
      <c r="K70" s="823"/>
      <c r="L70" s="89"/>
      <c r="M70" s="89"/>
      <c r="N70" s="89"/>
      <c r="O70" s="89"/>
      <c r="P70" s="89"/>
      <c r="Q70" s="89"/>
      <c r="R70" s="89"/>
      <c r="S70" s="89"/>
      <c r="T70" s="89"/>
      <c r="U70" s="89"/>
      <c r="V70" s="89"/>
      <c r="W70" s="89"/>
      <c r="X70" s="89"/>
      <c r="Y70" s="89"/>
    </row>
    <row r="71" spans="1:25" ht="15.75">
      <c r="A71" s="89"/>
      <c r="B71" s="89"/>
      <c r="C71" s="89"/>
      <c r="D71" s="89"/>
      <c r="E71" s="89"/>
      <c r="F71" s="89"/>
      <c r="G71" s="89"/>
      <c r="H71" s="578"/>
      <c r="I71" s="89"/>
      <c r="J71" s="89"/>
      <c r="K71" s="89"/>
      <c r="L71" s="89"/>
      <c r="M71" s="89"/>
      <c r="N71" s="89"/>
      <c r="O71" s="89"/>
      <c r="P71" s="89"/>
      <c r="Q71" s="89"/>
      <c r="R71" s="89"/>
      <c r="S71" s="89"/>
      <c r="T71" s="89"/>
      <c r="U71" s="89"/>
      <c r="V71" s="89"/>
      <c r="W71" s="89"/>
      <c r="X71" s="89"/>
      <c r="Y71" s="89"/>
    </row>
    <row r="72" spans="1:25" ht="15.75">
      <c r="A72" s="89"/>
      <c r="B72" s="89"/>
      <c r="C72" s="89"/>
      <c r="D72" s="89"/>
      <c r="E72" s="89"/>
      <c r="F72" s="89"/>
      <c r="G72" s="89"/>
      <c r="H72" s="89" t="s">
        <v>672</v>
      </c>
      <c r="I72" s="89" t="s">
        <v>668</v>
      </c>
      <c r="J72" s="89" t="s">
        <v>660</v>
      </c>
      <c r="K72" s="89"/>
      <c r="L72" s="89"/>
      <c r="M72" s="89"/>
      <c r="N72" s="89" t="s">
        <v>672</v>
      </c>
      <c r="O72" s="89" t="s">
        <v>668</v>
      </c>
      <c r="P72" s="89" t="s">
        <v>660</v>
      </c>
      <c r="Q72" s="89"/>
      <c r="R72" s="89"/>
      <c r="S72" s="89"/>
      <c r="T72" s="89"/>
      <c r="U72" s="89"/>
      <c r="V72" s="89"/>
      <c r="W72" s="89"/>
      <c r="X72" s="89"/>
      <c r="Y72" s="89"/>
    </row>
    <row r="73" spans="1:25" ht="15.75">
      <c r="A73" s="89" t="s">
        <v>802</v>
      </c>
      <c r="B73" s="89"/>
      <c r="C73" s="89"/>
      <c r="D73" s="89"/>
      <c r="E73" s="89"/>
      <c r="F73" s="89"/>
      <c r="G73" s="89"/>
      <c r="H73" s="553">
        <f>+H35+H69</f>
        <v>3273251.5300000003</v>
      </c>
      <c r="I73" s="553">
        <f>+I35</f>
        <v>1316614.5</v>
      </c>
      <c r="J73" s="553">
        <f>+J35</f>
        <v>1108341</v>
      </c>
      <c r="K73" s="89"/>
      <c r="L73" s="89"/>
      <c r="M73" s="89"/>
      <c r="N73" s="553">
        <f>+N35+N69</f>
        <v>3461463.4929750012</v>
      </c>
      <c r="O73" s="553">
        <f>+O35</f>
        <v>1392319.83375</v>
      </c>
      <c r="P73" s="553">
        <f>+P35</f>
        <v>1172070.6075000002</v>
      </c>
      <c r="Q73" s="553">
        <f>SUM(N73:P73)</f>
        <v>6025853.9342250014</v>
      </c>
      <c r="R73" s="89"/>
      <c r="S73" s="89"/>
      <c r="T73" s="89"/>
      <c r="U73" s="89"/>
      <c r="V73" s="89"/>
      <c r="W73" s="89"/>
      <c r="X73" s="89"/>
      <c r="Y73" s="89"/>
    </row>
    <row r="74" spans="1:25" ht="15.75">
      <c r="A74" s="89"/>
      <c r="B74" s="89"/>
      <c r="C74" s="89"/>
      <c r="D74" s="89"/>
      <c r="E74" s="89"/>
      <c r="F74" s="89"/>
      <c r="G74" s="89"/>
      <c r="H74" s="553"/>
      <c r="I74" s="553"/>
      <c r="J74" s="553"/>
      <c r="K74" s="89"/>
      <c r="L74" s="89"/>
      <c r="M74" s="89"/>
      <c r="N74" s="89"/>
      <c r="O74" s="89"/>
      <c r="P74" s="89"/>
      <c r="Q74" s="89"/>
      <c r="R74" s="89"/>
      <c r="S74" s="89"/>
      <c r="T74" s="89"/>
      <c r="U74" s="89"/>
      <c r="V74" s="89"/>
      <c r="W74" s="89"/>
      <c r="X74" s="89"/>
      <c r="Y74" s="89"/>
    </row>
    <row r="75" spans="1:25" ht="15.75">
      <c r="A75" s="89"/>
      <c r="B75" s="89"/>
      <c r="C75" s="89"/>
      <c r="D75" s="89"/>
      <c r="E75" s="89"/>
      <c r="F75" s="89"/>
      <c r="G75" s="89"/>
      <c r="H75" s="89"/>
      <c r="I75" s="89"/>
      <c r="J75" s="89"/>
      <c r="K75" s="89"/>
      <c r="L75" s="89"/>
      <c r="M75" s="89"/>
      <c r="N75" s="553">
        <f>+N73-H73</f>
        <v>188211.96297500096</v>
      </c>
      <c r="O75" s="553">
        <f t="shared" ref="O75:P75" si="25">+O73-I73</f>
        <v>75705.333749999991</v>
      </c>
      <c r="P75" s="553">
        <f t="shared" si="25"/>
        <v>63729.607500000158</v>
      </c>
      <c r="Q75" s="553"/>
      <c r="R75" s="89"/>
      <c r="S75" s="89"/>
      <c r="T75" s="89"/>
      <c r="U75" s="89"/>
      <c r="V75" s="89"/>
      <c r="W75" s="89"/>
      <c r="X75" s="89"/>
      <c r="Y75" s="89"/>
    </row>
    <row r="76" spans="1:25" ht="15.75">
      <c r="A76" s="89"/>
      <c r="B76" s="89"/>
      <c r="C76" s="89"/>
      <c r="D76" s="89"/>
      <c r="E76" s="89"/>
      <c r="F76" s="89"/>
      <c r="G76" s="89"/>
      <c r="H76" s="89"/>
      <c r="I76" s="89"/>
      <c r="J76" s="89"/>
      <c r="K76" s="89"/>
      <c r="L76" s="89"/>
      <c r="M76" s="89"/>
      <c r="N76" s="89"/>
      <c r="O76" s="89"/>
      <c r="P76" s="89"/>
      <c r="Q76" s="89"/>
      <c r="R76" s="89"/>
      <c r="S76" s="89"/>
      <c r="T76" s="89"/>
      <c r="U76" s="89"/>
      <c r="V76" s="89"/>
      <c r="W76" s="89"/>
      <c r="X76" s="89"/>
      <c r="Y76" s="89"/>
    </row>
  </sheetData>
  <pageMargins left="0.2" right="0.2" top="0.25" bottom="0.5" header="0.3" footer="0.3"/>
  <pageSetup scale="84" fitToHeight="0" orientation="landscape" r:id="rId1"/>
  <headerFooter>
    <oddFooter>&amp;C&amp;A&amp;RPage &amp;P of &amp;N</oddFooter>
  </headerFooter>
  <rowBreaks count="1" manualBreakCount="1">
    <brk id="37"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2918-820F-4EC4-9989-1AD57E7DF950}">
  <sheetPr>
    <pageSetUpPr fitToPage="1"/>
  </sheetPr>
  <dimension ref="A1:O137"/>
  <sheetViews>
    <sheetView workbookViewId="0">
      <pane ySplit="8" topLeftCell="A48" activePane="bottomLeft" state="frozen"/>
      <selection pane="bottomLeft" activeCell="B22" sqref="B22"/>
    </sheetView>
  </sheetViews>
  <sheetFormatPr defaultRowHeight="15"/>
  <cols>
    <col min="1" max="1" width="22.44140625" customWidth="1"/>
    <col min="2" max="2" width="10.77734375" customWidth="1"/>
    <col min="3" max="3" width="15.44140625" customWidth="1"/>
    <col min="5" max="5" width="10.5546875" bestFit="1" customWidth="1"/>
    <col min="6" max="6" width="8.88671875" bestFit="1" customWidth="1"/>
    <col min="7" max="7" width="10.33203125" customWidth="1"/>
    <col min="8" max="8" width="9.44140625" bestFit="1" customWidth="1"/>
    <col min="9" max="9" width="10.44140625" bestFit="1" customWidth="1"/>
    <col min="10" max="10" width="9.88671875" bestFit="1" customWidth="1"/>
  </cols>
  <sheetData>
    <row r="1" spans="1:13" ht="15.75">
      <c r="A1" s="212" t="s">
        <v>16</v>
      </c>
      <c r="B1" s="216"/>
      <c r="C1" s="216"/>
      <c r="D1" s="216"/>
      <c r="E1" s="216"/>
      <c r="F1" s="216"/>
      <c r="G1" s="216"/>
      <c r="H1" s="216"/>
      <c r="I1" s="202"/>
      <c r="L1" s="89" t="s">
        <v>1567</v>
      </c>
      <c r="M1" s="579">
        <v>1.0575000000000001</v>
      </c>
    </row>
    <row r="2" spans="1:13">
      <c r="A2" s="212" t="s">
        <v>803</v>
      </c>
      <c r="B2" s="216"/>
      <c r="C2" s="216"/>
      <c r="D2" s="216"/>
      <c r="E2" s="216"/>
      <c r="F2" s="216"/>
      <c r="G2" s="216"/>
      <c r="H2" s="216"/>
      <c r="I2" s="202"/>
    </row>
    <row r="3" spans="1:13">
      <c r="A3" s="212" t="s">
        <v>744</v>
      </c>
      <c r="B3" s="216"/>
      <c r="C3" s="216"/>
      <c r="D3" s="216"/>
      <c r="E3" s="216"/>
      <c r="F3" s="216"/>
      <c r="G3" s="216"/>
      <c r="H3" s="216"/>
      <c r="I3" s="202"/>
    </row>
    <row r="4" spans="1:13">
      <c r="A4" s="202"/>
      <c r="B4" s="202"/>
      <c r="C4" s="202"/>
      <c r="D4" s="202"/>
      <c r="E4" s="202"/>
      <c r="F4" s="202"/>
      <c r="G4" s="202"/>
      <c r="H4" s="202"/>
      <c r="I4" s="202"/>
    </row>
    <row r="5" spans="1:13">
      <c r="A5" s="220"/>
      <c r="B5" s="220"/>
      <c r="C5" s="217"/>
      <c r="D5" s="217"/>
      <c r="E5" s="217"/>
      <c r="F5" s="217"/>
      <c r="G5" s="217"/>
      <c r="H5" s="217"/>
      <c r="I5" s="217"/>
    </row>
    <row r="6" spans="1:13">
      <c r="A6" s="220"/>
      <c r="B6" s="220"/>
      <c r="C6" s="231"/>
      <c r="D6" s="217"/>
      <c r="E6" s="217"/>
      <c r="F6" s="217"/>
      <c r="G6" s="217"/>
      <c r="H6" s="217"/>
      <c r="I6" s="217"/>
    </row>
    <row r="7" spans="1:13">
      <c r="A7" s="217"/>
      <c r="B7" s="218" t="s">
        <v>769</v>
      </c>
      <c r="C7" s="218"/>
      <c r="D7" s="218" t="s">
        <v>804</v>
      </c>
      <c r="E7" s="218" t="s">
        <v>804</v>
      </c>
      <c r="F7" s="218" t="s">
        <v>734</v>
      </c>
      <c r="G7" s="218" t="s">
        <v>734</v>
      </c>
      <c r="H7" s="218"/>
      <c r="I7" s="217"/>
      <c r="L7" s="636"/>
    </row>
    <row r="8" spans="1:13">
      <c r="A8" s="219" t="s">
        <v>771</v>
      </c>
      <c r="B8" s="219" t="s">
        <v>772</v>
      </c>
      <c r="C8" s="219" t="s">
        <v>1354</v>
      </c>
      <c r="D8" s="219" t="s">
        <v>774</v>
      </c>
      <c r="E8" s="219" t="s">
        <v>1</v>
      </c>
      <c r="F8" s="219" t="s">
        <v>774</v>
      </c>
      <c r="G8" s="219" t="s">
        <v>1</v>
      </c>
      <c r="H8" s="219" t="s">
        <v>805</v>
      </c>
      <c r="I8" s="217"/>
      <c r="L8" s="637"/>
    </row>
    <row r="9" spans="1:13">
      <c r="A9" s="220" t="s">
        <v>806</v>
      </c>
      <c r="B9" s="221">
        <v>245</v>
      </c>
      <c r="C9" s="217">
        <v>3082</v>
      </c>
      <c r="D9" s="222">
        <v>5.51</v>
      </c>
      <c r="E9" s="217">
        <f t="shared" ref="E9:E64" si="0">D9*C9</f>
        <v>16981.82</v>
      </c>
      <c r="F9" s="222">
        <f>+D9*$M$1</f>
        <v>5.8268250000000004</v>
      </c>
      <c r="G9" s="217">
        <f>C9*F9</f>
        <v>17958.274649999999</v>
      </c>
      <c r="H9" s="232"/>
      <c r="I9" s="232"/>
    </row>
    <row r="10" spans="1:13" ht="15.75">
      <c r="A10" s="220" t="s">
        <v>807</v>
      </c>
      <c r="B10" s="221">
        <v>245</v>
      </c>
      <c r="C10" s="217">
        <v>955</v>
      </c>
      <c r="D10" s="222">
        <v>16.41</v>
      </c>
      <c r="E10" s="217">
        <f t="shared" si="0"/>
        <v>15671.55</v>
      </c>
      <c r="F10" s="222">
        <f t="shared" ref="F10:F65" si="1">+D10*$M$1</f>
        <v>17.353575000000003</v>
      </c>
      <c r="G10" s="217">
        <f t="shared" ref="G10:G65" si="2">C10*F10</f>
        <v>16572.664125000003</v>
      </c>
      <c r="H10" s="232"/>
      <c r="I10" s="217"/>
      <c r="L10" s="638"/>
    </row>
    <row r="11" spans="1:13" ht="15.75">
      <c r="A11" s="220" t="s">
        <v>808</v>
      </c>
      <c r="B11" s="221">
        <v>245</v>
      </c>
      <c r="C11" s="217">
        <v>773</v>
      </c>
      <c r="D11" s="222">
        <f>16.41+5.51</f>
        <v>21.92</v>
      </c>
      <c r="E11" s="217">
        <f t="shared" si="0"/>
        <v>16944.16</v>
      </c>
      <c r="F11" s="222">
        <f t="shared" si="1"/>
        <v>23.180400000000006</v>
      </c>
      <c r="G11" s="217">
        <f t="shared" si="2"/>
        <v>17918.449200000003</v>
      </c>
      <c r="H11" s="232"/>
      <c r="I11" s="222"/>
      <c r="L11" s="638"/>
    </row>
    <row r="12" spans="1:13" ht="15.75">
      <c r="A12" s="220" t="s">
        <v>809</v>
      </c>
      <c r="B12" s="221">
        <v>245</v>
      </c>
      <c r="C12" s="217">
        <v>431</v>
      </c>
      <c r="D12" s="222">
        <f>16.41+(5.51*2)</f>
        <v>27.43</v>
      </c>
      <c r="E12" s="217">
        <f t="shared" si="0"/>
        <v>11822.33</v>
      </c>
      <c r="F12" s="222">
        <f t="shared" si="1"/>
        <v>29.007225000000002</v>
      </c>
      <c r="G12" s="217">
        <f t="shared" si="2"/>
        <v>12502.113975</v>
      </c>
      <c r="H12" s="232"/>
      <c r="I12" s="222"/>
      <c r="L12" s="638"/>
    </row>
    <row r="13" spans="1:13" ht="15.75">
      <c r="A13" s="220" t="s">
        <v>810</v>
      </c>
      <c r="B13" s="221">
        <v>245</v>
      </c>
      <c r="C13" s="217">
        <v>415</v>
      </c>
      <c r="D13" s="222">
        <f>16.41+(5.51*3)</f>
        <v>32.94</v>
      </c>
      <c r="E13" s="217">
        <f t="shared" si="0"/>
        <v>13670.099999999999</v>
      </c>
      <c r="F13" s="222">
        <f t="shared" si="1"/>
        <v>34.834049999999998</v>
      </c>
      <c r="G13" s="217">
        <f t="shared" si="2"/>
        <v>14456.130749999998</v>
      </c>
      <c r="H13" s="232"/>
      <c r="I13" s="222"/>
      <c r="L13" s="638"/>
    </row>
    <row r="14" spans="1:13" ht="15.75">
      <c r="A14" s="220" t="s">
        <v>811</v>
      </c>
      <c r="B14" s="221">
        <v>245</v>
      </c>
      <c r="C14" s="217">
        <v>63</v>
      </c>
      <c r="D14" s="222">
        <f>16.41+(5.51*4)</f>
        <v>38.450000000000003</v>
      </c>
      <c r="E14" s="217">
        <f t="shared" si="0"/>
        <v>2422.3500000000004</v>
      </c>
      <c r="F14" s="222">
        <f t="shared" si="1"/>
        <v>40.660875000000004</v>
      </c>
      <c r="G14" s="217">
        <f t="shared" si="2"/>
        <v>2561.6351250000002</v>
      </c>
      <c r="H14" s="232"/>
      <c r="I14" s="222"/>
      <c r="L14" s="638"/>
    </row>
    <row r="15" spans="1:13" ht="15.75">
      <c r="A15" s="220" t="s">
        <v>812</v>
      </c>
      <c r="B15" s="221">
        <v>245</v>
      </c>
      <c r="C15" s="217">
        <v>71</v>
      </c>
      <c r="D15" s="222">
        <f>16.41+(5.51*5)</f>
        <v>43.959999999999994</v>
      </c>
      <c r="E15" s="217">
        <f t="shared" si="0"/>
        <v>3121.1599999999994</v>
      </c>
      <c r="F15" s="222">
        <f t="shared" si="1"/>
        <v>46.487699999999997</v>
      </c>
      <c r="G15" s="217">
        <f t="shared" si="2"/>
        <v>3300.6266999999998</v>
      </c>
      <c r="H15" s="232"/>
      <c r="I15" s="222"/>
      <c r="L15" s="638"/>
    </row>
    <row r="16" spans="1:13" ht="15.75">
      <c r="A16" s="220" t="s">
        <v>813</v>
      </c>
      <c r="B16" s="221">
        <v>245</v>
      </c>
      <c r="C16" s="217">
        <v>36</v>
      </c>
      <c r="D16" s="222">
        <f>16.41+(5.51*6)</f>
        <v>49.47</v>
      </c>
      <c r="E16" s="217">
        <f t="shared" si="0"/>
        <v>1780.92</v>
      </c>
      <c r="F16" s="222">
        <f t="shared" si="1"/>
        <v>52.314525000000003</v>
      </c>
      <c r="G16" s="217">
        <f t="shared" si="2"/>
        <v>1883.3229000000001</v>
      </c>
      <c r="H16" s="232"/>
      <c r="I16" s="222"/>
      <c r="L16" s="638"/>
    </row>
    <row r="17" spans="1:15" ht="15.75">
      <c r="A17" s="220" t="s">
        <v>814</v>
      </c>
      <c r="B17" s="221">
        <v>245</v>
      </c>
      <c r="C17" s="217">
        <v>61</v>
      </c>
      <c r="D17" s="222">
        <f>16.41+(5.51*7)</f>
        <v>54.980000000000004</v>
      </c>
      <c r="E17" s="217">
        <f t="shared" si="0"/>
        <v>3353.78</v>
      </c>
      <c r="F17" s="222">
        <f t="shared" si="1"/>
        <v>58.14135000000001</v>
      </c>
      <c r="G17" s="217">
        <f t="shared" si="2"/>
        <v>3546.6223500000006</v>
      </c>
      <c r="H17" s="232"/>
      <c r="I17" s="222"/>
      <c r="L17" s="638"/>
    </row>
    <row r="18" spans="1:15">
      <c r="A18" s="220" t="s">
        <v>815</v>
      </c>
      <c r="B18" s="221">
        <v>150</v>
      </c>
      <c r="C18" s="217"/>
      <c r="D18" s="222">
        <v>21.04</v>
      </c>
      <c r="E18" s="217">
        <f t="shared" si="0"/>
        <v>0</v>
      </c>
      <c r="F18" s="222">
        <f t="shared" si="1"/>
        <v>22.2498</v>
      </c>
      <c r="G18" s="217">
        <f t="shared" si="2"/>
        <v>0</v>
      </c>
      <c r="H18" s="232"/>
      <c r="I18" s="222"/>
    </row>
    <row r="19" spans="1:15" ht="15.75">
      <c r="A19" s="220" t="s">
        <v>816</v>
      </c>
      <c r="B19" s="221">
        <v>240</v>
      </c>
      <c r="C19" s="217">
        <v>4554</v>
      </c>
      <c r="D19" s="222">
        <f>32.56+(11.49*3.333)</f>
        <v>70.856170000000006</v>
      </c>
      <c r="E19" s="217">
        <f t="shared" si="0"/>
        <v>322678.99818000005</v>
      </c>
      <c r="F19" s="222">
        <f t="shared" si="1"/>
        <v>74.930399775000012</v>
      </c>
      <c r="G19" s="217">
        <f t="shared" si="2"/>
        <v>341233.04057535005</v>
      </c>
      <c r="H19" s="217"/>
      <c r="I19" s="222"/>
      <c r="L19" s="638"/>
    </row>
    <row r="20" spans="1:15" ht="15.75">
      <c r="A20" s="220" t="s">
        <v>817</v>
      </c>
      <c r="B20" s="221">
        <v>240</v>
      </c>
      <c r="C20" s="217">
        <v>185</v>
      </c>
      <c r="D20" s="222">
        <f>32.56+11.49*7.666</f>
        <v>120.64234</v>
      </c>
      <c r="E20" s="217">
        <f t="shared" si="0"/>
        <v>22318.832900000001</v>
      </c>
      <c r="F20" s="222">
        <f t="shared" si="1"/>
        <v>127.57927455000002</v>
      </c>
      <c r="G20" s="217">
        <f t="shared" si="2"/>
        <v>23602.165791750005</v>
      </c>
      <c r="H20" s="217"/>
      <c r="I20" s="222"/>
      <c r="L20" s="638"/>
    </row>
    <row r="21" spans="1:15" ht="15.75">
      <c r="A21" s="220" t="s">
        <v>818</v>
      </c>
      <c r="B21" s="221">
        <v>240</v>
      </c>
      <c r="C21" s="217">
        <v>24</v>
      </c>
      <c r="D21" s="222">
        <f>32.56+11.49*11.999</f>
        <v>170.42851000000002</v>
      </c>
      <c r="E21" s="217">
        <f t="shared" si="0"/>
        <v>4090.2842400000004</v>
      </c>
      <c r="F21" s="222">
        <f t="shared" si="1"/>
        <v>180.22814932500003</v>
      </c>
      <c r="G21" s="217">
        <f t="shared" si="2"/>
        <v>4325.475583800001</v>
      </c>
      <c r="H21" s="217"/>
      <c r="I21" s="222"/>
      <c r="L21" s="638"/>
    </row>
    <row r="22" spans="1:15" ht="15.75">
      <c r="A22" s="231" t="s">
        <v>819</v>
      </c>
      <c r="B22" s="221">
        <v>240</v>
      </c>
      <c r="C22" s="217">
        <v>24</v>
      </c>
      <c r="D22" s="222">
        <f>32.56+11.49*20.665</f>
        <v>270.00085000000001</v>
      </c>
      <c r="E22" s="217">
        <f t="shared" si="0"/>
        <v>6480.0204000000003</v>
      </c>
      <c r="F22" s="222">
        <f t="shared" si="1"/>
        <v>285.52589887500005</v>
      </c>
      <c r="G22" s="217">
        <f t="shared" si="2"/>
        <v>6852.6215730000013</v>
      </c>
      <c r="H22" s="217"/>
      <c r="I22" s="222"/>
      <c r="L22" s="638"/>
    </row>
    <row r="23" spans="1:15" ht="15.75">
      <c r="A23" s="220" t="s">
        <v>820</v>
      </c>
      <c r="B23" s="221">
        <v>240</v>
      </c>
      <c r="C23" s="217">
        <v>3304</v>
      </c>
      <c r="D23" s="222">
        <f>45.07+22.81*3.333</f>
        <v>121.09573</v>
      </c>
      <c r="E23" s="217">
        <f t="shared" si="0"/>
        <v>400100.29191999999</v>
      </c>
      <c r="F23" s="222">
        <f t="shared" si="1"/>
        <v>128.05873447500002</v>
      </c>
      <c r="G23" s="217">
        <f t="shared" si="2"/>
        <v>423106.05870540009</v>
      </c>
      <c r="H23" s="217"/>
      <c r="I23" s="222"/>
      <c r="L23" s="638"/>
      <c r="O23" s="414"/>
    </row>
    <row r="24" spans="1:15" ht="15.75">
      <c r="A24" s="220" t="s">
        <v>821</v>
      </c>
      <c r="B24" s="221">
        <v>240</v>
      </c>
      <c r="C24" s="217">
        <f>563+96</f>
        <v>659</v>
      </c>
      <c r="D24" s="222">
        <f>45.07+22.81*7.66</f>
        <v>219.79459999999997</v>
      </c>
      <c r="E24" s="217">
        <f t="shared" si="0"/>
        <v>144844.64139999999</v>
      </c>
      <c r="F24" s="222">
        <f t="shared" si="1"/>
        <v>232.43278949999998</v>
      </c>
      <c r="G24" s="217">
        <f t="shared" si="2"/>
        <v>153173.2082805</v>
      </c>
      <c r="H24" s="217"/>
      <c r="I24" s="222"/>
      <c r="L24" s="638"/>
    </row>
    <row r="25" spans="1:15" ht="15.75">
      <c r="A25" s="220" t="s">
        <v>822</v>
      </c>
      <c r="B25" s="221">
        <v>240</v>
      </c>
      <c r="C25" s="217">
        <v>129</v>
      </c>
      <c r="D25" s="222">
        <f>45.07+22.81*11.999</f>
        <v>318.76718999999997</v>
      </c>
      <c r="E25" s="217">
        <f t="shared" si="0"/>
        <v>41120.967509999995</v>
      </c>
      <c r="F25" s="222">
        <f t="shared" si="1"/>
        <v>337.09630342500003</v>
      </c>
      <c r="G25" s="217">
        <f t="shared" si="2"/>
        <v>43485.423141825006</v>
      </c>
      <c r="H25" s="217"/>
      <c r="I25" s="222"/>
      <c r="L25" s="638"/>
    </row>
    <row r="26" spans="1:15" ht="15.75">
      <c r="A26" s="220" t="s">
        <v>823</v>
      </c>
      <c r="B26" s="221">
        <v>240</v>
      </c>
      <c r="C26" s="217">
        <v>2</v>
      </c>
      <c r="D26" s="222">
        <f>45.07+22.81*16.332</f>
        <v>417.60291999999998</v>
      </c>
      <c r="E26" s="217">
        <f t="shared" si="0"/>
        <v>835.20583999999997</v>
      </c>
      <c r="F26" s="222">
        <f t="shared" si="1"/>
        <v>441.61508790000005</v>
      </c>
      <c r="G26" s="217">
        <f t="shared" si="2"/>
        <v>883.2301758000001</v>
      </c>
      <c r="H26" s="217"/>
      <c r="I26" s="222"/>
      <c r="L26" s="638"/>
    </row>
    <row r="27" spans="1:15" ht="15.75">
      <c r="A27" s="220" t="s">
        <v>824</v>
      </c>
      <c r="B27" s="221">
        <v>240</v>
      </c>
      <c r="C27" s="217">
        <v>1</v>
      </c>
      <c r="D27" s="222">
        <v>516.44000000000005</v>
      </c>
      <c r="E27" s="217">
        <f t="shared" si="0"/>
        <v>516.44000000000005</v>
      </c>
      <c r="F27" s="222">
        <f t="shared" si="1"/>
        <v>546.13530000000014</v>
      </c>
      <c r="G27" s="217">
        <f t="shared" si="2"/>
        <v>546.13530000000014</v>
      </c>
      <c r="H27" s="217"/>
      <c r="I27" s="222"/>
      <c r="L27" s="638"/>
    </row>
    <row r="28" spans="1:15" ht="15.75">
      <c r="A28" s="220" t="s">
        <v>825</v>
      </c>
      <c r="B28" s="221">
        <v>240</v>
      </c>
      <c r="C28" s="217">
        <v>39</v>
      </c>
      <c r="D28" s="222">
        <f>45.07+22.81*24.998</f>
        <v>615.27438000000006</v>
      </c>
      <c r="E28" s="217">
        <f t="shared" si="0"/>
        <v>23995.700820000002</v>
      </c>
      <c r="F28" s="222">
        <f t="shared" si="1"/>
        <v>650.65265685000008</v>
      </c>
      <c r="G28" s="217">
        <f t="shared" si="2"/>
        <v>25375.453617150004</v>
      </c>
      <c r="H28" s="217"/>
      <c r="I28" s="222"/>
      <c r="L28" s="638"/>
    </row>
    <row r="29" spans="1:15" ht="15.75">
      <c r="A29" s="220" t="s">
        <v>826</v>
      </c>
      <c r="B29" s="221">
        <v>240</v>
      </c>
      <c r="C29" s="217">
        <v>1990</v>
      </c>
      <c r="D29" s="222">
        <f>59.46+3.333*31.21</f>
        <v>163.48293000000001</v>
      </c>
      <c r="E29" s="217">
        <f t="shared" si="0"/>
        <v>325331.0307</v>
      </c>
      <c r="F29" s="222">
        <f t="shared" si="1"/>
        <v>172.88319847500003</v>
      </c>
      <c r="G29" s="217">
        <f t="shared" si="2"/>
        <v>344037.56496525003</v>
      </c>
      <c r="H29" s="217"/>
      <c r="I29" s="222"/>
      <c r="L29" s="638"/>
    </row>
    <row r="30" spans="1:15" ht="15.75">
      <c r="A30" s="220" t="s">
        <v>827</v>
      </c>
      <c r="B30" s="221">
        <v>240</v>
      </c>
      <c r="C30" s="217">
        <f>1760+36</f>
        <v>1796</v>
      </c>
      <c r="D30" s="222">
        <f>59.46+7.666*31.21</f>
        <v>298.71586000000002</v>
      </c>
      <c r="E30" s="217">
        <f t="shared" si="0"/>
        <v>536493.68456000008</v>
      </c>
      <c r="F30" s="222">
        <f t="shared" si="1"/>
        <v>315.89202195000007</v>
      </c>
      <c r="G30" s="217">
        <f t="shared" si="2"/>
        <v>567342.07142220018</v>
      </c>
      <c r="H30" s="217"/>
      <c r="I30" s="222"/>
      <c r="L30" s="638"/>
    </row>
    <row r="31" spans="1:15" ht="15.75">
      <c r="A31" s="220" t="s">
        <v>828</v>
      </c>
      <c r="B31" s="221">
        <v>240</v>
      </c>
      <c r="C31" s="217">
        <v>628</v>
      </c>
      <c r="D31" s="222">
        <f>59.46+11.999*31.21</f>
        <v>433.94879000000003</v>
      </c>
      <c r="E31" s="217">
        <f t="shared" si="0"/>
        <v>272519.84012000001</v>
      </c>
      <c r="F31" s="222">
        <f t="shared" si="1"/>
        <v>458.90084542500006</v>
      </c>
      <c r="G31" s="217">
        <f t="shared" si="2"/>
        <v>288189.73092690005</v>
      </c>
      <c r="H31" s="217"/>
      <c r="I31" s="222"/>
      <c r="L31" s="638"/>
    </row>
    <row r="32" spans="1:15" ht="15.75">
      <c r="A32" s="220" t="s">
        <v>829</v>
      </c>
      <c r="B32" s="221">
        <v>240</v>
      </c>
      <c r="C32" s="217">
        <v>167</v>
      </c>
      <c r="D32" s="222">
        <f>59.46+16.332*31.21</f>
        <v>569.18172000000004</v>
      </c>
      <c r="E32" s="217">
        <f t="shared" si="0"/>
        <v>95053.347240000003</v>
      </c>
      <c r="F32" s="222">
        <f t="shared" si="1"/>
        <v>601.90966890000016</v>
      </c>
      <c r="G32" s="217">
        <f t="shared" si="2"/>
        <v>100518.91470630003</v>
      </c>
      <c r="H32" s="217"/>
      <c r="I32" s="222"/>
      <c r="L32" s="638"/>
    </row>
    <row r="33" spans="1:12" ht="15.75">
      <c r="A33" s="220" t="s">
        <v>830</v>
      </c>
      <c r="B33" s="221">
        <v>240</v>
      </c>
      <c r="C33" s="217">
        <v>147</v>
      </c>
      <c r="D33" s="222">
        <f>59.46+20.665*31.21</f>
        <v>704.41465000000005</v>
      </c>
      <c r="E33" s="217">
        <f t="shared" si="0"/>
        <v>103548.95355000001</v>
      </c>
      <c r="F33" s="222">
        <f t="shared" si="1"/>
        <v>744.91849237500014</v>
      </c>
      <c r="G33" s="217">
        <f t="shared" si="2"/>
        <v>109503.01837912502</v>
      </c>
      <c r="H33" s="217"/>
      <c r="I33" s="222"/>
      <c r="L33" s="638"/>
    </row>
    <row r="34" spans="1:12" ht="15.75">
      <c r="A34" s="220" t="s">
        <v>831</v>
      </c>
      <c r="B34" s="221">
        <v>240</v>
      </c>
      <c r="C34" s="217">
        <v>63</v>
      </c>
      <c r="D34" s="222">
        <f>59.46+24.998*31.21</f>
        <v>839.64758000000006</v>
      </c>
      <c r="E34" s="217">
        <f t="shared" si="0"/>
        <v>52897.797540000007</v>
      </c>
      <c r="F34" s="222">
        <f t="shared" si="1"/>
        <v>887.92731585000013</v>
      </c>
      <c r="G34" s="217">
        <f t="shared" si="2"/>
        <v>55939.420898550008</v>
      </c>
      <c r="H34" s="217"/>
      <c r="I34" s="222"/>
      <c r="L34" s="638"/>
    </row>
    <row r="35" spans="1:12" ht="15.75">
      <c r="A35" s="220" t="s">
        <v>832</v>
      </c>
      <c r="B35" s="221">
        <v>240</v>
      </c>
      <c r="C35" s="217">
        <v>488</v>
      </c>
      <c r="D35" s="233">
        <f>66.48+44.47*3.333</f>
        <v>214.69851</v>
      </c>
      <c r="E35" s="217">
        <f t="shared" si="0"/>
        <v>104772.87288</v>
      </c>
      <c r="F35" s="222">
        <f t="shared" si="1"/>
        <v>227.04367432500001</v>
      </c>
      <c r="G35" s="217">
        <f t="shared" si="2"/>
        <v>110797.31307060001</v>
      </c>
      <c r="H35" s="217"/>
      <c r="I35" s="222"/>
      <c r="L35" s="638"/>
    </row>
    <row r="36" spans="1:12" ht="15.75">
      <c r="A36" s="220" t="s">
        <v>833</v>
      </c>
      <c r="B36" s="221">
        <v>240</v>
      </c>
      <c r="C36" s="217">
        <v>127</v>
      </c>
      <c r="D36" s="233">
        <f>66.48+44.47*7.666</f>
        <v>407.38702000000001</v>
      </c>
      <c r="E36" s="217">
        <f t="shared" si="0"/>
        <v>51738.151539999999</v>
      </c>
      <c r="F36" s="222">
        <f t="shared" si="1"/>
        <v>430.81177365000008</v>
      </c>
      <c r="G36" s="217">
        <f t="shared" si="2"/>
        <v>54713.095253550011</v>
      </c>
      <c r="H36" s="217"/>
      <c r="I36" s="222"/>
      <c r="L36" s="638"/>
    </row>
    <row r="37" spans="1:12" ht="15.75">
      <c r="A37" s="220" t="s">
        <v>834</v>
      </c>
      <c r="B37" s="221">
        <v>240</v>
      </c>
      <c r="C37" s="217">
        <v>61</v>
      </c>
      <c r="D37" s="233">
        <f>66.48+44.47*11.999</f>
        <v>600.07553000000007</v>
      </c>
      <c r="E37" s="217">
        <f t="shared" si="0"/>
        <v>36604.607330000006</v>
      </c>
      <c r="F37" s="222">
        <f t="shared" si="1"/>
        <v>634.57987297500017</v>
      </c>
      <c r="G37" s="217">
        <f t="shared" si="2"/>
        <v>38709.372251475012</v>
      </c>
      <c r="H37" s="217"/>
      <c r="I37" s="222"/>
      <c r="L37" s="638"/>
    </row>
    <row r="38" spans="1:12" ht="15.75">
      <c r="A38" s="220" t="s">
        <v>835</v>
      </c>
      <c r="B38" s="221">
        <v>240</v>
      </c>
      <c r="C38" s="217">
        <v>9</v>
      </c>
      <c r="D38" s="233">
        <f>66.48+44.47*16.332</f>
        <v>792.76404000000002</v>
      </c>
      <c r="E38" s="217">
        <f t="shared" si="0"/>
        <v>7134.8763600000002</v>
      </c>
      <c r="F38" s="222">
        <f t="shared" si="1"/>
        <v>838.34797230000015</v>
      </c>
      <c r="G38" s="217">
        <f t="shared" si="2"/>
        <v>7545.1317507000012</v>
      </c>
      <c r="H38" s="217"/>
      <c r="I38" s="222"/>
      <c r="L38" s="638"/>
    </row>
    <row r="39" spans="1:12" ht="15.75">
      <c r="A39" s="220" t="s">
        <v>836</v>
      </c>
      <c r="B39" s="221">
        <v>240</v>
      </c>
      <c r="C39" s="217">
        <v>865</v>
      </c>
      <c r="D39" s="233">
        <f>88.65+59.19*3.333</f>
        <v>285.93027000000001</v>
      </c>
      <c r="E39" s="217">
        <f t="shared" si="0"/>
        <v>247329.68355000002</v>
      </c>
      <c r="F39" s="222">
        <f t="shared" si="1"/>
        <v>302.37126052500003</v>
      </c>
      <c r="G39" s="217">
        <f t="shared" si="2"/>
        <v>261551.14035412503</v>
      </c>
      <c r="H39" s="217"/>
      <c r="I39" s="222"/>
      <c r="L39" s="638"/>
    </row>
    <row r="40" spans="1:12" ht="15.75">
      <c r="A40" s="220" t="s">
        <v>837</v>
      </c>
      <c r="B40" s="221">
        <v>240</v>
      </c>
      <c r="C40" s="217">
        <v>507</v>
      </c>
      <c r="D40" s="233">
        <f>88.65+59.19*7.666</f>
        <v>542.40053999999998</v>
      </c>
      <c r="E40" s="217">
        <f t="shared" si="0"/>
        <v>274997.07377999998</v>
      </c>
      <c r="F40" s="222">
        <f t="shared" si="1"/>
        <v>573.58857105000004</v>
      </c>
      <c r="G40" s="217">
        <f t="shared" si="2"/>
        <v>290809.40552235005</v>
      </c>
      <c r="H40" s="217"/>
      <c r="I40" s="222"/>
      <c r="L40" s="638"/>
    </row>
    <row r="41" spans="1:12" ht="15.75">
      <c r="A41" s="220" t="s">
        <v>838</v>
      </c>
      <c r="B41" s="221">
        <v>240</v>
      </c>
      <c r="C41" s="217">
        <v>207</v>
      </c>
      <c r="D41" s="233">
        <f>88.65+59.19*11.999</f>
        <v>798.87081000000001</v>
      </c>
      <c r="E41" s="217">
        <f t="shared" si="0"/>
        <v>165366.25766999999</v>
      </c>
      <c r="F41" s="222">
        <f t="shared" si="1"/>
        <v>844.80588157500006</v>
      </c>
      <c r="G41" s="217">
        <f t="shared" si="2"/>
        <v>174874.81748602501</v>
      </c>
      <c r="H41" s="217"/>
      <c r="I41" s="222"/>
      <c r="L41" s="638"/>
    </row>
    <row r="42" spans="1:12" ht="15.75">
      <c r="A42" s="220" t="s">
        <v>839</v>
      </c>
      <c r="B42" s="221">
        <v>240</v>
      </c>
      <c r="C42" s="217">
        <v>32</v>
      </c>
      <c r="D42" s="233">
        <f>88.65+59.19*16.332</f>
        <v>1055.3410800000001</v>
      </c>
      <c r="E42" s="217">
        <f t="shared" si="0"/>
        <v>33770.914560000005</v>
      </c>
      <c r="F42" s="222">
        <f t="shared" si="1"/>
        <v>1116.0231921000002</v>
      </c>
      <c r="G42" s="217">
        <f t="shared" si="2"/>
        <v>35712.742147200006</v>
      </c>
      <c r="H42" s="217"/>
      <c r="I42" s="222"/>
      <c r="L42" s="638"/>
    </row>
    <row r="43" spans="1:12" ht="15.75">
      <c r="A43" s="231" t="s">
        <v>840</v>
      </c>
      <c r="B43" s="221">
        <v>240</v>
      </c>
      <c r="C43" s="217">
        <v>12</v>
      </c>
      <c r="D43" s="233">
        <f>88.65+59.19*20.665</f>
        <v>1311.8113499999999</v>
      </c>
      <c r="E43" s="217">
        <f t="shared" si="0"/>
        <v>15741.736199999999</v>
      </c>
      <c r="F43" s="222">
        <f t="shared" si="1"/>
        <v>1387.2405026250001</v>
      </c>
      <c r="G43" s="217">
        <f t="shared" si="2"/>
        <v>16646.886031500002</v>
      </c>
      <c r="H43" s="217"/>
      <c r="I43" s="222"/>
      <c r="L43" s="638"/>
    </row>
    <row r="44" spans="1:12" ht="15.75">
      <c r="A44" s="220" t="s">
        <v>841</v>
      </c>
      <c r="B44" s="221">
        <v>240</v>
      </c>
      <c r="C44" s="217">
        <v>225</v>
      </c>
      <c r="D44" s="233">
        <f>117.43+77.43*3.333</f>
        <v>375.50419000000005</v>
      </c>
      <c r="E44" s="217">
        <f t="shared" si="0"/>
        <v>84488.442750000017</v>
      </c>
      <c r="F44" s="222">
        <f t="shared" si="1"/>
        <v>397.09568092500007</v>
      </c>
      <c r="G44" s="217">
        <f t="shared" si="2"/>
        <v>89346.528208125019</v>
      </c>
      <c r="H44" s="217"/>
      <c r="I44" s="222"/>
      <c r="L44" s="638"/>
    </row>
    <row r="45" spans="1:12" ht="15.75">
      <c r="A45" s="220" t="s">
        <v>842</v>
      </c>
      <c r="B45" s="221">
        <v>240</v>
      </c>
      <c r="C45" s="217">
        <v>208</v>
      </c>
      <c r="D45" s="233">
        <f>117.43+77.43*7.66</f>
        <v>710.54380000000015</v>
      </c>
      <c r="E45" s="217">
        <f t="shared" si="0"/>
        <v>147793.11040000003</v>
      </c>
      <c r="F45" s="222">
        <f t="shared" si="1"/>
        <v>751.4000685000002</v>
      </c>
      <c r="G45" s="217">
        <f t="shared" si="2"/>
        <v>156291.21424800003</v>
      </c>
      <c r="H45" s="217"/>
      <c r="I45" s="222"/>
      <c r="L45" s="638"/>
    </row>
    <row r="46" spans="1:12" ht="15.75">
      <c r="A46" s="220" t="s">
        <v>843</v>
      </c>
      <c r="B46" s="221">
        <v>240</v>
      </c>
      <c r="C46" s="217">
        <v>84</v>
      </c>
      <c r="D46" s="233">
        <f>117.43+77.43*11.999</f>
        <v>1046.5125700000001</v>
      </c>
      <c r="E46" s="217">
        <f t="shared" si="0"/>
        <v>87907.055880000014</v>
      </c>
      <c r="F46" s="222">
        <f t="shared" si="1"/>
        <v>1106.6870427750002</v>
      </c>
      <c r="G46" s="217">
        <f t="shared" si="2"/>
        <v>92961.711593100015</v>
      </c>
      <c r="H46" s="217"/>
      <c r="I46" s="222"/>
      <c r="L46" s="638"/>
    </row>
    <row r="47" spans="1:12" ht="15.75">
      <c r="A47" s="220" t="s">
        <v>844</v>
      </c>
      <c r="B47" s="221">
        <v>240</v>
      </c>
      <c r="C47" s="217">
        <v>13</v>
      </c>
      <c r="D47" s="233">
        <f>117.43+77.43*20.665</f>
        <v>1717.5209500000001</v>
      </c>
      <c r="E47" s="217">
        <f t="shared" si="0"/>
        <v>22327.772349999999</v>
      </c>
      <c r="F47" s="222">
        <f t="shared" si="1"/>
        <v>1816.2784046250003</v>
      </c>
      <c r="G47" s="217">
        <f t="shared" si="2"/>
        <v>23611.619260125004</v>
      </c>
      <c r="H47" s="217"/>
      <c r="I47" s="222"/>
      <c r="L47" s="638"/>
    </row>
    <row r="48" spans="1:12" ht="15.75">
      <c r="A48" s="220" t="s">
        <v>845</v>
      </c>
      <c r="B48" s="221"/>
      <c r="C48" s="217">
        <v>355</v>
      </c>
      <c r="D48" s="222">
        <f>21.25-6.75</f>
        <v>14.5</v>
      </c>
      <c r="E48" s="217">
        <f t="shared" si="0"/>
        <v>5147.5</v>
      </c>
      <c r="F48" s="222">
        <f t="shared" si="1"/>
        <v>15.333750000000002</v>
      </c>
      <c r="G48" s="217">
        <f t="shared" si="2"/>
        <v>5443.4812500000007</v>
      </c>
      <c r="H48" s="217"/>
      <c r="I48" s="222"/>
      <c r="L48" s="638"/>
    </row>
    <row r="49" spans="1:12" ht="15.75">
      <c r="A49" s="220" t="s">
        <v>846</v>
      </c>
      <c r="B49" s="221"/>
      <c r="C49" s="217">
        <v>80</v>
      </c>
      <c r="D49" s="222">
        <f>14.5*2</f>
        <v>29</v>
      </c>
      <c r="E49" s="217">
        <f t="shared" si="0"/>
        <v>2320</v>
      </c>
      <c r="F49" s="222">
        <f t="shared" si="1"/>
        <v>30.667500000000004</v>
      </c>
      <c r="G49" s="217">
        <f t="shared" si="2"/>
        <v>2453.4000000000005</v>
      </c>
      <c r="H49" s="217"/>
      <c r="I49" s="222"/>
      <c r="L49" s="638"/>
    </row>
    <row r="50" spans="1:12" ht="15.75">
      <c r="A50" s="220" t="s">
        <v>847</v>
      </c>
      <c r="B50" s="221"/>
      <c r="C50" s="217">
        <v>37</v>
      </c>
      <c r="D50" s="222">
        <f>14.5*3</f>
        <v>43.5</v>
      </c>
      <c r="E50" s="217">
        <f t="shared" si="0"/>
        <v>1609.5</v>
      </c>
      <c r="F50" s="222">
        <f t="shared" si="1"/>
        <v>46.001250000000006</v>
      </c>
      <c r="G50" s="217">
        <f t="shared" si="2"/>
        <v>1702.0462500000003</v>
      </c>
      <c r="H50" s="217"/>
      <c r="I50" s="222"/>
      <c r="L50" s="638"/>
    </row>
    <row r="51" spans="1:12" ht="15.75">
      <c r="A51" s="220" t="s">
        <v>848</v>
      </c>
      <c r="B51" s="221"/>
      <c r="C51" s="217">
        <v>24</v>
      </c>
      <c r="D51" s="222">
        <f>14.5*4</f>
        <v>58</v>
      </c>
      <c r="E51" s="217">
        <f t="shared" si="0"/>
        <v>1392</v>
      </c>
      <c r="F51" s="222">
        <f t="shared" si="1"/>
        <v>61.335000000000008</v>
      </c>
      <c r="G51" s="217">
        <f t="shared" si="2"/>
        <v>1472.0400000000002</v>
      </c>
      <c r="H51" s="217"/>
      <c r="I51" s="222"/>
      <c r="L51" s="638"/>
    </row>
    <row r="52" spans="1:12" ht="15.75">
      <c r="A52" s="220" t="s">
        <v>849</v>
      </c>
      <c r="B52" s="221"/>
      <c r="C52" s="217">
        <v>714</v>
      </c>
      <c r="D52" s="222">
        <v>17.690000000000001</v>
      </c>
      <c r="E52" s="217">
        <f t="shared" si="0"/>
        <v>12630.660000000002</v>
      </c>
      <c r="F52" s="222">
        <f t="shared" si="1"/>
        <v>18.707175000000003</v>
      </c>
      <c r="G52" s="217">
        <f t="shared" si="2"/>
        <v>13356.922950000002</v>
      </c>
      <c r="H52" s="217"/>
      <c r="I52" s="222"/>
      <c r="L52" s="638"/>
    </row>
    <row r="53" spans="1:12" ht="15.75">
      <c r="A53" s="220" t="s">
        <v>850</v>
      </c>
      <c r="B53" s="221"/>
      <c r="C53" s="217">
        <v>9</v>
      </c>
      <c r="D53" s="222">
        <f>+D52*2</f>
        <v>35.380000000000003</v>
      </c>
      <c r="E53" s="217">
        <f t="shared" si="0"/>
        <v>318.42</v>
      </c>
      <c r="F53" s="222">
        <f t="shared" si="1"/>
        <v>37.414350000000006</v>
      </c>
      <c r="G53" s="217">
        <f t="shared" si="2"/>
        <v>336.72915000000006</v>
      </c>
      <c r="H53" s="217"/>
      <c r="I53" s="222"/>
      <c r="L53" s="638"/>
    </row>
    <row r="54" spans="1:12" ht="15.75">
      <c r="A54" s="220" t="s">
        <v>851</v>
      </c>
      <c r="B54" s="221"/>
      <c r="C54" s="217">
        <v>60</v>
      </c>
      <c r="D54" s="222">
        <f>17.69*3</f>
        <v>53.070000000000007</v>
      </c>
      <c r="E54" s="217">
        <f t="shared" si="0"/>
        <v>3184.2000000000003</v>
      </c>
      <c r="F54" s="222">
        <f t="shared" si="1"/>
        <v>56.121525000000013</v>
      </c>
      <c r="G54" s="217">
        <f t="shared" si="2"/>
        <v>3367.2915000000007</v>
      </c>
      <c r="H54" s="217"/>
      <c r="I54" s="222"/>
      <c r="L54" s="638"/>
    </row>
    <row r="55" spans="1:12" ht="15.75">
      <c r="A55" s="220" t="s">
        <v>852</v>
      </c>
      <c r="B55" s="221"/>
      <c r="C55" s="217">
        <v>33</v>
      </c>
      <c r="D55" s="222">
        <f>17.69*4</f>
        <v>70.760000000000005</v>
      </c>
      <c r="E55" s="217">
        <f t="shared" si="0"/>
        <v>2335.0800000000004</v>
      </c>
      <c r="F55" s="222">
        <f t="shared" si="1"/>
        <v>74.828700000000012</v>
      </c>
      <c r="G55" s="217">
        <f t="shared" si="2"/>
        <v>2469.3471000000004</v>
      </c>
      <c r="H55" s="217"/>
      <c r="I55" s="794"/>
      <c r="J55" s="795"/>
      <c r="K55" s="795"/>
      <c r="L55" s="638"/>
    </row>
    <row r="56" spans="1:12" ht="15.75">
      <c r="A56" s="220" t="s">
        <v>853</v>
      </c>
      <c r="B56" s="221"/>
      <c r="C56" s="217">
        <v>474</v>
      </c>
      <c r="D56" s="222">
        <v>20.52</v>
      </c>
      <c r="E56" s="217">
        <f t="shared" si="0"/>
        <v>9726.48</v>
      </c>
      <c r="F56" s="222">
        <f t="shared" si="1"/>
        <v>21.699900000000003</v>
      </c>
      <c r="G56" s="217">
        <f t="shared" si="2"/>
        <v>10285.752600000002</v>
      </c>
      <c r="H56" s="217"/>
      <c r="I56" s="794"/>
      <c r="J56" s="795"/>
      <c r="K56" s="795"/>
      <c r="L56" s="638"/>
    </row>
    <row r="57" spans="1:12" ht="15.75">
      <c r="A57" s="220" t="s">
        <v>854</v>
      </c>
      <c r="B57" s="221"/>
      <c r="C57" s="217">
        <v>219</v>
      </c>
      <c r="D57" s="222">
        <f>20.52*2</f>
        <v>41.04</v>
      </c>
      <c r="E57" s="217">
        <f t="shared" si="0"/>
        <v>8987.76</v>
      </c>
      <c r="F57" s="222">
        <f t="shared" si="1"/>
        <v>43.399800000000006</v>
      </c>
      <c r="G57" s="217">
        <f t="shared" si="2"/>
        <v>9504.5562000000009</v>
      </c>
      <c r="H57" s="217"/>
      <c r="I57" s="794"/>
      <c r="J57" s="795"/>
      <c r="K57" s="795"/>
      <c r="L57" s="638"/>
    </row>
    <row r="58" spans="1:12" ht="15.75">
      <c r="A58" s="220" t="s">
        <v>855</v>
      </c>
      <c r="B58" s="221"/>
      <c r="C58" s="217">
        <v>36</v>
      </c>
      <c r="D58" s="222">
        <f>20.52*3</f>
        <v>61.56</v>
      </c>
      <c r="E58" s="217">
        <f t="shared" si="0"/>
        <v>2216.16</v>
      </c>
      <c r="F58" s="222">
        <f t="shared" si="1"/>
        <v>65.099700000000013</v>
      </c>
      <c r="G58" s="217">
        <f t="shared" si="2"/>
        <v>2343.5892000000003</v>
      </c>
      <c r="H58" s="217"/>
      <c r="I58" s="794"/>
      <c r="J58" s="795"/>
      <c r="K58" s="795"/>
      <c r="L58" s="638"/>
    </row>
    <row r="59" spans="1:12" ht="15.75">
      <c r="A59" s="220" t="s">
        <v>856</v>
      </c>
      <c r="B59" s="221"/>
      <c r="C59" s="217">
        <v>1452</v>
      </c>
      <c r="D59" s="233">
        <v>25.82</v>
      </c>
      <c r="E59" s="217">
        <f t="shared" si="0"/>
        <v>37490.639999999999</v>
      </c>
      <c r="F59" s="222">
        <f t="shared" si="1"/>
        <v>27.304650000000002</v>
      </c>
      <c r="G59" s="217">
        <f t="shared" si="2"/>
        <v>39646.351800000004</v>
      </c>
      <c r="H59" s="232"/>
      <c r="I59" s="794"/>
      <c r="J59" s="795"/>
      <c r="K59" s="795"/>
      <c r="L59" s="638"/>
    </row>
    <row r="60" spans="1:12" ht="15.75">
      <c r="A60" s="220" t="s">
        <v>857</v>
      </c>
      <c r="B60" s="221"/>
      <c r="C60" s="217">
        <v>394</v>
      </c>
      <c r="D60" s="233">
        <f>25.82*2</f>
        <v>51.64</v>
      </c>
      <c r="E60" s="217">
        <f t="shared" si="0"/>
        <v>20346.16</v>
      </c>
      <c r="F60" s="222">
        <f t="shared" si="1"/>
        <v>54.609300000000005</v>
      </c>
      <c r="G60" s="217">
        <f t="shared" si="2"/>
        <v>21516.064200000001</v>
      </c>
      <c r="H60" s="232"/>
      <c r="I60" s="794"/>
      <c r="J60" s="795"/>
      <c r="K60" s="795"/>
      <c r="L60" s="638"/>
    </row>
    <row r="61" spans="1:12" ht="15.75">
      <c r="A61" s="220" t="s">
        <v>858</v>
      </c>
      <c r="B61" s="221"/>
      <c r="C61" s="217">
        <v>72</v>
      </c>
      <c r="D61" s="233">
        <f>25.82*3</f>
        <v>77.460000000000008</v>
      </c>
      <c r="E61" s="217">
        <f t="shared" si="0"/>
        <v>5577.1200000000008</v>
      </c>
      <c r="F61" s="222">
        <f t="shared" si="1"/>
        <v>81.913950000000014</v>
      </c>
      <c r="G61" s="217">
        <f t="shared" si="2"/>
        <v>5897.8044000000009</v>
      </c>
      <c r="H61" s="232"/>
      <c r="I61" s="794"/>
      <c r="J61" s="795"/>
      <c r="K61" s="795"/>
      <c r="L61" s="638"/>
    </row>
    <row r="62" spans="1:12" ht="15.75">
      <c r="A62" s="220" t="s">
        <v>859</v>
      </c>
      <c r="B62" s="221"/>
      <c r="C62" s="217">
        <v>18</v>
      </c>
      <c r="D62" s="233">
        <f>25.82*4</f>
        <v>103.28</v>
      </c>
      <c r="E62" s="217">
        <f t="shared" si="0"/>
        <v>1859.04</v>
      </c>
      <c r="F62" s="222">
        <f t="shared" si="1"/>
        <v>109.21860000000001</v>
      </c>
      <c r="G62" s="217">
        <f t="shared" si="2"/>
        <v>1965.9348000000002</v>
      </c>
      <c r="H62" s="232"/>
      <c r="I62" s="794"/>
      <c r="J62" s="795"/>
      <c r="K62" s="795"/>
      <c r="L62" s="638"/>
    </row>
    <row r="63" spans="1:12">
      <c r="A63" s="220" t="s">
        <v>860</v>
      </c>
      <c r="B63" s="221">
        <v>150</v>
      </c>
      <c r="C63" s="217">
        <f>91+10+43+31+56+5758+383+8692</f>
        <v>15064</v>
      </c>
      <c r="D63" s="233">
        <v>15</v>
      </c>
      <c r="E63" s="217">
        <f t="shared" si="0"/>
        <v>225960</v>
      </c>
      <c r="F63" s="222">
        <f t="shared" si="1"/>
        <v>15.862500000000001</v>
      </c>
      <c r="G63" s="217">
        <f t="shared" si="2"/>
        <v>238952.7</v>
      </c>
      <c r="H63" s="232"/>
      <c r="I63" s="794"/>
      <c r="J63" s="795"/>
      <c r="K63" s="795"/>
    </row>
    <row r="64" spans="1:12">
      <c r="A64" s="220" t="s">
        <v>861</v>
      </c>
      <c r="B64" s="221"/>
      <c r="C64" s="217">
        <v>3220</v>
      </c>
      <c r="D64" s="233">
        <v>9</v>
      </c>
      <c r="E64" s="217">
        <f t="shared" si="0"/>
        <v>28980</v>
      </c>
      <c r="F64" s="222">
        <f t="shared" si="1"/>
        <v>9.5175000000000018</v>
      </c>
      <c r="G64" s="217">
        <f t="shared" si="2"/>
        <v>30646.350000000006</v>
      </c>
      <c r="H64" s="232"/>
      <c r="I64" s="794"/>
      <c r="J64" s="795"/>
      <c r="K64" s="795"/>
    </row>
    <row r="65" spans="1:12">
      <c r="A65" s="220" t="s">
        <v>862</v>
      </c>
      <c r="B65" s="221">
        <v>51</v>
      </c>
      <c r="C65" s="217">
        <v>5</v>
      </c>
      <c r="D65" s="233">
        <v>5</v>
      </c>
      <c r="E65" s="225">
        <f>+D65*C65</f>
        <v>25</v>
      </c>
      <c r="F65" s="222">
        <f t="shared" si="1"/>
        <v>5.2875000000000005</v>
      </c>
      <c r="G65" s="225">
        <f t="shared" si="2"/>
        <v>26.437500000000004</v>
      </c>
      <c r="H65" s="232"/>
      <c r="I65" s="794"/>
      <c r="J65" s="795"/>
      <c r="K65" s="795"/>
    </row>
    <row r="66" spans="1:12">
      <c r="A66" s="220" t="s">
        <v>863</v>
      </c>
      <c r="B66" s="221"/>
      <c r="C66" s="217"/>
      <c r="D66" s="234"/>
      <c r="E66" s="235">
        <f>SUM(E9:E65)</f>
        <v>4088672.4821700021</v>
      </c>
      <c r="F66" s="222"/>
      <c r="G66" s="235">
        <f>SUM(G9:G65)</f>
        <v>4323771.149894774</v>
      </c>
      <c r="H66" s="222"/>
      <c r="I66" s="843">
        <f>+G66-E66</f>
        <v>235098.66772477189</v>
      </c>
      <c r="J66" s="795"/>
      <c r="K66" s="795"/>
    </row>
    <row r="67" spans="1:12">
      <c r="A67" s="220"/>
      <c r="B67" s="221"/>
      <c r="C67" s="217"/>
      <c r="D67" s="234"/>
      <c r="E67" s="202"/>
      <c r="F67" s="222"/>
      <c r="G67" s="217"/>
      <c r="H67" s="222"/>
      <c r="I67" s="217"/>
    </row>
    <row r="68" spans="1:12">
      <c r="A68" s="220"/>
      <c r="B68" s="221"/>
      <c r="C68" s="217"/>
      <c r="D68" s="234"/>
      <c r="E68" s="202"/>
      <c r="F68" s="222"/>
      <c r="G68" s="217"/>
      <c r="H68" s="222"/>
      <c r="I68" s="217"/>
    </row>
    <row r="69" spans="1:12">
      <c r="A69" s="236" t="s">
        <v>864</v>
      </c>
      <c r="B69" s="221"/>
      <c r="C69" s="217"/>
      <c r="D69" s="234"/>
      <c r="E69" s="202"/>
      <c r="F69" s="222"/>
      <c r="G69" s="217"/>
      <c r="H69" s="222"/>
      <c r="I69" s="217"/>
    </row>
    <row r="70" spans="1:12" ht="15.75">
      <c r="A70" s="220" t="s">
        <v>865</v>
      </c>
      <c r="B70" s="221">
        <v>105</v>
      </c>
      <c r="C70" s="217">
        <v>2966</v>
      </c>
      <c r="D70" s="234">
        <v>73.92</v>
      </c>
      <c r="E70" s="217">
        <f t="shared" ref="E70:E91" si="3">D70*C70</f>
        <v>219246.72</v>
      </c>
      <c r="F70" s="222">
        <f t="shared" ref="F70:F91" si="4">+D70*$M$1</f>
        <v>78.170400000000015</v>
      </c>
      <c r="G70" s="217">
        <f t="shared" ref="G70:G91" si="5">C70*F70</f>
        <v>231853.40640000004</v>
      </c>
      <c r="H70" s="222"/>
      <c r="I70" s="217"/>
      <c r="L70" s="638"/>
    </row>
    <row r="71" spans="1:12" ht="15.75">
      <c r="A71" s="220" t="s">
        <v>866</v>
      </c>
      <c r="B71" s="221">
        <v>105</v>
      </c>
      <c r="C71" s="217">
        <v>123</v>
      </c>
      <c r="D71" s="234">
        <f>ROUND(73.92+12.24*4.33,2)</f>
        <v>126.92</v>
      </c>
      <c r="E71" s="217">
        <f t="shared" si="3"/>
        <v>15611.16</v>
      </c>
      <c r="F71" s="222">
        <f t="shared" si="4"/>
        <v>134.21790000000001</v>
      </c>
      <c r="G71" s="217">
        <f t="shared" si="5"/>
        <v>16508.8017</v>
      </c>
      <c r="H71" s="222"/>
      <c r="I71" s="217"/>
      <c r="L71" s="638"/>
    </row>
    <row r="72" spans="1:12" ht="15.75">
      <c r="A72" s="220" t="s">
        <v>867</v>
      </c>
      <c r="B72" s="221">
        <v>105</v>
      </c>
      <c r="C72" s="217">
        <v>132</v>
      </c>
      <c r="D72" s="234">
        <f>ROUND(73.92+12.24*8.66,2)</f>
        <v>179.92</v>
      </c>
      <c r="E72" s="217">
        <f t="shared" si="3"/>
        <v>23749.439999999999</v>
      </c>
      <c r="F72" s="222">
        <f t="shared" si="4"/>
        <v>190.2654</v>
      </c>
      <c r="G72" s="217">
        <f t="shared" si="5"/>
        <v>25115.032800000001</v>
      </c>
      <c r="H72" s="222"/>
      <c r="I72" s="217"/>
      <c r="L72" s="638"/>
    </row>
    <row r="73" spans="1:12" ht="15.75">
      <c r="A73" s="220" t="s">
        <v>868</v>
      </c>
      <c r="B73" s="221">
        <v>105</v>
      </c>
      <c r="C73" s="217">
        <v>36</v>
      </c>
      <c r="D73" s="234">
        <f>ROUND(73.92+12.24*17.332,2)</f>
        <v>286.06</v>
      </c>
      <c r="E73" s="217">
        <f t="shared" si="3"/>
        <v>10298.16</v>
      </c>
      <c r="F73" s="222">
        <f t="shared" si="4"/>
        <v>302.50845000000004</v>
      </c>
      <c r="G73" s="217">
        <f t="shared" si="5"/>
        <v>10890.304200000002</v>
      </c>
      <c r="H73" s="222"/>
      <c r="I73" s="217"/>
      <c r="L73" s="638"/>
    </row>
    <row r="74" spans="1:12" ht="15.75">
      <c r="A74" s="220" t="s">
        <v>869</v>
      </c>
      <c r="B74" s="221">
        <v>105</v>
      </c>
      <c r="C74" s="217">
        <v>1333</v>
      </c>
      <c r="D74" s="234">
        <f>127.46</f>
        <v>127.46</v>
      </c>
      <c r="E74" s="217">
        <f t="shared" si="3"/>
        <v>169904.18</v>
      </c>
      <c r="F74" s="222">
        <f t="shared" si="4"/>
        <v>134.78895</v>
      </c>
      <c r="G74" s="217">
        <f t="shared" si="5"/>
        <v>179673.67035</v>
      </c>
      <c r="H74" s="222"/>
      <c r="I74" s="217"/>
      <c r="L74" s="638"/>
    </row>
    <row r="75" spans="1:12" ht="15.75">
      <c r="A75" s="220" t="s">
        <v>870</v>
      </c>
      <c r="B75" s="221">
        <v>105</v>
      </c>
      <c r="C75" s="217">
        <v>505</v>
      </c>
      <c r="D75" s="234">
        <f t="shared" ref="D75" si="6">127.46+(24.31*4.33)</f>
        <v>232.72229999999999</v>
      </c>
      <c r="E75" s="217">
        <f t="shared" si="3"/>
        <v>117524.76149999999</v>
      </c>
      <c r="F75" s="222">
        <f t="shared" si="4"/>
        <v>246.10383225000001</v>
      </c>
      <c r="G75" s="217">
        <f t="shared" si="5"/>
        <v>124282.43528625001</v>
      </c>
      <c r="H75" s="222"/>
      <c r="I75" s="217"/>
      <c r="L75" s="638"/>
    </row>
    <row r="76" spans="1:12" ht="15.75">
      <c r="A76" s="220" t="s">
        <v>871</v>
      </c>
      <c r="B76" s="221">
        <v>105</v>
      </c>
      <c r="C76" s="217">
        <v>353</v>
      </c>
      <c r="D76" s="234">
        <f>127.46+(24.31*8.66)</f>
        <v>337.9846</v>
      </c>
      <c r="E76" s="217">
        <f t="shared" si="3"/>
        <v>119308.5638</v>
      </c>
      <c r="F76" s="222">
        <f t="shared" si="4"/>
        <v>357.41871450000002</v>
      </c>
      <c r="G76" s="217">
        <f t="shared" si="5"/>
        <v>126168.8062185</v>
      </c>
      <c r="H76" s="222"/>
      <c r="I76" s="217"/>
      <c r="L76" s="638"/>
    </row>
    <row r="77" spans="1:12" ht="15.75">
      <c r="A77" s="220" t="s">
        <v>872</v>
      </c>
      <c r="B77" s="221">
        <v>105</v>
      </c>
      <c r="C77" s="217">
        <v>24</v>
      </c>
      <c r="D77" s="234">
        <f>127.46+(24.31*12.99)</f>
        <v>443.24689999999998</v>
      </c>
      <c r="E77" s="217">
        <f t="shared" si="3"/>
        <v>10637.925599999999</v>
      </c>
      <c r="F77" s="222">
        <f t="shared" si="4"/>
        <v>468.73359675</v>
      </c>
      <c r="G77" s="217">
        <f t="shared" si="5"/>
        <v>11249.606322</v>
      </c>
      <c r="H77" s="222"/>
      <c r="I77" s="217"/>
      <c r="L77" s="638"/>
    </row>
    <row r="78" spans="1:12" ht="15.75">
      <c r="A78" s="220" t="s">
        <v>873</v>
      </c>
      <c r="B78" s="221">
        <v>105</v>
      </c>
      <c r="C78" s="217">
        <v>732</v>
      </c>
      <c r="D78" s="234">
        <v>173.02</v>
      </c>
      <c r="E78" s="217">
        <f t="shared" si="3"/>
        <v>126650.64000000001</v>
      </c>
      <c r="F78" s="222">
        <f t="shared" si="4"/>
        <v>182.96865000000003</v>
      </c>
      <c r="G78" s="217">
        <f t="shared" si="5"/>
        <v>133933.05180000002</v>
      </c>
      <c r="H78" s="222"/>
      <c r="I78" s="217"/>
      <c r="L78" s="638"/>
    </row>
    <row r="79" spans="1:12" ht="15.75">
      <c r="A79" s="220" t="s">
        <v>874</v>
      </c>
      <c r="B79" s="221">
        <v>105</v>
      </c>
      <c r="C79" s="217">
        <v>1148</v>
      </c>
      <c r="D79" s="234">
        <f>173.02+(33.44*4.33)</f>
        <v>317.8152</v>
      </c>
      <c r="E79" s="217">
        <f t="shared" si="3"/>
        <v>364851.84960000002</v>
      </c>
      <c r="F79" s="222">
        <f t="shared" si="4"/>
        <v>336.08957400000003</v>
      </c>
      <c r="G79" s="217">
        <f t="shared" si="5"/>
        <v>385830.83095200005</v>
      </c>
      <c r="H79" s="222"/>
      <c r="I79" s="217"/>
      <c r="L79" s="638"/>
    </row>
    <row r="80" spans="1:12" ht="15.75">
      <c r="A80" s="220" t="s">
        <v>875</v>
      </c>
      <c r="B80" s="221">
        <v>105</v>
      </c>
      <c r="C80" s="217">
        <v>823</v>
      </c>
      <c r="D80" s="234">
        <f>173.02+(33.44*8.666)</f>
        <v>462.81104000000005</v>
      </c>
      <c r="E80" s="217">
        <f t="shared" si="3"/>
        <v>380893.48592000006</v>
      </c>
      <c r="F80" s="222">
        <f t="shared" si="4"/>
        <v>489.4226748000001</v>
      </c>
      <c r="G80" s="217">
        <f t="shared" si="5"/>
        <v>402794.8613604001</v>
      </c>
      <c r="H80" s="222"/>
      <c r="I80" s="217"/>
      <c r="L80" s="638"/>
    </row>
    <row r="81" spans="1:12" ht="15.75">
      <c r="A81" s="220" t="s">
        <v>876</v>
      </c>
      <c r="B81" s="221">
        <v>105</v>
      </c>
      <c r="C81" s="217">
        <v>72</v>
      </c>
      <c r="D81" s="234">
        <f>173.02+(33.44*12.999)</f>
        <v>607.70655999999997</v>
      </c>
      <c r="E81" s="217">
        <f t="shared" si="3"/>
        <v>43754.872319999995</v>
      </c>
      <c r="F81" s="222">
        <f t="shared" si="4"/>
        <v>642.64968720000002</v>
      </c>
      <c r="G81" s="217">
        <f t="shared" si="5"/>
        <v>46270.777478399999</v>
      </c>
      <c r="H81" s="222"/>
      <c r="I81" s="217"/>
      <c r="L81" s="638"/>
    </row>
    <row r="82" spans="1:12" ht="15.75">
      <c r="A82" s="220" t="s">
        <v>877</v>
      </c>
      <c r="B82" s="221">
        <v>105</v>
      </c>
      <c r="C82" s="217">
        <v>61</v>
      </c>
      <c r="D82" s="234">
        <f>173.02+(33.44*17.332)</f>
        <v>752.60208</v>
      </c>
      <c r="E82" s="217">
        <f t="shared" si="3"/>
        <v>45908.726880000002</v>
      </c>
      <c r="F82" s="222">
        <f t="shared" si="4"/>
        <v>795.87669960000005</v>
      </c>
      <c r="G82" s="217">
        <f t="shared" si="5"/>
        <v>48548.478675600003</v>
      </c>
      <c r="H82" s="222"/>
      <c r="I82" s="217"/>
      <c r="L82" s="638"/>
    </row>
    <row r="83" spans="1:12" ht="15.75">
      <c r="A83" s="220" t="s">
        <v>878</v>
      </c>
      <c r="B83" s="221">
        <v>105</v>
      </c>
      <c r="C83" s="217">
        <v>39</v>
      </c>
      <c r="D83" s="234">
        <v>227.8</v>
      </c>
      <c r="E83" s="217">
        <f t="shared" si="3"/>
        <v>8884.2000000000007</v>
      </c>
      <c r="F83" s="222">
        <f t="shared" si="4"/>
        <v>240.89850000000004</v>
      </c>
      <c r="G83" s="217">
        <f t="shared" si="5"/>
        <v>9395.0415000000012</v>
      </c>
      <c r="H83" s="222"/>
      <c r="I83" s="217"/>
      <c r="L83" s="638"/>
    </row>
    <row r="84" spans="1:12" ht="15.75">
      <c r="A84" s="220" t="s">
        <v>879</v>
      </c>
      <c r="B84" s="221">
        <v>105</v>
      </c>
      <c r="C84" s="217">
        <v>55</v>
      </c>
      <c r="D84" s="234">
        <f>227.8+(47.56*4.33)</f>
        <v>433.73480000000006</v>
      </c>
      <c r="E84" s="217">
        <f t="shared" si="3"/>
        <v>23855.414000000004</v>
      </c>
      <c r="F84" s="222">
        <f t="shared" si="4"/>
        <v>458.67455100000012</v>
      </c>
      <c r="G84" s="217">
        <f t="shared" si="5"/>
        <v>25227.100305000007</v>
      </c>
      <c r="H84" s="222"/>
      <c r="I84" s="217"/>
      <c r="L84" s="638"/>
    </row>
    <row r="85" spans="1:12" ht="15.75">
      <c r="A85" s="220" t="s">
        <v>880</v>
      </c>
      <c r="B85" s="221">
        <v>105</v>
      </c>
      <c r="C85" s="217">
        <v>24</v>
      </c>
      <c r="D85" s="234">
        <f>227.8+(47.56*8.66)</f>
        <v>639.66960000000006</v>
      </c>
      <c r="E85" s="217">
        <f t="shared" si="3"/>
        <v>15352.070400000001</v>
      </c>
      <c r="F85" s="222">
        <f t="shared" si="4"/>
        <v>676.45060200000012</v>
      </c>
      <c r="G85" s="217">
        <f t="shared" si="5"/>
        <v>16234.814448000003</v>
      </c>
      <c r="H85" s="222"/>
      <c r="I85" s="217"/>
      <c r="L85" s="638"/>
    </row>
    <row r="86" spans="1:12" ht="15.75">
      <c r="A86" s="220" t="s">
        <v>881</v>
      </c>
      <c r="B86" s="221">
        <v>105</v>
      </c>
      <c r="C86" s="217">
        <v>113</v>
      </c>
      <c r="D86" s="234">
        <v>304.94</v>
      </c>
      <c r="E86" s="217">
        <f t="shared" si="3"/>
        <v>34458.22</v>
      </c>
      <c r="F86" s="222">
        <f t="shared" si="4"/>
        <v>322.47405000000003</v>
      </c>
      <c r="G86" s="217">
        <f t="shared" si="5"/>
        <v>36439.567650000005</v>
      </c>
      <c r="H86" s="222"/>
      <c r="I86" s="217"/>
      <c r="L86" s="638"/>
    </row>
    <row r="87" spans="1:12" ht="15.75">
      <c r="A87" s="220" t="s">
        <v>882</v>
      </c>
      <c r="B87" s="221">
        <v>105</v>
      </c>
      <c r="C87" s="217">
        <v>70</v>
      </c>
      <c r="D87" s="234">
        <f>304.94+(63.64*4.33)</f>
        <v>580.50119999999993</v>
      </c>
      <c r="E87" s="217">
        <f t="shared" si="3"/>
        <v>40635.083999999995</v>
      </c>
      <c r="F87" s="222">
        <f t="shared" si="4"/>
        <v>613.88001899999995</v>
      </c>
      <c r="G87" s="217">
        <f t="shared" si="5"/>
        <v>42971.601329999998</v>
      </c>
      <c r="H87" s="222"/>
      <c r="I87" s="217"/>
      <c r="L87" s="638"/>
    </row>
    <row r="88" spans="1:12" ht="15.75">
      <c r="A88" s="220" t="s">
        <v>883</v>
      </c>
      <c r="B88" s="221">
        <v>105</v>
      </c>
      <c r="C88" s="217">
        <v>24</v>
      </c>
      <c r="D88" s="234">
        <f>304.94+(63.64*8.66)</f>
        <v>856.06240000000003</v>
      </c>
      <c r="E88" s="217">
        <f t="shared" si="3"/>
        <v>20545.497600000002</v>
      </c>
      <c r="F88" s="222">
        <f t="shared" si="4"/>
        <v>905.28598800000009</v>
      </c>
      <c r="G88" s="217">
        <f t="shared" si="5"/>
        <v>21726.863712000002</v>
      </c>
      <c r="H88" s="222"/>
      <c r="I88" s="217"/>
      <c r="L88" s="638"/>
    </row>
    <row r="89" spans="1:12" ht="15.75">
      <c r="A89" s="220" t="s">
        <v>884</v>
      </c>
      <c r="B89" s="221">
        <v>105</v>
      </c>
      <c r="C89" s="217">
        <v>6</v>
      </c>
      <c r="D89" s="234">
        <v>412.33</v>
      </c>
      <c r="E89" s="217">
        <f t="shared" si="3"/>
        <v>2473.98</v>
      </c>
      <c r="F89" s="222">
        <f t="shared" si="4"/>
        <v>436.03897500000005</v>
      </c>
      <c r="G89" s="217">
        <f t="shared" si="5"/>
        <v>2616.2338500000005</v>
      </c>
      <c r="H89" s="222"/>
      <c r="I89" s="217"/>
      <c r="L89" s="638"/>
    </row>
    <row r="90" spans="1:12">
      <c r="A90" s="220" t="s">
        <v>885</v>
      </c>
      <c r="B90" s="221">
        <v>100</v>
      </c>
      <c r="C90" s="217">
        <v>754</v>
      </c>
      <c r="D90" s="234">
        <v>3.85</v>
      </c>
      <c r="E90" s="217">
        <f t="shared" si="3"/>
        <v>2902.9</v>
      </c>
      <c r="F90" s="222">
        <f t="shared" si="4"/>
        <v>4.0713750000000006</v>
      </c>
      <c r="G90" s="217">
        <f t="shared" si="5"/>
        <v>3069.8167500000004</v>
      </c>
      <c r="H90" s="222"/>
      <c r="I90" s="217"/>
    </row>
    <row r="91" spans="1:12">
      <c r="A91" s="220" t="s">
        <v>886</v>
      </c>
      <c r="B91" s="221">
        <v>150</v>
      </c>
      <c r="C91" s="217">
        <v>8823</v>
      </c>
      <c r="D91" s="234">
        <v>21.04</v>
      </c>
      <c r="E91" s="225">
        <f t="shared" si="3"/>
        <v>185635.91999999998</v>
      </c>
      <c r="F91" s="222">
        <f t="shared" si="4"/>
        <v>22.2498</v>
      </c>
      <c r="G91" s="225">
        <f t="shared" si="5"/>
        <v>196309.98540000001</v>
      </c>
      <c r="H91" s="222"/>
      <c r="I91" s="217"/>
    </row>
    <row r="92" spans="1:12">
      <c r="A92" s="220"/>
      <c r="B92" s="221"/>
      <c r="C92" s="217"/>
      <c r="D92" s="234"/>
      <c r="E92" s="237">
        <f>SUM(E70:E88)</f>
        <v>1792070.9716200004</v>
      </c>
      <c r="F92" s="222"/>
      <c r="G92" s="237">
        <f>SUM(G70:G88)</f>
        <v>1895115.0524881503</v>
      </c>
      <c r="H92" s="222"/>
      <c r="I92" s="794">
        <f>+G92-E92</f>
        <v>103044.08086814987</v>
      </c>
    </row>
    <row r="93" spans="1:12">
      <c r="A93" s="217"/>
      <c r="B93" s="217"/>
      <c r="C93" s="217"/>
      <c r="D93" s="217"/>
      <c r="E93" s="217"/>
      <c r="F93" s="217"/>
      <c r="G93" s="217"/>
      <c r="H93" s="217"/>
      <c r="I93" s="222"/>
    </row>
    <row r="94" spans="1:12">
      <c r="A94" s="217"/>
      <c r="B94" s="217"/>
      <c r="C94" s="217"/>
      <c r="D94" s="217"/>
      <c r="E94" s="217"/>
      <c r="F94" s="217"/>
      <c r="G94" s="217"/>
      <c r="H94" s="217"/>
      <c r="I94" s="217"/>
    </row>
    <row r="95" spans="1:12">
      <c r="A95" s="220"/>
      <c r="B95" s="220"/>
      <c r="C95" s="217"/>
      <c r="D95" s="222"/>
      <c r="E95" s="217"/>
      <c r="F95" s="217"/>
      <c r="G95" s="217"/>
      <c r="H95" s="217"/>
      <c r="I95" s="217"/>
    </row>
    <row r="96" spans="1:12">
      <c r="A96" s="220"/>
      <c r="B96" s="220"/>
      <c r="C96" s="217"/>
      <c r="D96" s="222"/>
      <c r="E96" s="238"/>
      <c r="F96" s="217"/>
      <c r="G96" s="217"/>
      <c r="H96" s="217"/>
      <c r="I96" s="217"/>
    </row>
    <row r="97" spans="1:9">
      <c r="A97" s="220"/>
      <c r="B97" s="220"/>
      <c r="C97" s="217"/>
      <c r="D97" s="222"/>
      <c r="E97" s="239"/>
      <c r="F97" s="217"/>
      <c r="G97" s="217"/>
      <c r="H97" s="217"/>
      <c r="I97" s="217"/>
    </row>
    <row r="98" spans="1:9">
      <c r="A98" s="220"/>
      <c r="B98" s="220"/>
      <c r="C98" s="217"/>
      <c r="D98" s="217"/>
      <c r="E98" s="217"/>
      <c r="F98" s="217"/>
      <c r="G98" s="217"/>
      <c r="H98" s="217"/>
      <c r="I98" s="240"/>
    </row>
    <row r="99" spans="1:9">
      <c r="A99" s="217"/>
      <c r="B99" s="217"/>
      <c r="C99" s="218" t="s">
        <v>887</v>
      </c>
      <c r="D99" s="218" t="s">
        <v>804</v>
      </c>
      <c r="E99" s="218" t="s">
        <v>804</v>
      </c>
      <c r="F99" s="218" t="s">
        <v>734</v>
      </c>
      <c r="G99" s="218" t="s">
        <v>734</v>
      </c>
      <c r="H99" s="218"/>
      <c r="I99" s="240"/>
    </row>
    <row r="100" spans="1:9">
      <c r="A100" s="219" t="s">
        <v>771</v>
      </c>
      <c r="B100" s="219"/>
      <c r="C100" s="219" t="s">
        <v>773</v>
      </c>
      <c r="D100" s="219" t="s">
        <v>774</v>
      </c>
      <c r="E100" s="219" t="s">
        <v>1</v>
      </c>
      <c r="F100" s="219" t="s">
        <v>774</v>
      </c>
      <c r="G100" s="219" t="s">
        <v>1</v>
      </c>
      <c r="H100" s="219" t="s">
        <v>805</v>
      </c>
      <c r="I100" s="240"/>
    </row>
    <row r="101" spans="1:9">
      <c r="A101" s="220"/>
      <c r="B101" s="218" t="s">
        <v>769</v>
      </c>
      <c r="C101" s="217"/>
      <c r="D101" s="217"/>
      <c r="E101" s="217"/>
      <c r="F101" s="217"/>
      <c r="G101" s="217"/>
      <c r="H101" s="217"/>
      <c r="I101" s="240"/>
    </row>
    <row r="102" spans="1:9">
      <c r="A102" s="241" t="s">
        <v>888</v>
      </c>
      <c r="B102" s="219" t="s">
        <v>772</v>
      </c>
      <c r="C102" s="225"/>
      <c r="D102" s="222"/>
      <c r="E102" s="217"/>
      <c r="F102" s="222"/>
      <c r="G102" s="217"/>
      <c r="H102" s="217"/>
      <c r="I102" s="217"/>
    </row>
    <row r="103" spans="1:9">
      <c r="A103" s="242" t="s">
        <v>889</v>
      </c>
      <c r="B103" s="243">
        <v>255</v>
      </c>
      <c r="C103" s="244">
        <v>727</v>
      </c>
      <c r="D103" s="222">
        <v>78.05</v>
      </c>
      <c r="E103" s="217">
        <f>+C103*D103</f>
        <v>56742.35</v>
      </c>
      <c r="F103" s="222">
        <f t="shared" ref="F103:F134" si="7">+D103*$M$1</f>
        <v>82.537875</v>
      </c>
      <c r="G103" s="217">
        <f t="shared" ref="G103:G134" si="8">C103*F103</f>
        <v>60005.035125000002</v>
      </c>
      <c r="H103" s="217"/>
      <c r="I103" s="217"/>
    </row>
    <row r="104" spans="1:9">
      <c r="A104" s="242" t="s">
        <v>890</v>
      </c>
      <c r="B104" s="243">
        <v>255</v>
      </c>
      <c r="C104" s="244">
        <v>466</v>
      </c>
      <c r="D104" s="222">
        <v>95.03</v>
      </c>
      <c r="E104" s="217">
        <f t="shared" ref="E104:E133" si="9">+C104*D104</f>
        <v>44283.98</v>
      </c>
      <c r="F104" s="222">
        <f t="shared" si="7"/>
        <v>100.49422500000001</v>
      </c>
      <c r="G104" s="217">
        <f t="shared" si="8"/>
        <v>46830.308850000009</v>
      </c>
      <c r="H104" s="217"/>
      <c r="I104" s="217"/>
    </row>
    <row r="105" spans="1:9">
      <c r="A105" s="242" t="s">
        <v>891</v>
      </c>
      <c r="B105" s="243">
        <v>255</v>
      </c>
      <c r="C105" s="244">
        <v>104</v>
      </c>
      <c r="D105" s="222">
        <v>118.82</v>
      </c>
      <c r="E105" s="217">
        <f t="shared" si="9"/>
        <v>12357.279999999999</v>
      </c>
      <c r="F105" s="222">
        <f t="shared" si="7"/>
        <v>125.65215000000001</v>
      </c>
      <c r="G105" s="217">
        <f t="shared" si="8"/>
        <v>13067.8236</v>
      </c>
      <c r="H105" s="217"/>
      <c r="I105" s="217"/>
    </row>
    <row r="106" spans="1:9">
      <c r="A106" s="242" t="s">
        <v>892</v>
      </c>
      <c r="B106" s="243">
        <v>255</v>
      </c>
      <c r="C106" s="244">
        <v>52</v>
      </c>
      <c r="D106" s="222">
        <v>130.37</v>
      </c>
      <c r="E106" s="217">
        <f t="shared" si="9"/>
        <v>6779.24</v>
      </c>
      <c r="F106" s="222">
        <f t="shared" si="7"/>
        <v>137.86627500000003</v>
      </c>
      <c r="G106" s="217">
        <f t="shared" si="8"/>
        <v>7169.0463000000018</v>
      </c>
      <c r="H106" s="217"/>
      <c r="I106" s="217"/>
    </row>
    <row r="107" spans="1:9">
      <c r="A107" s="220" t="s">
        <v>893</v>
      </c>
      <c r="B107" s="221">
        <v>260</v>
      </c>
      <c r="C107" s="217"/>
      <c r="D107" s="222">
        <v>0</v>
      </c>
      <c r="E107" s="217">
        <f t="shared" si="9"/>
        <v>0</v>
      </c>
      <c r="F107" s="222">
        <f t="shared" si="7"/>
        <v>0</v>
      </c>
      <c r="G107" s="217">
        <f t="shared" si="8"/>
        <v>0</v>
      </c>
      <c r="H107" s="232"/>
      <c r="I107" s="217"/>
    </row>
    <row r="108" spans="1:9">
      <c r="A108" s="220" t="s">
        <v>894</v>
      </c>
      <c r="B108" s="221">
        <v>260</v>
      </c>
      <c r="C108" s="217"/>
      <c r="D108" s="222">
        <v>74.31</v>
      </c>
      <c r="E108" s="217">
        <f t="shared" si="9"/>
        <v>0</v>
      </c>
      <c r="F108" s="222">
        <f t="shared" si="7"/>
        <v>78.582825000000014</v>
      </c>
      <c r="G108" s="217">
        <f t="shared" si="8"/>
        <v>0</v>
      </c>
      <c r="H108" s="232"/>
      <c r="I108" s="217"/>
    </row>
    <row r="109" spans="1:9">
      <c r="A109" s="220" t="s">
        <v>895</v>
      </c>
      <c r="B109" s="221">
        <v>260</v>
      </c>
      <c r="C109" s="217"/>
      <c r="D109" s="222">
        <v>144.81</v>
      </c>
      <c r="E109" s="217">
        <f t="shared" si="9"/>
        <v>0</v>
      </c>
      <c r="F109" s="222">
        <f t="shared" si="7"/>
        <v>153.13657500000002</v>
      </c>
      <c r="G109" s="217">
        <f t="shared" si="8"/>
        <v>0</v>
      </c>
      <c r="H109" s="232"/>
      <c r="I109" s="217"/>
    </row>
    <row r="110" spans="1:9">
      <c r="A110" s="220" t="s">
        <v>896</v>
      </c>
      <c r="B110" s="221">
        <v>260</v>
      </c>
      <c r="C110" s="217">
        <v>2159</v>
      </c>
      <c r="D110" s="222">
        <v>74.31</v>
      </c>
      <c r="E110" s="217">
        <f t="shared" si="9"/>
        <v>160435.29</v>
      </c>
      <c r="F110" s="222">
        <f t="shared" si="7"/>
        <v>78.582825000000014</v>
      </c>
      <c r="G110" s="217">
        <f t="shared" si="8"/>
        <v>169660.31917500004</v>
      </c>
      <c r="H110" s="232"/>
      <c r="I110" s="217"/>
    </row>
    <row r="111" spans="1:9">
      <c r="A111" s="220" t="s">
        <v>897</v>
      </c>
      <c r="B111" s="221">
        <v>260</v>
      </c>
      <c r="C111" s="217"/>
      <c r="D111" s="222">
        <v>157.07</v>
      </c>
      <c r="E111" s="217">
        <f t="shared" si="9"/>
        <v>0</v>
      </c>
      <c r="F111" s="222">
        <f t="shared" si="7"/>
        <v>166.10152500000001</v>
      </c>
      <c r="G111" s="217">
        <f t="shared" si="8"/>
        <v>0</v>
      </c>
      <c r="H111" s="232"/>
      <c r="I111" s="217"/>
    </row>
    <row r="112" spans="1:9">
      <c r="A112" s="220" t="s">
        <v>898</v>
      </c>
      <c r="B112" s="221">
        <v>260</v>
      </c>
      <c r="C112" s="217"/>
      <c r="D112" s="222">
        <v>78.930000000000007</v>
      </c>
      <c r="E112" s="217">
        <f t="shared" si="9"/>
        <v>0</v>
      </c>
      <c r="F112" s="222">
        <f t="shared" si="7"/>
        <v>83.468475000000012</v>
      </c>
      <c r="G112" s="217">
        <f t="shared" si="8"/>
        <v>0</v>
      </c>
      <c r="H112" s="232"/>
      <c r="I112" s="217"/>
    </row>
    <row r="113" spans="1:9">
      <c r="A113" s="220" t="s">
        <v>899</v>
      </c>
      <c r="B113" s="221">
        <v>260</v>
      </c>
      <c r="C113" s="217"/>
      <c r="D113" s="222">
        <v>169.81</v>
      </c>
      <c r="E113" s="217">
        <f t="shared" si="9"/>
        <v>0</v>
      </c>
      <c r="F113" s="222">
        <f t="shared" si="7"/>
        <v>179.57407500000002</v>
      </c>
      <c r="G113" s="217">
        <f t="shared" si="8"/>
        <v>0</v>
      </c>
      <c r="H113" s="232"/>
      <c r="I113" s="217"/>
    </row>
    <row r="114" spans="1:9">
      <c r="A114" s="220" t="s">
        <v>900</v>
      </c>
      <c r="B114" s="221">
        <v>260</v>
      </c>
      <c r="C114" s="217">
        <v>181</v>
      </c>
      <c r="D114" s="222">
        <v>84.48</v>
      </c>
      <c r="E114" s="217">
        <f t="shared" si="9"/>
        <v>15290.880000000001</v>
      </c>
      <c r="F114" s="222">
        <f t="shared" si="7"/>
        <v>89.337600000000009</v>
      </c>
      <c r="G114" s="217">
        <f t="shared" si="8"/>
        <v>16170.105600000001</v>
      </c>
      <c r="H114" s="232"/>
      <c r="I114" s="217"/>
    </row>
    <row r="115" spans="1:9">
      <c r="A115" s="220" t="s">
        <v>901</v>
      </c>
      <c r="B115" s="221">
        <v>260</v>
      </c>
      <c r="C115" s="217"/>
      <c r="D115" s="222">
        <v>188.95</v>
      </c>
      <c r="E115" s="217">
        <f t="shared" si="9"/>
        <v>0</v>
      </c>
      <c r="F115" s="222">
        <f t="shared" si="7"/>
        <v>199.81462500000001</v>
      </c>
      <c r="G115" s="217">
        <f t="shared" si="8"/>
        <v>0</v>
      </c>
      <c r="H115" s="232"/>
      <c r="I115" s="217"/>
    </row>
    <row r="116" spans="1:9">
      <c r="A116" s="220" t="s">
        <v>902</v>
      </c>
      <c r="B116" s="221">
        <v>260</v>
      </c>
      <c r="C116" s="217">
        <v>2163</v>
      </c>
      <c r="D116" s="222">
        <v>93.84</v>
      </c>
      <c r="E116" s="217">
        <f t="shared" si="9"/>
        <v>202975.92</v>
      </c>
      <c r="F116" s="222">
        <f t="shared" si="7"/>
        <v>99.235800000000012</v>
      </c>
      <c r="G116" s="217">
        <f t="shared" si="8"/>
        <v>214647.03540000002</v>
      </c>
      <c r="H116" s="232"/>
      <c r="I116" s="217"/>
    </row>
    <row r="117" spans="1:9">
      <c r="A117" s="220" t="s">
        <v>903</v>
      </c>
      <c r="B117" s="221">
        <v>260</v>
      </c>
      <c r="C117" s="217"/>
      <c r="D117" s="222">
        <v>206.77</v>
      </c>
      <c r="E117" s="217">
        <f t="shared" si="9"/>
        <v>0</v>
      </c>
      <c r="F117" s="222">
        <f t="shared" si="7"/>
        <v>218.65927500000004</v>
      </c>
      <c r="G117" s="217">
        <f t="shared" si="8"/>
        <v>0</v>
      </c>
      <c r="H117" s="232"/>
      <c r="I117" s="217"/>
    </row>
    <row r="118" spans="1:9">
      <c r="A118" s="220" t="s">
        <v>904</v>
      </c>
      <c r="B118" s="221">
        <v>260</v>
      </c>
      <c r="C118" s="217">
        <v>2468</v>
      </c>
      <c r="D118" s="222">
        <v>96.91</v>
      </c>
      <c r="E118" s="217">
        <f t="shared" si="9"/>
        <v>239173.88</v>
      </c>
      <c r="F118" s="222">
        <f t="shared" si="7"/>
        <v>102.482325</v>
      </c>
      <c r="G118" s="217">
        <f t="shared" si="8"/>
        <v>252926.3781</v>
      </c>
      <c r="H118" s="232"/>
      <c r="I118" s="217"/>
    </row>
    <row r="119" spans="1:9">
      <c r="A119" s="220" t="s">
        <v>905</v>
      </c>
      <c r="B119" s="221">
        <v>275</v>
      </c>
      <c r="C119" s="217">
        <v>159</v>
      </c>
      <c r="D119" s="222">
        <v>114.87</v>
      </c>
      <c r="E119" s="217">
        <f t="shared" si="9"/>
        <v>18264.330000000002</v>
      </c>
      <c r="F119" s="222">
        <f t="shared" si="7"/>
        <v>121.47502500000002</v>
      </c>
      <c r="G119" s="217">
        <f t="shared" si="8"/>
        <v>19314.528975000001</v>
      </c>
      <c r="H119" s="232"/>
      <c r="I119" s="217"/>
    </row>
    <row r="120" spans="1:9">
      <c r="A120" s="220" t="s">
        <v>906</v>
      </c>
      <c r="B120" s="221">
        <v>275</v>
      </c>
      <c r="C120" s="217">
        <f>28+4031+71</f>
        <v>4130</v>
      </c>
      <c r="D120" s="222">
        <v>136.97</v>
      </c>
      <c r="E120" s="217">
        <f t="shared" si="9"/>
        <v>565686.1</v>
      </c>
      <c r="F120" s="222">
        <f t="shared" si="7"/>
        <v>144.845775</v>
      </c>
      <c r="G120" s="217">
        <f t="shared" si="8"/>
        <v>598213.05075000005</v>
      </c>
      <c r="H120" s="232"/>
      <c r="I120" s="217"/>
    </row>
    <row r="121" spans="1:9">
      <c r="A121" s="220" t="s">
        <v>1474</v>
      </c>
      <c r="B121" s="221">
        <v>260</v>
      </c>
      <c r="C121" s="217"/>
      <c r="D121" s="222"/>
      <c r="E121" s="217"/>
      <c r="F121" s="222">
        <f t="shared" si="7"/>
        <v>0</v>
      </c>
      <c r="G121" s="217">
        <f t="shared" si="8"/>
        <v>0</v>
      </c>
      <c r="H121" s="232"/>
      <c r="I121" s="217"/>
    </row>
    <row r="122" spans="1:9">
      <c r="A122" s="220" t="s">
        <v>1475</v>
      </c>
      <c r="B122" s="221">
        <v>260</v>
      </c>
      <c r="C122" s="217"/>
      <c r="D122" s="222"/>
      <c r="E122" s="217"/>
      <c r="F122" s="222">
        <f t="shared" si="7"/>
        <v>0</v>
      </c>
      <c r="G122" s="217">
        <f t="shared" si="8"/>
        <v>0</v>
      </c>
      <c r="H122" s="232"/>
      <c r="I122" s="217"/>
    </row>
    <row r="123" spans="1:9">
      <c r="A123" s="220" t="s">
        <v>1476</v>
      </c>
      <c r="B123" s="221">
        <v>260</v>
      </c>
      <c r="C123" s="217"/>
      <c r="D123" s="222"/>
      <c r="E123" s="217"/>
      <c r="F123" s="222">
        <f t="shared" si="7"/>
        <v>0</v>
      </c>
      <c r="G123" s="217">
        <f t="shared" si="8"/>
        <v>0</v>
      </c>
      <c r="H123" s="232"/>
      <c r="I123" s="217"/>
    </row>
    <row r="124" spans="1:9">
      <c r="A124" s="220"/>
      <c r="B124" s="221"/>
      <c r="C124" s="217"/>
      <c r="D124" s="222"/>
      <c r="E124" s="217"/>
      <c r="F124" s="222">
        <f t="shared" si="7"/>
        <v>0</v>
      </c>
      <c r="G124" s="217">
        <f t="shared" si="8"/>
        <v>0</v>
      </c>
      <c r="H124" s="232"/>
      <c r="I124" s="217"/>
    </row>
    <row r="125" spans="1:9">
      <c r="A125" s="220" t="s">
        <v>907</v>
      </c>
      <c r="B125" s="221">
        <v>260</v>
      </c>
      <c r="C125" s="217">
        <v>6561</v>
      </c>
      <c r="D125" s="222">
        <v>3.45</v>
      </c>
      <c r="E125" s="217">
        <f t="shared" si="9"/>
        <v>22635.45</v>
      </c>
      <c r="F125" s="222">
        <f t="shared" si="7"/>
        <v>3.6483750000000006</v>
      </c>
      <c r="G125" s="217">
        <f t="shared" si="8"/>
        <v>23936.988375000004</v>
      </c>
      <c r="H125" s="232"/>
      <c r="I125" s="217"/>
    </row>
    <row r="126" spans="1:9">
      <c r="A126" s="220" t="s">
        <v>908</v>
      </c>
      <c r="B126" s="221">
        <v>260</v>
      </c>
      <c r="C126" s="217">
        <v>12842</v>
      </c>
      <c r="D126" s="222">
        <v>5.05</v>
      </c>
      <c r="E126" s="217">
        <f t="shared" si="9"/>
        <v>64852.1</v>
      </c>
      <c r="F126" s="222">
        <f t="shared" si="7"/>
        <v>5.3403750000000008</v>
      </c>
      <c r="G126" s="217">
        <f t="shared" si="8"/>
        <v>68581.095750000008</v>
      </c>
      <c r="H126" s="232"/>
      <c r="I126" s="222"/>
    </row>
    <row r="127" spans="1:9">
      <c r="A127" s="220" t="s">
        <v>909</v>
      </c>
      <c r="B127" s="221">
        <v>260</v>
      </c>
      <c r="C127" s="217">
        <v>3</v>
      </c>
      <c r="D127" s="222">
        <v>5.94</v>
      </c>
      <c r="E127" s="217">
        <f t="shared" si="9"/>
        <v>17.82</v>
      </c>
      <c r="F127" s="222">
        <f t="shared" si="7"/>
        <v>6.2815500000000011</v>
      </c>
      <c r="G127" s="217">
        <f t="shared" si="8"/>
        <v>18.844650000000001</v>
      </c>
      <c r="H127" s="232"/>
      <c r="I127" s="217"/>
    </row>
    <row r="128" spans="1:9">
      <c r="A128" s="220" t="s">
        <v>910</v>
      </c>
      <c r="B128" s="221">
        <v>260</v>
      </c>
      <c r="C128" s="217">
        <v>628</v>
      </c>
      <c r="D128" s="222">
        <v>86.24</v>
      </c>
      <c r="E128" s="217">
        <f t="shared" si="9"/>
        <v>54158.719999999994</v>
      </c>
      <c r="F128" s="222">
        <f t="shared" si="7"/>
        <v>91.198800000000006</v>
      </c>
      <c r="G128" s="217">
        <f t="shared" si="8"/>
        <v>57272.846400000002</v>
      </c>
      <c r="H128" s="232"/>
      <c r="I128" s="217"/>
    </row>
    <row r="129" spans="1:9">
      <c r="A129" s="220" t="s">
        <v>911</v>
      </c>
      <c r="B129" s="221">
        <v>260</v>
      </c>
      <c r="C129" s="217">
        <v>12</v>
      </c>
      <c r="D129" s="222">
        <v>108.48</v>
      </c>
      <c r="E129" s="217">
        <f t="shared" si="9"/>
        <v>1301.76</v>
      </c>
      <c r="F129" s="222">
        <f t="shared" si="7"/>
        <v>114.71760000000002</v>
      </c>
      <c r="G129" s="217">
        <f t="shared" si="8"/>
        <v>1376.6112000000003</v>
      </c>
      <c r="H129" s="232"/>
      <c r="I129" s="217"/>
    </row>
    <row r="130" spans="1:9">
      <c r="A130" s="220" t="s">
        <v>912</v>
      </c>
      <c r="B130" s="221">
        <v>260</v>
      </c>
      <c r="C130" s="217">
        <v>1035</v>
      </c>
      <c r="D130" s="222">
        <v>126.42</v>
      </c>
      <c r="E130" s="217">
        <f t="shared" si="9"/>
        <v>130844.7</v>
      </c>
      <c r="F130" s="222">
        <f t="shared" si="7"/>
        <v>133.68915000000001</v>
      </c>
      <c r="G130" s="217">
        <f t="shared" si="8"/>
        <v>138368.27025</v>
      </c>
      <c r="H130" s="232"/>
      <c r="I130" s="217"/>
    </row>
    <row r="131" spans="1:9">
      <c r="A131" s="220" t="s">
        <v>913</v>
      </c>
      <c r="B131" s="221">
        <v>260</v>
      </c>
      <c r="C131" s="217">
        <v>320</v>
      </c>
      <c r="D131" s="222">
        <v>148.65</v>
      </c>
      <c r="E131" s="217">
        <f t="shared" si="9"/>
        <v>47568</v>
      </c>
      <c r="F131" s="222">
        <f t="shared" si="7"/>
        <v>157.19737500000002</v>
      </c>
      <c r="G131" s="217">
        <f t="shared" si="8"/>
        <v>50303.16</v>
      </c>
      <c r="H131" s="232"/>
      <c r="I131" s="217"/>
    </row>
    <row r="132" spans="1:9">
      <c r="A132" s="220" t="s">
        <v>914</v>
      </c>
      <c r="B132" s="221" t="s">
        <v>915</v>
      </c>
      <c r="C132" s="217"/>
      <c r="D132" s="222">
        <v>4.9400000000000004</v>
      </c>
      <c r="E132" s="217">
        <f t="shared" si="9"/>
        <v>0</v>
      </c>
      <c r="F132" s="222">
        <f t="shared" si="7"/>
        <v>5.224050000000001</v>
      </c>
      <c r="G132" s="217">
        <f t="shared" si="8"/>
        <v>0</v>
      </c>
      <c r="H132" s="232"/>
      <c r="I132" s="217"/>
    </row>
    <row r="133" spans="1:9">
      <c r="A133" s="220" t="s">
        <v>916</v>
      </c>
      <c r="B133" s="221">
        <v>260</v>
      </c>
      <c r="C133" s="217">
        <v>811</v>
      </c>
      <c r="D133" s="222">
        <v>26.71</v>
      </c>
      <c r="E133" s="217">
        <f t="shared" si="9"/>
        <v>21661.81</v>
      </c>
      <c r="F133" s="222">
        <f t="shared" si="7"/>
        <v>28.245825000000004</v>
      </c>
      <c r="G133" s="217">
        <f t="shared" si="8"/>
        <v>22907.364075000001</v>
      </c>
      <c r="H133" s="232"/>
      <c r="I133" s="217"/>
    </row>
    <row r="134" spans="1:9">
      <c r="A134" s="220" t="s">
        <v>917</v>
      </c>
      <c r="B134" s="221">
        <v>160</v>
      </c>
      <c r="C134" s="225"/>
      <c r="D134" s="245">
        <v>78.459999999999994</v>
      </c>
      <c r="E134" s="225">
        <f t="shared" ref="E134" si="10">C134*D134</f>
        <v>0</v>
      </c>
      <c r="F134" s="222">
        <f t="shared" si="7"/>
        <v>82.971450000000004</v>
      </c>
      <c r="G134" s="217">
        <f t="shared" si="8"/>
        <v>0</v>
      </c>
      <c r="H134" s="232"/>
      <c r="I134" s="217"/>
    </row>
    <row r="135" spans="1:9">
      <c r="A135" s="217"/>
      <c r="B135" s="217"/>
      <c r="C135" s="217"/>
      <c r="D135" s="217"/>
      <c r="E135" s="246">
        <f>SUM(E107:E134)</f>
        <v>1544866.76</v>
      </c>
      <c r="F135" s="217"/>
      <c r="G135" s="246">
        <f>SUM(G107:G134)</f>
        <v>1633696.5987</v>
      </c>
      <c r="H135" s="247"/>
      <c r="I135" s="794">
        <f>+G135-E135</f>
        <v>88829.838699999964</v>
      </c>
    </row>
    <row r="136" spans="1:9">
      <c r="A136" s="220" t="s">
        <v>918</v>
      </c>
      <c r="B136" s="220"/>
      <c r="C136" s="217"/>
      <c r="D136" s="217"/>
      <c r="E136" s="217">
        <f>+E66+E92+E135</f>
        <v>7425610.2137900023</v>
      </c>
      <c r="F136" s="217"/>
      <c r="G136" s="217">
        <f>+G66+G92+G135</f>
        <v>7852582.801082924</v>
      </c>
      <c r="H136" s="217"/>
      <c r="I136" s="217">
        <f>+I66+I92+I135</f>
        <v>426972.58729292173</v>
      </c>
    </row>
    <row r="137" spans="1:9">
      <c r="A137" s="220"/>
      <c r="B137" s="220"/>
      <c r="C137" s="217"/>
      <c r="D137" s="222"/>
      <c r="E137" s="217"/>
      <c r="F137" s="222"/>
      <c r="G137" s="217">
        <f>+G136-E136</f>
        <v>426972.58729292173</v>
      </c>
      <c r="H137" s="232"/>
      <c r="I137" s="217"/>
    </row>
  </sheetData>
  <pageMargins left="0.25" right="0.25" top="0.75" bottom="0.75" header="0.3" footer="0.3"/>
  <pageSetup scale="98" fitToHeight="0" orientation="portrait" r:id="rId1"/>
  <headerFooter>
    <oddFooter>&amp;C&amp;A&amp;RPage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2056-5663-4A34-80A8-CDABC8E98B32}">
  <sheetPr>
    <pageSetUpPr fitToPage="1"/>
  </sheetPr>
  <dimension ref="A1:AT113"/>
  <sheetViews>
    <sheetView workbookViewId="0">
      <selection activeCell="I12" sqref="I12"/>
    </sheetView>
  </sheetViews>
  <sheetFormatPr defaultRowHeight="15"/>
  <cols>
    <col min="1" max="1" width="3.77734375" customWidth="1"/>
    <col min="2" max="2" width="26.109375" bestFit="1" customWidth="1"/>
    <col min="3" max="3" width="16.5546875" customWidth="1"/>
    <col min="4" max="4" width="0" hidden="1" customWidth="1"/>
    <col min="5" max="5" width="5.6640625" customWidth="1"/>
    <col min="6" max="6" width="4.44140625" customWidth="1"/>
    <col min="7" max="7" width="6.6640625" customWidth="1"/>
    <col min="8" max="8" width="11.6640625" customWidth="1"/>
    <col min="9" max="9" width="13.77734375" customWidth="1"/>
    <col min="10" max="10" width="10.33203125" customWidth="1"/>
    <col min="11" max="11" width="11.77734375" bestFit="1" customWidth="1"/>
    <col min="12" max="13" width="14.33203125" customWidth="1"/>
    <col min="14" max="14" width="4.77734375" customWidth="1"/>
    <col min="15" max="15" width="4.88671875" customWidth="1"/>
    <col min="16" max="16" width="31.44140625" customWidth="1"/>
    <col min="18" max="18" width="10.77734375" customWidth="1"/>
    <col min="20" max="20" width="10.44140625" customWidth="1"/>
    <col min="21" max="21" width="12.21875" customWidth="1"/>
    <col min="23" max="24" width="13.77734375" customWidth="1"/>
    <col min="25" max="25" width="12.44140625" customWidth="1"/>
    <col min="27" max="27" width="12.33203125" customWidth="1"/>
    <col min="30" max="30" width="12.77734375" customWidth="1"/>
    <col min="31" max="31" width="13.44140625" customWidth="1"/>
    <col min="32" max="32" width="16.109375" customWidth="1"/>
    <col min="33" max="33" width="14.109375" customWidth="1"/>
    <col min="34" max="34" width="12.77734375" customWidth="1"/>
    <col min="36" max="36" width="10.77734375" customWidth="1"/>
    <col min="37" max="37" width="12.77734375" customWidth="1"/>
    <col min="38" max="46" width="11.77734375" customWidth="1"/>
  </cols>
  <sheetData>
    <row r="1" spans="1:46" ht="15.75" thickBot="1">
      <c r="A1" s="312"/>
      <c r="B1" s="313"/>
      <c r="C1" s="313"/>
      <c r="D1" s="313"/>
      <c r="E1" s="313"/>
      <c r="F1" s="313"/>
      <c r="G1" s="313"/>
      <c r="H1" s="313"/>
      <c r="I1" s="314"/>
      <c r="J1" s="314"/>
      <c r="K1" s="314"/>
      <c r="L1" s="314"/>
      <c r="M1" s="314"/>
      <c r="N1" s="314"/>
      <c r="O1" s="313"/>
      <c r="P1" s="313"/>
      <c r="Q1" s="315"/>
      <c r="R1" s="316"/>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row>
    <row r="2" spans="1:46" ht="19.5" thickBot="1">
      <c r="A2" s="312"/>
      <c r="B2" s="862" t="s">
        <v>1019</v>
      </c>
      <c r="C2" s="862"/>
      <c r="D2" s="312"/>
      <c r="E2" s="312"/>
      <c r="F2" s="318" t="s">
        <v>1020</v>
      </c>
      <c r="G2" s="319"/>
      <c r="H2" s="319"/>
      <c r="I2" s="320" t="s">
        <v>1021</v>
      </c>
      <c r="J2" s="319"/>
      <c r="K2" s="319"/>
      <c r="L2" s="319"/>
      <c r="M2" s="318" t="s">
        <v>1020</v>
      </c>
      <c r="N2" s="26"/>
      <c r="O2" s="312"/>
      <c r="P2" s="312"/>
      <c r="Q2" s="321"/>
      <c r="R2" s="322" t="s">
        <v>1022</v>
      </c>
      <c r="S2" s="323"/>
      <c r="T2" s="324"/>
      <c r="U2" s="26"/>
      <c r="V2" s="26"/>
      <c r="W2" s="26"/>
      <c r="X2" s="26"/>
      <c r="Y2" s="26"/>
      <c r="Z2" s="26"/>
      <c r="AA2" s="26"/>
      <c r="AB2" s="26"/>
      <c r="AC2" s="26"/>
      <c r="AD2" s="26"/>
      <c r="AE2" s="26"/>
      <c r="AF2" s="863" t="s">
        <v>1023</v>
      </c>
      <c r="AG2" s="864"/>
      <c r="AH2" s="864"/>
      <c r="AI2" s="865"/>
      <c r="AJ2" s="26"/>
      <c r="AK2" s="26"/>
      <c r="AL2" s="26"/>
      <c r="AM2" s="26"/>
      <c r="AN2" s="26"/>
      <c r="AO2" s="26"/>
      <c r="AP2" s="26"/>
      <c r="AQ2" s="26"/>
      <c r="AR2" s="26"/>
      <c r="AS2" s="26"/>
      <c r="AT2" s="26"/>
    </row>
    <row r="3" spans="1:46" ht="15.75">
      <c r="A3" s="312"/>
      <c r="B3" s="312"/>
      <c r="C3" s="312"/>
      <c r="D3" s="312"/>
      <c r="E3" s="312"/>
      <c r="F3" s="325"/>
      <c r="G3" s="326"/>
      <c r="H3" s="26"/>
      <c r="I3" s="26"/>
      <c r="J3" s="26"/>
      <c r="K3" s="327" t="s">
        <v>1024</v>
      </c>
      <c r="L3" s="26"/>
      <c r="M3" s="327" t="s">
        <v>1025</v>
      </c>
      <c r="N3" s="26"/>
      <c r="O3" s="312"/>
      <c r="P3" s="312"/>
      <c r="Q3" s="321"/>
      <c r="R3" s="26"/>
      <c r="S3" s="26"/>
      <c r="T3" s="26" t="s">
        <v>1026</v>
      </c>
      <c r="U3" s="26"/>
      <c r="V3" s="328" t="s">
        <v>1026</v>
      </c>
      <c r="W3" s="328" t="s">
        <v>1026</v>
      </c>
      <c r="X3" s="328" t="s">
        <v>1026</v>
      </c>
      <c r="Y3" s="328" t="s">
        <v>1027</v>
      </c>
      <c r="Z3" s="328" t="s">
        <v>1027</v>
      </c>
      <c r="AA3" s="328" t="s">
        <v>1027</v>
      </c>
      <c r="AB3" s="328" t="s">
        <v>1027</v>
      </c>
      <c r="AC3" s="328" t="s">
        <v>1027</v>
      </c>
      <c r="AD3" s="328" t="s">
        <v>1027</v>
      </c>
      <c r="AE3" s="328" t="s">
        <v>1028</v>
      </c>
      <c r="AF3" s="328" t="s">
        <v>1</v>
      </c>
      <c r="AG3" s="328" t="s">
        <v>1029</v>
      </c>
      <c r="AH3" s="328"/>
      <c r="AI3" s="26"/>
      <c r="AJ3" s="26"/>
      <c r="AK3" s="26"/>
      <c r="AL3" s="26"/>
      <c r="AM3" s="26"/>
      <c r="AN3" s="26"/>
      <c r="AO3" s="26"/>
      <c r="AP3" s="26"/>
      <c r="AQ3" s="26"/>
      <c r="AR3" s="26"/>
      <c r="AS3" s="26"/>
      <c r="AT3" s="26"/>
    </row>
    <row r="4" spans="1:46" ht="19.5" thickBot="1">
      <c r="A4" s="312"/>
      <c r="B4" s="329" t="s">
        <v>1030</v>
      </c>
      <c r="C4" s="330"/>
      <c r="D4" s="331"/>
      <c r="E4" s="312"/>
      <c r="F4" s="332"/>
      <c r="G4" s="326"/>
      <c r="H4" s="333" t="s">
        <v>1031</v>
      </c>
      <c r="I4" s="333" t="s">
        <v>1032</v>
      </c>
      <c r="J4" s="333" t="s">
        <v>1033</v>
      </c>
      <c r="K4" s="333" t="s">
        <v>1034</v>
      </c>
      <c r="L4" s="333" t="s">
        <v>1035</v>
      </c>
      <c r="M4" s="333" t="s">
        <v>1036</v>
      </c>
      <c r="N4" s="26"/>
      <c r="O4" s="334"/>
      <c r="P4" s="312"/>
      <c r="Q4" s="321"/>
      <c r="R4" s="26"/>
      <c r="S4" s="26"/>
      <c r="T4" s="328" t="s">
        <v>1037</v>
      </c>
      <c r="U4" s="26"/>
      <c r="V4" s="328" t="s">
        <v>938</v>
      </c>
      <c r="W4" s="328" t="s">
        <v>1038</v>
      </c>
      <c r="X4" s="328" t="s">
        <v>1039</v>
      </c>
      <c r="Y4" s="328" t="s">
        <v>1040</v>
      </c>
      <c r="Z4" s="328" t="s">
        <v>1040</v>
      </c>
      <c r="AA4" s="328" t="s">
        <v>1040</v>
      </c>
      <c r="AB4" s="328" t="s">
        <v>1038</v>
      </c>
      <c r="AC4" s="328" t="s">
        <v>1037</v>
      </c>
      <c r="AD4" s="328" t="s">
        <v>1037</v>
      </c>
      <c r="AE4" s="328" t="s">
        <v>1041</v>
      </c>
      <c r="AF4" s="328" t="s">
        <v>1042</v>
      </c>
      <c r="AG4" s="328" t="s">
        <v>1043</v>
      </c>
      <c r="AH4" s="328" t="s">
        <v>1044</v>
      </c>
      <c r="AI4" s="328" t="s">
        <v>1045</v>
      </c>
      <c r="AJ4" s="26"/>
      <c r="AK4" s="26"/>
      <c r="AL4" s="26"/>
      <c r="AM4" s="26"/>
      <c r="AN4" s="26"/>
      <c r="AO4" s="26"/>
      <c r="AP4" s="26"/>
      <c r="AQ4" s="26"/>
      <c r="AR4" s="26"/>
      <c r="AS4" s="26"/>
      <c r="AT4" s="26"/>
    </row>
    <row r="5" spans="1:46" ht="15.75">
      <c r="A5" s="312"/>
      <c r="B5" s="335" t="s">
        <v>1046</v>
      </c>
      <c r="C5" s="336">
        <f>+Allocations!D21+Allocations!G21</f>
        <v>14618196.457930002</v>
      </c>
      <c r="D5" s="331"/>
      <c r="E5" s="312"/>
      <c r="F5" s="337" t="s">
        <v>1047</v>
      </c>
      <c r="G5" s="338"/>
      <c r="H5" s="338"/>
      <c r="I5" s="333" t="s">
        <v>1048</v>
      </c>
      <c r="J5" s="333" t="s">
        <v>1</v>
      </c>
      <c r="K5" s="339" t="s">
        <v>1049</v>
      </c>
      <c r="L5" s="339" t="s">
        <v>1050</v>
      </c>
      <c r="M5" s="339" t="s">
        <v>1</v>
      </c>
      <c r="N5" s="26"/>
      <c r="O5" s="340"/>
      <c r="P5" s="312"/>
      <c r="Q5" s="321"/>
      <c r="R5" s="341"/>
      <c r="S5" s="26"/>
      <c r="T5" s="328" t="s">
        <v>1051</v>
      </c>
      <c r="U5" s="328" t="s">
        <v>1052</v>
      </c>
      <c r="V5" s="328" t="s">
        <v>1053</v>
      </c>
      <c r="W5" s="328" t="s">
        <v>1054</v>
      </c>
      <c r="X5" s="328" t="s">
        <v>14</v>
      </c>
      <c r="Y5" s="328" t="s">
        <v>107</v>
      </c>
      <c r="Z5" s="328" t="s">
        <v>1055</v>
      </c>
      <c r="AA5" s="328" t="s">
        <v>1056</v>
      </c>
      <c r="AB5" s="328" t="s">
        <v>1057</v>
      </c>
      <c r="AC5" s="328" t="s">
        <v>1051</v>
      </c>
      <c r="AD5" s="328" t="s">
        <v>478</v>
      </c>
      <c r="AE5" s="328" t="s">
        <v>1058</v>
      </c>
      <c r="AF5" s="328" t="s">
        <v>1059</v>
      </c>
      <c r="AG5" s="328" t="s">
        <v>1059</v>
      </c>
      <c r="AH5" s="328" t="s">
        <v>1058</v>
      </c>
      <c r="AI5" s="328" t="s">
        <v>1028</v>
      </c>
      <c r="AJ5" s="26"/>
      <c r="AK5" s="26"/>
      <c r="AL5" s="26"/>
      <c r="AM5" s="26"/>
      <c r="AN5" s="26"/>
      <c r="AO5" s="26"/>
      <c r="AP5" s="26"/>
      <c r="AQ5" s="26"/>
      <c r="AR5" s="26"/>
      <c r="AS5" s="26"/>
      <c r="AT5" s="26"/>
    </row>
    <row r="6" spans="1:46" ht="15.75">
      <c r="A6" s="312"/>
      <c r="B6" s="335" t="s">
        <v>1060</v>
      </c>
      <c r="C6" s="342">
        <f>+Allocations!D69+Allocations!G69</f>
        <v>14770304.7211824</v>
      </c>
      <c r="D6" s="331"/>
      <c r="E6" s="312"/>
      <c r="F6" s="343" t="s">
        <v>1061</v>
      </c>
      <c r="G6" s="338"/>
      <c r="H6" s="338"/>
      <c r="I6" s="344"/>
      <c r="J6" s="345" t="s">
        <v>1062</v>
      </c>
      <c r="K6" s="346"/>
      <c r="L6" s="345" t="s">
        <v>1063</v>
      </c>
      <c r="M6" s="345" t="s">
        <v>1064</v>
      </c>
      <c r="N6" s="26"/>
      <c r="O6" s="340"/>
      <c r="P6" s="312"/>
      <c r="Q6" s="321"/>
      <c r="R6" s="347">
        <v>1</v>
      </c>
      <c r="S6" s="348">
        <f>Revenue/Investment*100</f>
        <v>1102.9517075812898</v>
      </c>
      <c r="T6" s="349">
        <f>EXP(y_inter1-(slope*LN(+S6)))</f>
        <v>2.5420787576568653</v>
      </c>
      <c r="U6" s="350">
        <f>(+S6*T6/100)/100</f>
        <v>0.28037901065637633</v>
      </c>
      <c r="V6" s="350">
        <f>regDebt_weighted</f>
        <v>3.5860000000000003E-2</v>
      </c>
      <c r="W6" s="350">
        <f>+U6-V6</f>
        <v>0.24451901065637632</v>
      </c>
      <c r="X6" s="350">
        <f>+((W6*(1-0.34))-Pfd_weighted)/Equity_percent</f>
        <v>0.45114112509653592</v>
      </c>
      <c r="Y6" s="350">
        <f>X6*equityP</f>
        <v>0.27068467505792154</v>
      </c>
      <c r="Z6" s="350">
        <f>+Y6/(1-taxrate)</f>
        <v>0.34263882918724242</v>
      </c>
      <c r="AA6" s="350">
        <f>debtP*Debt_Rate</f>
        <v>1.5959999999999998E-2</v>
      </c>
      <c r="AB6" s="350">
        <f>AA6+Z6</f>
        <v>0.3585988291872424</v>
      </c>
      <c r="AC6" s="350">
        <f>AB6/(S6/100)</f>
        <v>3.2512650075462432E-2</v>
      </c>
      <c r="AD6" s="350">
        <f>1-AC6</f>
        <v>0.96748734992453755</v>
      </c>
      <c r="AE6" s="351">
        <f>expenses/(AD6)</f>
        <v>15266664.439937597</v>
      </c>
      <c r="AF6" s="352">
        <f>+AE6-Revenue</f>
        <v>648467.98200759478</v>
      </c>
      <c r="AG6" s="353">
        <f ca="1">+AF6/$J$49</f>
        <v>683060.75723974826</v>
      </c>
      <c r="AH6" s="353">
        <f ca="1">+AG6*$J$47</f>
        <v>13729.52122051894</v>
      </c>
      <c r="AI6" s="351">
        <f ca="1">ROUND(+AH6+AE6,5)</f>
        <v>15280393.96116</v>
      </c>
      <c r="AJ6" s="26"/>
      <c r="AK6" s="26"/>
      <c r="AL6" s="26"/>
      <c r="AM6" s="26"/>
      <c r="AN6" s="26"/>
      <c r="AO6" s="26"/>
      <c r="AP6" s="26"/>
      <c r="AQ6" s="26"/>
      <c r="AR6" s="26"/>
      <c r="AS6" s="26"/>
      <c r="AT6" s="26"/>
    </row>
    <row r="7" spans="1:46" ht="15.75">
      <c r="A7" s="312"/>
      <c r="B7" s="335" t="s">
        <v>1065</v>
      </c>
      <c r="C7" s="342">
        <f>+'Regulatory Depreciation '!G219+'Regulatory Depreciation '!M219</f>
        <v>1325370.4906071431</v>
      </c>
      <c r="D7" s="331"/>
      <c r="E7" s="312"/>
      <c r="F7" s="354">
        <v>1</v>
      </c>
      <c r="G7" s="338"/>
      <c r="H7" s="355" t="s">
        <v>1046</v>
      </c>
      <c r="I7" s="356">
        <f>IF(A65=TRUE,C5,0)</f>
        <v>14618196.457930002</v>
      </c>
      <c r="J7" s="356">
        <f ca="1">(+$I8/($R51))-I7</f>
        <v>617874.96670344286</v>
      </c>
      <c r="K7" s="356">
        <f ca="1">+I7+J7</f>
        <v>15236071.424633445</v>
      </c>
      <c r="L7" s="356">
        <f ca="1">((+J7/J49*K35)-J7)</f>
        <v>13081.798488677014</v>
      </c>
      <c r="M7" s="356">
        <f ca="1">IFERROR(+K7+L7,0.00001)</f>
        <v>15249153.223122122</v>
      </c>
      <c r="N7" s="26"/>
      <c r="O7" s="340"/>
      <c r="P7" s="312"/>
      <c r="Q7" s="321"/>
      <c r="R7" s="357">
        <v>2</v>
      </c>
      <c r="S7" s="358">
        <f>Revenue/Investment*100</f>
        <v>1102.9517075812898</v>
      </c>
      <c r="T7" s="359">
        <f>EXP(y_inter1-(slope*LN(+S7)))</f>
        <v>2.5420787576568653</v>
      </c>
      <c r="U7" s="360">
        <f t="shared" ref="U7:U9" si="0">(+S7*T7/100)/100</f>
        <v>0.28037901065637633</v>
      </c>
      <c r="V7" s="360">
        <f>regDebt_weighted</f>
        <v>3.5860000000000003E-2</v>
      </c>
      <c r="W7" s="360">
        <f t="shared" ref="W7:W9" si="1">+U7-V7</f>
        <v>0.24451901065637632</v>
      </c>
      <c r="X7" s="360">
        <f>+((W7*(1-0.34))-Pfd_weighted)/Equity_percent</f>
        <v>0.45114112509653592</v>
      </c>
      <c r="Y7" s="360">
        <f>X7*equityP</f>
        <v>0.27068467505792154</v>
      </c>
      <c r="Z7" s="360">
        <f>+Y7/(1-taxrate)</f>
        <v>0.34263882918724242</v>
      </c>
      <c r="AA7" s="360">
        <f>debtP*Debt_Rate</f>
        <v>1.5959999999999998E-2</v>
      </c>
      <c r="AB7" s="360">
        <f t="shared" ref="AB7:AB9" si="2">AA7+Z7</f>
        <v>0.3585988291872424</v>
      </c>
      <c r="AC7" s="360">
        <f t="shared" ref="AC7:AC9" si="3">AB7/(S7/100)</f>
        <v>3.2512650075462432E-2</v>
      </c>
      <c r="AD7" s="360">
        <f t="shared" ref="AD7:AD9" si="4">1-AC7</f>
        <v>0.96748734992453755</v>
      </c>
      <c r="AE7" s="361">
        <f>expenses/(AD7)</f>
        <v>15266664.439937597</v>
      </c>
      <c r="AF7" s="362">
        <f>+AE7-Revenue</f>
        <v>648467.98200759478</v>
      </c>
      <c r="AG7" s="363">
        <f ca="1">+AF7/$J$49</f>
        <v>683060.75723974826</v>
      </c>
      <c r="AH7" s="363">
        <f ca="1">+AG7*$J$47</f>
        <v>13729.52122051894</v>
      </c>
      <c r="AI7" s="361">
        <f t="shared" ref="AI7:AI9" ca="1" si="5">ROUND(+AH7+AE7,5)</f>
        <v>15280393.96116</v>
      </c>
      <c r="AJ7" s="26"/>
      <c r="AK7" s="26"/>
      <c r="AL7" s="26"/>
      <c r="AM7" s="26"/>
      <c r="AN7" s="26"/>
      <c r="AO7" s="26"/>
      <c r="AP7" s="26"/>
      <c r="AQ7" s="26"/>
      <c r="AR7" s="26"/>
      <c r="AS7" s="26"/>
      <c r="AT7" s="26"/>
    </row>
    <row r="8" spans="1:46" ht="15.75">
      <c r="A8" s="312"/>
      <c r="B8" s="335" t="s">
        <v>1066</v>
      </c>
      <c r="C8" s="364">
        <v>0.4</v>
      </c>
      <c r="D8" s="331"/>
      <c r="E8" s="312"/>
      <c r="F8" s="365">
        <f>+F7+1</f>
        <v>2</v>
      </c>
      <c r="G8" s="338"/>
      <c r="H8" s="355" t="s">
        <v>1060</v>
      </c>
      <c r="I8" s="356">
        <f>IF(A65=TRUE,C6,0)</f>
        <v>14770304.7211824</v>
      </c>
      <c r="J8" s="326"/>
      <c r="K8" s="356">
        <f>+I8</f>
        <v>14770304.7211824</v>
      </c>
      <c r="L8" s="356">
        <f ca="1">+L7</f>
        <v>13081.798488677014</v>
      </c>
      <c r="M8" s="356">
        <f ca="1">IFERROR(+K8+L8,0.00001)</f>
        <v>14783386.519671077</v>
      </c>
      <c r="N8" s="26"/>
      <c r="O8" s="340"/>
      <c r="P8" s="312"/>
      <c r="Q8" s="321"/>
      <c r="R8" s="366">
        <v>3</v>
      </c>
      <c r="S8" s="358">
        <f>Revenue/Investment*100</f>
        <v>1102.9517075812898</v>
      </c>
      <c r="T8" s="359">
        <f>EXP(y_inter1-(slope*LN(+S8)))</f>
        <v>2.5420787576568653</v>
      </c>
      <c r="U8" s="360">
        <f t="shared" si="0"/>
        <v>0.28037901065637633</v>
      </c>
      <c r="V8" s="360">
        <f>regDebt_weighted</f>
        <v>3.5860000000000003E-2</v>
      </c>
      <c r="W8" s="360">
        <f t="shared" si="1"/>
        <v>0.24451901065637632</v>
      </c>
      <c r="X8" s="360">
        <f>+((W8*(1-0.34))-Pfd_weighted)/Equity_percent</f>
        <v>0.45114112509653592</v>
      </c>
      <c r="Y8" s="360">
        <f>X8*equityP</f>
        <v>0.27068467505792154</v>
      </c>
      <c r="Z8" s="360">
        <f>+Y8/(1-taxrate)</f>
        <v>0.34263882918724242</v>
      </c>
      <c r="AA8" s="360">
        <f>debtP*Debt_Rate</f>
        <v>1.5959999999999998E-2</v>
      </c>
      <c r="AB8" s="360">
        <f t="shared" si="2"/>
        <v>0.3585988291872424</v>
      </c>
      <c r="AC8" s="360">
        <f t="shared" si="3"/>
        <v>3.2512650075462432E-2</v>
      </c>
      <c r="AD8" s="360">
        <f t="shared" si="4"/>
        <v>0.96748734992453755</v>
      </c>
      <c r="AE8" s="361">
        <f>expenses/(AD8)</f>
        <v>15266664.439937597</v>
      </c>
      <c r="AF8" s="362">
        <f>+AE8-Revenue</f>
        <v>648467.98200759478</v>
      </c>
      <c r="AG8" s="363">
        <f ca="1">+AF8/$J$49</f>
        <v>683060.75723974826</v>
      </c>
      <c r="AH8" s="363">
        <f ca="1">+AG8*$J$47</f>
        <v>13729.52122051894</v>
      </c>
      <c r="AI8" s="361">
        <f t="shared" ca="1" si="5"/>
        <v>15280393.96116</v>
      </c>
      <c r="AJ8" s="26"/>
      <c r="AK8" s="26"/>
      <c r="AL8" s="26"/>
      <c r="AM8" s="26"/>
      <c r="AN8" s="26"/>
      <c r="AO8" s="26"/>
      <c r="AP8" s="26"/>
      <c r="AQ8" s="26"/>
      <c r="AR8" s="26"/>
      <c r="AS8" s="26"/>
      <c r="AT8" s="26"/>
    </row>
    <row r="9" spans="1:46" ht="15.75">
      <c r="A9" s="312"/>
      <c r="B9" s="335" t="s">
        <v>1067</v>
      </c>
      <c r="C9" s="515">
        <v>3.9899999999999998E-2</v>
      </c>
      <c r="D9" s="331"/>
      <c r="E9" s="312"/>
      <c r="F9" s="365">
        <f t="shared" ref="F9:F49" si="6">+F8+1</f>
        <v>3</v>
      </c>
      <c r="G9" s="338"/>
      <c r="H9" s="355" t="s">
        <v>470</v>
      </c>
      <c r="I9" s="367">
        <f>+I7-I8</f>
        <v>-152108.263252398</v>
      </c>
      <c r="J9" s="326"/>
      <c r="K9" s="367">
        <f ca="1">+K7-K8</f>
        <v>465766.70345104486</v>
      </c>
      <c r="L9" s="338"/>
      <c r="M9" s="368">
        <f ca="1">+M7-M8</f>
        <v>465766.70345104486</v>
      </c>
      <c r="N9" s="26"/>
      <c r="O9" s="340"/>
      <c r="P9" s="312"/>
      <c r="Q9" s="321"/>
      <c r="R9" s="369">
        <v>4</v>
      </c>
      <c r="S9" s="358">
        <f>Revenue/Investment*100</f>
        <v>1102.9517075812898</v>
      </c>
      <c r="T9" s="359">
        <f>EXP(y_inter1-(slope*LN(+S9)))</f>
        <v>2.5420787576568653</v>
      </c>
      <c r="U9" s="360">
        <f t="shared" si="0"/>
        <v>0.28037901065637633</v>
      </c>
      <c r="V9" s="360">
        <f>regDebt_weighted</f>
        <v>3.5860000000000003E-2</v>
      </c>
      <c r="W9" s="360">
        <f t="shared" si="1"/>
        <v>0.24451901065637632</v>
      </c>
      <c r="X9" s="360">
        <f>+((W9*(1-0.34))-Pfd_weighted)/Equity_percent</f>
        <v>0.45114112509653592</v>
      </c>
      <c r="Y9" s="360">
        <f>X9*equityP</f>
        <v>0.27068467505792154</v>
      </c>
      <c r="Z9" s="360">
        <f>+Y9/(1-taxrate)</f>
        <v>0.34263882918724242</v>
      </c>
      <c r="AA9" s="360">
        <f>debtP*Debt_Rate</f>
        <v>1.5959999999999998E-2</v>
      </c>
      <c r="AB9" s="360">
        <f t="shared" si="2"/>
        <v>0.3585988291872424</v>
      </c>
      <c r="AC9" s="360">
        <f t="shared" si="3"/>
        <v>3.2512650075462432E-2</v>
      </c>
      <c r="AD9" s="360">
        <f t="shared" si="4"/>
        <v>0.96748734992453755</v>
      </c>
      <c r="AE9" s="361">
        <f>expenses/(AD9)</f>
        <v>15266664.439937597</v>
      </c>
      <c r="AF9" s="362">
        <f>+AE9-Revenue</f>
        <v>648467.98200759478</v>
      </c>
      <c r="AG9" s="363">
        <f ca="1">+AF9/$J$49</f>
        <v>683060.75723974826</v>
      </c>
      <c r="AH9" s="363">
        <f ca="1">+AG9*$J$47</f>
        <v>13729.52122051894</v>
      </c>
      <c r="AI9" s="361">
        <f t="shared" ca="1" si="5"/>
        <v>15280393.96116</v>
      </c>
      <c r="AJ9" s="26"/>
      <c r="AK9" s="26"/>
      <c r="AL9" s="26"/>
      <c r="AM9" s="26"/>
      <c r="AN9" s="26"/>
      <c r="AO9" s="26"/>
      <c r="AP9" s="26"/>
      <c r="AQ9" s="26"/>
      <c r="AR9" s="26"/>
      <c r="AS9" s="26"/>
      <c r="AT9" s="26"/>
    </row>
    <row r="10" spans="1:46" ht="15.75">
      <c r="A10" s="312"/>
      <c r="B10" s="370" t="s">
        <v>1068</v>
      </c>
      <c r="C10" s="364">
        <v>0.21</v>
      </c>
      <c r="D10" s="331"/>
      <c r="E10" s="312"/>
      <c r="F10" s="365">
        <f t="shared" si="6"/>
        <v>4</v>
      </c>
      <c r="G10" s="338"/>
      <c r="H10" s="338"/>
      <c r="I10" s="326"/>
      <c r="J10" s="326"/>
      <c r="K10" s="356"/>
      <c r="L10" s="338"/>
      <c r="M10" s="338"/>
      <c r="N10" s="338"/>
      <c r="O10" s="340"/>
      <c r="P10" s="312"/>
      <c r="Q10" s="321"/>
      <c r="R10" s="328" t="s">
        <v>1069</v>
      </c>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row>
    <row r="11" spans="1:46" ht="15.75">
      <c r="A11" s="312"/>
      <c r="B11" s="335" t="s">
        <v>1070</v>
      </c>
      <c r="C11" s="371">
        <v>1.4999999999999999E-2</v>
      </c>
      <c r="D11" s="331"/>
      <c r="E11" s="312"/>
      <c r="F11" s="365">
        <f t="shared" si="6"/>
        <v>5</v>
      </c>
      <c r="G11" s="338"/>
      <c r="H11" s="355" t="s">
        <v>476</v>
      </c>
      <c r="I11" s="356">
        <f>+K11</f>
        <v>21152.913030090003</v>
      </c>
      <c r="J11" s="326"/>
      <c r="K11" s="356">
        <f>+M27</f>
        <v>21152.913030090003</v>
      </c>
      <c r="L11" s="338"/>
      <c r="M11" s="356">
        <f>+K11</f>
        <v>21152.913030090003</v>
      </c>
      <c r="N11" s="26"/>
      <c r="O11" s="340"/>
      <c r="P11" s="312"/>
      <c r="Q11" s="321"/>
      <c r="R11" s="347">
        <v>1</v>
      </c>
      <c r="S11" s="348">
        <f ca="1">IF((AI6/Investment*100)&gt;0,(AI6/Investment*100),0)</f>
        <v>1152.9149071487291</v>
      </c>
      <c r="T11" s="349">
        <f ca="1">EXP(y_inter1-(slope*LN(S11)))</f>
        <v>2.4662362279594112</v>
      </c>
      <c r="U11" s="350">
        <f ca="1">(+S11*T11/100)/100</f>
        <v>0.28433605117646565</v>
      </c>
      <c r="V11" s="350">
        <f>regDebt_weighted</f>
        <v>3.5860000000000003E-2</v>
      </c>
      <c r="W11" s="350">
        <f ca="1">+U11-V11</f>
        <v>0.24847605117646565</v>
      </c>
      <c r="X11" s="350">
        <f ca="1">+((W11*(1-0.34))-Pfd_weighted)/Equity_percent</f>
        <v>0.45873312144321898</v>
      </c>
      <c r="Y11" s="350">
        <f ca="1">+X11*equityP</f>
        <v>0.27523987286593138</v>
      </c>
      <c r="Z11" s="350">
        <f ca="1">+Y11/(1-taxrate)</f>
        <v>0.34840490236193844</v>
      </c>
      <c r="AA11" s="350">
        <f>debtP*Debt_Rate</f>
        <v>1.5959999999999998E-2</v>
      </c>
      <c r="AB11" s="350">
        <f ca="1">+AA11+Z11</f>
        <v>0.36436490236193841</v>
      </c>
      <c r="AC11" s="350">
        <f ca="1">+AB11/(S11/100)</f>
        <v>3.1603798346492747E-2</v>
      </c>
      <c r="AD11" s="350">
        <f ca="1">1-AC11</f>
        <v>0.96839620165350726</v>
      </c>
      <c r="AE11" s="351">
        <f ca="1">expenses/(AD11)</f>
        <v>15252336.487857502</v>
      </c>
      <c r="AF11" s="352">
        <f ca="1">+AE11-Revenue</f>
        <v>634140.02992749959</v>
      </c>
      <c r="AG11" s="353">
        <f ca="1">+AF11/$J$49</f>
        <v>667968.47501599765</v>
      </c>
      <c r="AH11" s="353">
        <f ca="1">+AG11*$J$47</f>
        <v>13426.166347821552</v>
      </c>
      <c r="AI11" s="351">
        <f ca="1">ROUND(+AH11+AE11,5)</f>
        <v>15265762.654209999</v>
      </c>
      <c r="AJ11" s="26"/>
      <c r="AK11" s="26"/>
      <c r="AL11" s="26"/>
      <c r="AM11" s="26"/>
      <c r="AN11" s="26"/>
      <c r="AO11" s="26"/>
      <c r="AP11" s="26"/>
      <c r="AQ11" s="26"/>
      <c r="AR11" s="26"/>
      <c r="AS11" s="26"/>
      <c r="AT11" s="26"/>
    </row>
    <row r="12" spans="1:46" ht="15.75">
      <c r="A12" s="312"/>
      <c r="B12" s="335" t="s">
        <v>1071</v>
      </c>
      <c r="C12" s="371">
        <v>5.1000000000000004E-3</v>
      </c>
      <c r="D12" s="331"/>
      <c r="E12" s="312"/>
      <c r="F12" s="365">
        <f t="shared" si="6"/>
        <v>6</v>
      </c>
      <c r="G12" s="338"/>
      <c r="H12" s="355" t="s">
        <v>1072</v>
      </c>
      <c r="I12" s="356">
        <f ca="1">IF(I14&lt;0,0,+J38*I14)</f>
        <v>0</v>
      </c>
      <c r="J12" s="356">
        <f ca="1">+K12-I12</f>
        <v>93368.895988400516</v>
      </c>
      <c r="K12" s="356">
        <f ca="1">+(K9-K11)*taxrate</f>
        <v>93368.895988400516</v>
      </c>
      <c r="L12" s="338"/>
      <c r="M12" s="356">
        <f ca="1">+K12</f>
        <v>93368.895988400516</v>
      </c>
      <c r="N12" s="26"/>
      <c r="O12" s="340"/>
      <c r="P12" s="312"/>
      <c r="Q12" s="321"/>
      <c r="R12" s="357">
        <v>2</v>
      </c>
      <c r="S12" s="358">
        <f ca="1">IF((AI7/Investment*100)&gt;0,(AI7/Investment*100),0)</f>
        <v>1152.9149071487291</v>
      </c>
      <c r="T12" s="372">
        <f ca="1">EXP(y_inter2-(slope*LN(+S12)))</f>
        <v>2.4311470770369357</v>
      </c>
      <c r="U12" s="360">
        <f ca="1">(+S12*T12/100)/100</f>
        <v>0.28029057065869428</v>
      </c>
      <c r="V12" s="360">
        <f>regDebt_weighted</f>
        <v>3.5860000000000003E-2</v>
      </c>
      <c r="W12" s="360">
        <f ca="1">+U12-V12</f>
        <v>0.24443057065869428</v>
      </c>
      <c r="X12" s="360">
        <f ca="1">+((W12*(1-0.34))-Pfd_weighted)/Equity_percent</f>
        <v>0.4509714437056343</v>
      </c>
      <c r="Y12" s="360">
        <f ca="1">+X12*equityP</f>
        <v>0.27058286622338057</v>
      </c>
      <c r="Z12" s="360">
        <f ca="1">+Y12/(1-taxrate)</f>
        <v>0.3425099572447855</v>
      </c>
      <c r="AA12" s="360">
        <f>debtP*Debt_Rate</f>
        <v>1.5959999999999998E-2</v>
      </c>
      <c r="AB12" s="360">
        <f ca="1">+AA12+Z12</f>
        <v>0.35846995724478548</v>
      </c>
      <c r="AC12" s="360">
        <f ca="1">+AB12/(S12/100)</f>
        <v>3.1092490436377181E-2</v>
      </c>
      <c r="AD12" s="360">
        <f ca="1">1-AC12</f>
        <v>0.96890750956362282</v>
      </c>
      <c r="AE12" s="361">
        <f ca="1">expenses/(AD12)</f>
        <v>15244287.587196697</v>
      </c>
      <c r="AF12" s="362">
        <f ca="1">+AE12-Revenue</f>
        <v>626091.12926669419</v>
      </c>
      <c r="AG12" s="363">
        <f ca="1">+AF12/$J$49</f>
        <v>659490.20263731165</v>
      </c>
      <c r="AH12" s="363">
        <f ca="1">+AG12*$J$47</f>
        <v>13255.753073009964</v>
      </c>
      <c r="AI12" s="361">
        <f t="shared" ref="AI12:AI14" ca="1" si="7">ROUND(+AH12+AE12,5)</f>
        <v>15257543.34027</v>
      </c>
      <c r="AJ12" s="26"/>
      <c r="AK12" s="26"/>
      <c r="AL12" s="26"/>
      <c r="AM12" s="26"/>
      <c r="AN12" s="26"/>
      <c r="AO12" s="26"/>
      <c r="AP12" s="26"/>
      <c r="AQ12" s="26"/>
      <c r="AR12" s="26"/>
      <c r="AS12" s="26"/>
      <c r="AT12" s="26"/>
    </row>
    <row r="13" spans="1:46" ht="15.75">
      <c r="A13" s="312"/>
      <c r="B13" s="335" t="s">
        <v>1073</v>
      </c>
      <c r="C13" s="371">
        <v>0</v>
      </c>
      <c r="D13" s="331"/>
      <c r="E13" s="312"/>
      <c r="F13" s="365">
        <f t="shared" si="6"/>
        <v>7</v>
      </c>
      <c r="G13" s="338"/>
      <c r="H13" s="338"/>
      <c r="I13" s="326"/>
      <c r="J13" s="326"/>
      <c r="K13" s="356"/>
      <c r="L13" s="338"/>
      <c r="M13" s="338"/>
      <c r="N13" s="26"/>
      <c r="O13" s="340"/>
      <c r="P13" s="312"/>
      <c r="Q13" s="321"/>
      <c r="R13" s="366">
        <v>3</v>
      </c>
      <c r="S13" s="358">
        <f ca="1">IF((AI8/Investment*100)&gt;0,(AI8/Investment*100),0)</f>
        <v>1152.9149071487291</v>
      </c>
      <c r="T13" s="359">
        <f ca="1">EXP(y_inter3-(slope*LN(S13)))</f>
        <v>2.4075104231637536</v>
      </c>
      <c r="U13" s="360">
        <f ca="1">(+S13*T13/100)/100</f>
        <v>0.27756546559814366</v>
      </c>
      <c r="V13" s="360">
        <f>regDebt_weighted</f>
        <v>3.5860000000000003E-2</v>
      </c>
      <c r="W13" s="360">
        <f ca="1">+U13-V13</f>
        <v>0.24170546559814365</v>
      </c>
      <c r="X13" s="360">
        <f ca="1">+((W13*(1-0.34))-Pfd_weighted)/Equity_percent</f>
        <v>0.44574304446155472</v>
      </c>
      <c r="Y13" s="360">
        <f ca="1">+X13*equityP</f>
        <v>0.26744582667693284</v>
      </c>
      <c r="Z13" s="360">
        <f ca="1">+Y13/(1-taxrate)</f>
        <v>0.33853902111004158</v>
      </c>
      <c r="AA13" s="360">
        <f>debtP*Debt_Rate</f>
        <v>1.5959999999999998E-2</v>
      </c>
      <c r="AB13" s="360">
        <f ca="1">+AA13+Z13</f>
        <v>0.35449902111004156</v>
      </c>
      <c r="AC13" s="360">
        <f ca="1">+AB13/(S13/100)</f>
        <v>3.0748064658713815E-2</v>
      </c>
      <c r="AD13" s="360">
        <f ca="1">1-AC13</f>
        <v>0.96925193534128617</v>
      </c>
      <c r="AE13" s="361">
        <f ca="1">expenses/(AD13)</f>
        <v>15238870.496535644</v>
      </c>
      <c r="AF13" s="362">
        <f ca="1">+AE13-Revenue</f>
        <v>620674.03860564157</v>
      </c>
      <c r="AG13" s="363">
        <f ca="1">+AF13/$J$49</f>
        <v>653784.13518041186</v>
      </c>
      <c r="AH13" s="363">
        <f ca="1">+AG13*$J$47</f>
        <v>13141.061117126279</v>
      </c>
      <c r="AI13" s="361">
        <f t="shared" ca="1" si="7"/>
        <v>15252011.55765</v>
      </c>
      <c r="AJ13" s="26"/>
      <c r="AK13" s="26"/>
      <c r="AL13" s="26"/>
      <c r="AM13" s="26"/>
      <c r="AN13" s="26"/>
      <c r="AO13" s="26"/>
      <c r="AP13" s="26"/>
      <c r="AQ13" s="26"/>
      <c r="AR13" s="26"/>
      <c r="AS13" s="26"/>
      <c r="AT13" s="26"/>
    </row>
    <row r="14" spans="1:46" ht="16.5" thickBot="1">
      <c r="A14" s="312"/>
      <c r="B14" s="373" t="s">
        <v>1074</v>
      </c>
      <c r="C14" s="371">
        <v>0</v>
      </c>
      <c r="D14" s="331"/>
      <c r="E14" s="312"/>
      <c r="F14" s="365">
        <f t="shared" si="6"/>
        <v>8</v>
      </c>
      <c r="G14" s="338"/>
      <c r="H14" s="338" t="s">
        <v>112</v>
      </c>
      <c r="I14" s="374">
        <f ca="1">+I9-SUM(I11:I13)</f>
        <v>-173261.17628248801</v>
      </c>
      <c r="J14" s="326"/>
      <c r="K14" s="374">
        <f ca="1">+K9-SUM(K11:K13)</f>
        <v>351244.89443255437</v>
      </c>
      <c r="L14" s="338"/>
      <c r="M14" s="374">
        <f ca="1">+M9-SUM(M11:M13)</f>
        <v>351244.89443255437</v>
      </c>
      <c r="N14" s="26"/>
      <c r="O14" s="340"/>
      <c r="P14" s="312"/>
      <c r="Q14" s="321"/>
      <c r="R14" s="369">
        <v>4</v>
      </c>
      <c r="S14" s="358">
        <f ca="1">IF((AI9/Investment*100)&gt;0,(AI9/Investment*100),0)</f>
        <v>1152.9149071487291</v>
      </c>
      <c r="T14" s="375">
        <f ca="1">EXP(y_inter4-(slope*LN(S14)))</f>
        <v>2.3923907843681991</v>
      </c>
      <c r="U14" s="360">
        <f ca="1">(+S14*T14/100)/100</f>
        <v>0.2758222999023337</v>
      </c>
      <c r="V14" s="360">
        <f>regDebt_weighted</f>
        <v>3.5860000000000003E-2</v>
      </c>
      <c r="W14" s="360">
        <f ca="1">+U14-V14</f>
        <v>0.2399622999023337</v>
      </c>
      <c r="X14" s="360">
        <f ca="1">+((W14*(1-0.34))-Pfd_weighted)/Equity_percent</f>
        <v>0.44239859864982622</v>
      </c>
      <c r="Y14" s="360">
        <f ca="1">+X14*equityP</f>
        <v>0.26543915918989575</v>
      </c>
      <c r="Z14" s="360">
        <f ca="1">+Y14/(1-taxrate)</f>
        <v>0.33599893568341233</v>
      </c>
      <c r="AA14" s="360">
        <f>debtP*Debt_Rate</f>
        <v>1.5959999999999998E-2</v>
      </c>
      <c r="AB14" s="360">
        <f ca="1">+AA14+Z14</f>
        <v>0.3519589356834123</v>
      </c>
      <c r="AC14" s="360">
        <f ca="1">+AB14/(S14/100)</f>
        <v>3.052774610693872E-2</v>
      </c>
      <c r="AD14" s="360">
        <f ca="1">1-AC14</f>
        <v>0.96947225389306124</v>
      </c>
      <c r="AE14" s="361">
        <f ca="1">expenses/(AD14)</f>
        <v>15235407.369184652</v>
      </c>
      <c r="AF14" s="362">
        <f ca="1">+AE14-Revenue</f>
        <v>617210.91125464998</v>
      </c>
      <c r="AG14" s="363">
        <f ca="1">+AF14/$J$49</f>
        <v>650136.26596185379</v>
      </c>
      <c r="AH14" s="363">
        <f ca="1">+AG14*$J$47</f>
        <v>13067.738945833262</v>
      </c>
      <c r="AI14" s="361">
        <f t="shared" ca="1" si="7"/>
        <v>15248475.108130001</v>
      </c>
      <c r="AJ14" s="26"/>
      <c r="AK14" s="26"/>
      <c r="AL14" s="26"/>
      <c r="AM14" s="26"/>
      <c r="AN14" s="26"/>
      <c r="AO14" s="26"/>
      <c r="AP14" s="26"/>
      <c r="AQ14" s="26"/>
      <c r="AR14" s="26"/>
      <c r="AS14" s="26"/>
      <c r="AT14" s="26"/>
    </row>
    <row r="15" spans="1:46" ht="16.5" thickTop="1">
      <c r="A15" s="312"/>
      <c r="B15" s="866"/>
      <c r="C15" s="866"/>
      <c r="D15" s="312"/>
      <c r="E15" s="312"/>
      <c r="F15" s="365">
        <f t="shared" si="6"/>
        <v>9</v>
      </c>
      <c r="G15" s="326"/>
      <c r="H15" s="326"/>
      <c r="I15" s="326"/>
      <c r="J15" s="326"/>
      <c r="K15" s="376"/>
      <c r="L15" s="326"/>
      <c r="M15" s="326"/>
      <c r="N15" s="26"/>
      <c r="O15" s="340"/>
      <c r="P15" s="312"/>
      <c r="Q15" s="321"/>
      <c r="R15" s="328" t="s">
        <v>1075</v>
      </c>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row>
    <row r="16" spans="1:46" ht="15.75">
      <c r="A16" s="312"/>
      <c r="B16" s="377" t="s">
        <v>1076</v>
      </c>
      <c r="C16" s="867"/>
      <c r="D16" s="867"/>
      <c r="E16" s="312"/>
      <c r="F16" s="365">
        <f t="shared" si="6"/>
        <v>10</v>
      </c>
      <c r="G16" s="326"/>
      <c r="H16" s="378" t="s">
        <v>1077</v>
      </c>
      <c r="I16" s="379">
        <f>+I8/I7</f>
        <v>1.0104054055977529</v>
      </c>
      <c r="J16" s="380"/>
      <c r="K16" s="379">
        <f ca="1">+K8/K7</f>
        <v>0.96943000000000001</v>
      </c>
      <c r="L16" s="381"/>
      <c r="M16" s="379">
        <f ca="1">+M8/M7</f>
        <v>0.96945622510076113</v>
      </c>
      <c r="N16" s="26"/>
      <c r="O16" s="340"/>
      <c r="P16" s="312"/>
      <c r="Q16" s="321"/>
      <c r="R16" s="382">
        <v>1</v>
      </c>
      <c r="S16" s="383">
        <f ca="1">AI11/Investment*100</f>
        <v>1151.8109662466425</v>
      </c>
      <c r="T16" s="384">
        <f ca="1">EXP(y_inter1-(slope*LN(+S16)))</f>
        <v>2.46785199966624</v>
      </c>
      <c r="U16" s="385">
        <f ca="1">(+S16*T16/100)/100</f>
        <v>0.28424989962892805</v>
      </c>
      <c r="V16" s="385">
        <f>regDebt_weighted</f>
        <v>3.5860000000000003E-2</v>
      </c>
      <c r="W16" s="385">
        <f ca="1">+U16-V16</f>
        <v>0.24838989962892805</v>
      </c>
      <c r="X16" s="385">
        <f ca="1">+((W16*(1-0.34))-Pfd_weighted)/Equity_percent</f>
        <v>0.4585678306834084</v>
      </c>
      <c r="Y16" s="385">
        <f ca="1">+X16*equityP</f>
        <v>0.27514069841004501</v>
      </c>
      <c r="Z16" s="385">
        <f ca="1">+Y16/(1-taxrate)</f>
        <v>0.34827936507600632</v>
      </c>
      <c r="AA16" s="385">
        <f>debtP*Debt_Rate</f>
        <v>1.5959999999999998E-2</v>
      </c>
      <c r="AB16" s="385">
        <f ca="1">+AA16+Z16</f>
        <v>0.36423936507600629</v>
      </c>
      <c r="AC16" s="385">
        <f ca="1">+AB16/(S16/100)</f>
        <v>3.1623189546713351E-2</v>
      </c>
      <c r="AD16" s="385">
        <f ca="1">1-AC16</f>
        <v>0.96837681045328661</v>
      </c>
      <c r="AE16" s="386">
        <f ca="1">expenses/(AD16)</f>
        <v>15252641.907305259</v>
      </c>
      <c r="AF16" s="387">
        <f ca="1">+AE16-Revenue</f>
        <v>634445.4493752569</v>
      </c>
      <c r="AG16" s="388">
        <f ca="1">+AF16/$J$49</f>
        <v>668290.18718228687</v>
      </c>
      <c r="AH16" s="388">
        <f ca="1">+AG16*$J$47</f>
        <v>13432.632762363966</v>
      </c>
      <c r="AI16" s="386">
        <f ca="1">ROUND(+AH16+AE16,5)</f>
        <v>15266074.540069999</v>
      </c>
      <c r="AJ16" s="26"/>
      <c r="AK16" s="26"/>
      <c r="AL16" s="26"/>
      <c r="AM16" s="26"/>
      <c r="AN16" s="26"/>
      <c r="AO16" s="26"/>
      <c r="AP16" s="26"/>
      <c r="AQ16" s="26"/>
      <c r="AR16" s="26"/>
      <c r="AS16" s="26"/>
      <c r="AT16" s="26"/>
    </row>
    <row r="17" spans="1:46" ht="15.75">
      <c r="A17" s="312"/>
      <c r="B17" s="868"/>
      <c r="C17" s="867"/>
      <c r="D17" s="312" t="s">
        <v>1078</v>
      </c>
      <c r="E17" s="312"/>
      <c r="F17" s="365">
        <f t="shared" si="6"/>
        <v>11</v>
      </c>
      <c r="G17" s="326"/>
      <c r="H17" s="389"/>
      <c r="I17" s="389"/>
      <c r="J17" s="390"/>
      <c r="K17" s="389"/>
      <c r="L17" s="378"/>
      <c r="M17" s="378"/>
      <c r="N17" s="391"/>
      <c r="O17" s="312"/>
      <c r="P17" s="312"/>
      <c r="Q17" s="321"/>
      <c r="R17" s="357">
        <v>2</v>
      </c>
      <c r="S17" s="358">
        <f ca="1">AI12/Investment*100</f>
        <v>1151.1908140704584</v>
      </c>
      <c r="T17" s="372">
        <f ca="1">EXP(y_inter2-(slope*LN(+S17)))</f>
        <v>2.4336357528663757</v>
      </c>
      <c r="U17" s="360">
        <f ca="1">(+S17*T17/100)/100</f>
        <v>0.28015791234932158</v>
      </c>
      <c r="V17" s="360">
        <f>regDebt_weighted</f>
        <v>3.5860000000000003E-2</v>
      </c>
      <c r="W17" s="360">
        <f ca="1">+U17-V17</f>
        <v>0.24429791234932158</v>
      </c>
      <c r="X17" s="360">
        <f ca="1">+((W17*(1-0.34))-Pfd_weighted)/Equity_percent</f>
        <v>0.45071692485625653</v>
      </c>
      <c r="Y17" s="360">
        <f ca="1">+X17*equityP</f>
        <v>0.27043015491375388</v>
      </c>
      <c r="Z17" s="360">
        <f ca="1">+Y17/(1-taxrate)</f>
        <v>0.34231665178956189</v>
      </c>
      <c r="AA17" s="360">
        <f>debtP*Debt_Rate</f>
        <v>1.5959999999999998E-2</v>
      </c>
      <c r="AB17" s="360">
        <f ca="1">+AA17+Z17</f>
        <v>0.35827665178956186</v>
      </c>
      <c r="AC17" s="360">
        <f ca="1">+AB17/(S17/100)</f>
        <v>3.1122264650700525E-2</v>
      </c>
      <c r="AD17" s="360">
        <f ca="1">1-AC17</f>
        <v>0.96887773534929944</v>
      </c>
      <c r="AE17" s="361">
        <f ca="1">expenses/(AD17)</f>
        <v>15244756.053618485</v>
      </c>
      <c r="AF17" s="362">
        <f ca="1">+AE17-Revenue</f>
        <v>626559.59568848275</v>
      </c>
      <c r="AG17" s="363">
        <f ca="1">+AF17/$J$49</f>
        <v>659983.6595815043</v>
      </c>
      <c r="AH17" s="363">
        <f ca="1">+AG17*$J$47</f>
        <v>13265.671557588235</v>
      </c>
      <c r="AI17" s="361">
        <f t="shared" ref="AI17:AI19" ca="1" si="8">ROUND(+AH17+AE17,5)</f>
        <v>15258021.72518</v>
      </c>
      <c r="AJ17" s="26"/>
      <c r="AK17" s="26"/>
      <c r="AL17" s="26"/>
      <c r="AM17" s="26"/>
      <c r="AN17" s="26"/>
      <c r="AO17" s="26"/>
      <c r="AP17" s="26"/>
      <c r="AQ17" s="26"/>
      <c r="AR17" s="26"/>
      <c r="AS17" s="26"/>
      <c r="AT17" s="26"/>
    </row>
    <row r="18" spans="1:46" ht="15.75">
      <c r="A18" s="312"/>
      <c r="B18" s="861" t="s">
        <v>1079</v>
      </c>
      <c r="C18" s="861"/>
      <c r="D18" s="312"/>
      <c r="E18" s="312"/>
      <c r="F18" s="365">
        <f t="shared" si="6"/>
        <v>12</v>
      </c>
      <c r="G18" s="326"/>
      <c r="H18" s="392" t="s">
        <v>0</v>
      </c>
      <c r="I18" s="393"/>
      <c r="J18" s="393"/>
      <c r="K18" s="393"/>
      <c r="L18" s="393"/>
      <c r="M18" s="394"/>
      <c r="N18" s="390"/>
      <c r="O18" s="312"/>
      <c r="P18" s="312"/>
      <c r="Q18" s="321"/>
      <c r="R18" s="366">
        <v>3</v>
      </c>
      <c r="S18" s="358">
        <f ca="1">AI13/Investment*100</f>
        <v>1150.7734377474451</v>
      </c>
      <c r="T18" s="359">
        <f ca="1">EXP(y_inter3-(slope*LN(S18)))</f>
        <v>2.4105724500784373</v>
      </c>
      <c r="U18" s="360">
        <f ca="1">(+S18*T18/100)/100</f>
        <v>0.27740227453160449</v>
      </c>
      <c r="V18" s="360">
        <f>regDebt_weighted</f>
        <v>3.5860000000000003E-2</v>
      </c>
      <c r="W18" s="360">
        <f ca="1">+U18-V18</f>
        <v>0.24154227453160448</v>
      </c>
      <c r="X18" s="360">
        <f ca="1">+((W18*(1-0.34))-Pfd_weighted)/Equity_percent</f>
        <v>0.44542994532226438</v>
      </c>
      <c r="Y18" s="360">
        <f ca="1">+X18*equityP</f>
        <v>0.26725796719335859</v>
      </c>
      <c r="Z18" s="360">
        <f ca="1">+Y18/(1-taxrate)</f>
        <v>0.33830122429539061</v>
      </c>
      <c r="AA18" s="360">
        <f>debtP*Debt_Rate</f>
        <v>1.5959999999999998E-2</v>
      </c>
      <c r="AB18" s="360">
        <f ca="1">+AA18+Z18</f>
        <v>0.35426122429539059</v>
      </c>
      <c r="AC18" s="360">
        <f ca="1">+AB18/(S18/100)</f>
        <v>3.0784619515447892E-2</v>
      </c>
      <c r="AD18" s="360">
        <f ca="1">1-AC18</f>
        <v>0.96921538048455214</v>
      </c>
      <c r="AE18" s="361">
        <f ca="1">expenses/(AD18)</f>
        <v>15239445.244665943</v>
      </c>
      <c r="AF18" s="362">
        <f ca="1">+AE18-Revenue</f>
        <v>621248.78673594072</v>
      </c>
      <c r="AG18" s="363">
        <f ca="1">+AF18/$J$49</f>
        <v>654389.54347194987</v>
      </c>
      <c r="AH18" s="363">
        <f ca="1">+AG18*$J$47</f>
        <v>13153.229823786192</v>
      </c>
      <c r="AI18" s="361">
        <f t="shared" ca="1" si="8"/>
        <v>15252598.47449</v>
      </c>
      <c r="AJ18" s="26"/>
      <c r="AK18" s="26"/>
      <c r="AL18" s="26"/>
      <c r="AM18" s="26"/>
      <c r="AN18" s="26"/>
      <c r="AO18" s="26"/>
      <c r="AP18" s="26"/>
      <c r="AQ18" s="26"/>
      <c r="AR18" s="26"/>
      <c r="AS18" s="26"/>
      <c r="AT18" s="26"/>
    </row>
    <row r="19" spans="1:46" ht="15.75">
      <c r="A19" s="312"/>
      <c r="B19" s="312"/>
      <c r="C19" s="312"/>
      <c r="D19" s="312"/>
      <c r="E19" s="312"/>
      <c r="F19" s="365">
        <f t="shared" si="6"/>
        <v>13</v>
      </c>
      <c r="G19" s="326"/>
      <c r="H19" s="395"/>
      <c r="I19" s="396" t="s">
        <v>1080</v>
      </c>
      <c r="J19" s="397">
        <f>+Revenue</f>
        <v>14618196.457930002</v>
      </c>
      <c r="K19" s="398"/>
      <c r="L19" s="396" t="s">
        <v>1081</v>
      </c>
      <c r="M19" s="399">
        <f ca="1">+J7</f>
        <v>617874.96670344286</v>
      </c>
      <c r="N19" s="26"/>
      <c r="O19" s="312"/>
      <c r="P19" s="312"/>
      <c r="Q19" s="321"/>
      <c r="R19" s="369">
        <v>4</v>
      </c>
      <c r="S19" s="358">
        <f ca="1">AI14/Investment*100</f>
        <v>1150.5066105059257</v>
      </c>
      <c r="T19" s="375">
        <f ca="1">EXP(y_inter4-(slope*LN(S19)))</f>
        <v>2.3958133818645599</v>
      </c>
      <c r="U19" s="360">
        <f ca="1">(+S19*T19/100)/100</f>
        <v>0.27563991333737342</v>
      </c>
      <c r="V19" s="360">
        <f>regDebt_weighted</f>
        <v>3.5860000000000003E-2</v>
      </c>
      <c r="W19" s="360">
        <f ca="1">+U19-V19</f>
        <v>0.23977991333737342</v>
      </c>
      <c r="X19" s="360">
        <f ca="1">+((W19*(1-0.34))-Pfd_weighted)/Equity_percent</f>
        <v>0.44204867093798383</v>
      </c>
      <c r="Y19" s="360">
        <f ca="1">+X19*equityP</f>
        <v>0.26522920256279031</v>
      </c>
      <c r="Z19" s="360">
        <f ca="1">+Y19/(1-taxrate)</f>
        <v>0.33573316780100038</v>
      </c>
      <c r="AA19" s="360">
        <f>debtP*Debt_Rate</f>
        <v>1.5959999999999998E-2</v>
      </c>
      <c r="AB19" s="360">
        <f ca="1">+AA19+Z19</f>
        <v>0.35169316780100035</v>
      </c>
      <c r="AC19" s="360">
        <f ca="1">+AB19/(S19/100)</f>
        <v>3.0568548202113001E-2</v>
      </c>
      <c r="AD19" s="360">
        <f ca="1">1-AC19</f>
        <v>0.96943145179788703</v>
      </c>
      <c r="AE19" s="361">
        <f ca="1">expenses/(AD19)</f>
        <v>15236048.607448939</v>
      </c>
      <c r="AF19" s="362">
        <f ca="1">+AE19-Revenue</f>
        <v>617852.14951893687</v>
      </c>
      <c r="AG19" s="363">
        <f ca="1">+AF19/$J$49</f>
        <v>650811.71132928564</v>
      </c>
      <c r="AH19" s="363">
        <f ca="1">+AG19*$J$47</f>
        <v>13081.315397718641</v>
      </c>
      <c r="AI19" s="361">
        <f t="shared" ca="1" si="8"/>
        <v>15249129.92285</v>
      </c>
      <c r="AJ19" s="26"/>
      <c r="AK19" s="26"/>
      <c r="AL19" s="26"/>
      <c r="AM19" s="26"/>
      <c r="AN19" s="26"/>
      <c r="AO19" s="26"/>
      <c r="AP19" s="26"/>
      <c r="AQ19" s="26"/>
      <c r="AR19" s="26"/>
      <c r="AS19" s="26"/>
      <c r="AT19" s="26"/>
    </row>
    <row r="20" spans="1:46" ht="15.75">
      <c r="A20" s="312"/>
      <c r="B20" s="400"/>
      <c r="C20" s="312"/>
      <c r="D20" s="312"/>
      <c r="E20" s="312"/>
      <c r="F20" s="365">
        <f t="shared" si="6"/>
        <v>14</v>
      </c>
      <c r="G20" s="326"/>
      <c r="H20" s="395"/>
      <c r="I20" s="396" t="s">
        <v>1082</v>
      </c>
      <c r="J20" s="397">
        <f ca="1">+J21-J19</f>
        <v>630956.7651921194</v>
      </c>
      <c r="K20" s="398"/>
      <c r="L20" s="396" t="s">
        <v>1083</v>
      </c>
      <c r="M20" s="399">
        <f ca="1">+L8</f>
        <v>13081.798488677014</v>
      </c>
      <c r="N20" s="26"/>
      <c r="O20" s="312"/>
      <c r="P20" s="312"/>
      <c r="Q20" s="321"/>
      <c r="R20" s="328" t="s">
        <v>1084</v>
      </c>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row>
    <row r="21" spans="1:46" ht="16.5" thickBot="1">
      <c r="A21" s="312"/>
      <c r="B21" s="400" t="s">
        <v>1085</v>
      </c>
      <c r="C21" s="312"/>
      <c r="D21" s="312"/>
      <c r="E21" s="312"/>
      <c r="F21" s="365">
        <f t="shared" si="6"/>
        <v>15</v>
      </c>
      <c r="G21" s="326"/>
      <c r="H21" s="395"/>
      <c r="I21" s="401" t="s">
        <v>0</v>
      </c>
      <c r="J21" s="402">
        <f ca="1">+M7</f>
        <v>15249153.223122122</v>
      </c>
      <c r="K21" s="403"/>
      <c r="L21" s="401" t="s">
        <v>1082</v>
      </c>
      <c r="M21" s="404">
        <f ca="1">+M19+M20</f>
        <v>630956.76519211987</v>
      </c>
      <c r="N21" s="26"/>
      <c r="O21" s="312"/>
      <c r="P21" s="312"/>
      <c r="Q21" s="321"/>
      <c r="R21" s="347">
        <v>1</v>
      </c>
      <c r="S21" s="348">
        <f ca="1">AI16/Investment*100</f>
        <v>1151.8344982222077</v>
      </c>
      <c r="T21" s="384">
        <f ca="1">EXP(y_inter1-(slope*LN(+S21)))</f>
        <v>2.4678175301376193</v>
      </c>
      <c r="U21" s="385">
        <f ca="1">(+S21*T21/100)/100</f>
        <v>0.2842517366530033</v>
      </c>
      <c r="V21" s="385">
        <f>regDebt_weighted</f>
        <v>3.5860000000000003E-2</v>
      </c>
      <c r="W21" s="385">
        <f ca="1">+U21-V21</f>
        <v>0.24839173665300329</v>
      </c>
      <c r="X21" s="385">
        <f ca="1">+((W21*(1-0.34))-Pfd_weighted)/Equity_percent</f>
        <v>0.45857135520634351</v>
      </c>
      <c r="Y21" s="385">
        <f ca="1">+X21*equityP</f>
        <v>0.27514281312380612</v>
      </c>
      <c r="Z21" s="385">
        <f ca="1">+Y21/(1-taxrate)</f>
        <v>0.34828204192886847</v>
      </c>
      <c r="AA21" s="385">
        <f>debtP*Debt_Rate</f>
        <v>1.5959999999999998E-2</v>
      </c>
      <c r="AB21" s="385">
        <f ca="1">+AA21+Z21</f>
        <v>0.36424204192886844</v>
      </c>
      <c r="AC21" s="385">
        <f ca="1">+AB21/(S21/100)</f>
        <v>3.1622775884127076E-2</v>
      </c>
      <c r="AD21" s="385">
        <f ca="1">1-AC21</f>
        <v>0.9683772241158729</v>
      </c>
      <c r="AE21" s="386">
        <f ca="1">expenses/(AD21)</f>
        <v>15252635.391820237</v>
      </c>
      <c r="AF21" s="352">
        <f ca="1">+AE21-Revenue</f>
        <v>634438.93389023468</v>
      </c>
      <c r="AG21" s="388">
        <f ca="1">+AF21/$J$49</f>
        <v>668283.32412619691</v>
      </c>
      <c r="AH21" s="388">
        <f ca="1">+AG21*$J$47</f>
        <v>13432.494814936557</v>
      </c>
      <c r="AI21" s="386">
        <f ca="1">ROUND(+AH21+AE21,5)</f>
        <v>15266067.886639999</v>
      </c>
      <c r="AJ21" s="26"/>
      <c r="AK21" s="26"/>
      <c r="AL21" s="26"/>
      <c r="AM21" s="26"/>
      <c r="AN21" s="26"/>
      <c r="AO21" s="26"/>
      <c r="AP21" s="26"/>
      <c r="AQ21" s="26"/>
      <c r="AR21" s="26"/>
      <c r="AS21" s="26"/>
      <c r="AT21" s="26"/>
    </row>
    <row r="22" spans="1:46" ht="16.5" thickTop="1">
      <c r="A22" s="312"/>
      <c r="B22" s="312" t="s">
        <v>1086</v>
      </c>
      <c r="C22" s="312"/>
      <c r="D22" s="312"/>
      <c r="E22" s="312"/>
      <c r="F22" s="365">
        <f t="shared" si="6"/>
        <v>16</v>
      </c>
      <c r="G22" s="326"/>
      <c r="H22" s="405"/>
      <c r="I22" s="406"/>
      <c r="J22" s="406"/>
      <c r="K22" s="406"/>
      <c r="L22" s="406"/>
      <c r="M22" s="407"/>
      <c r="N22" s="26"/>
      <c r="O22" s="312"/>
      <c r="P22" s="312"/>
      <c r="Q22" s="321"/>
      <c r="R22" s="357">
        <v>2</v>
      </c>
      <c r="S22" s="358">
        <f ca="1">AI17/Investment*100</f>
        <v>1151.2269084994041</v>
      </c>
      <c r="T22" s="372">
        <f ca="1">EXP(y_inter2-(slope*LN(+S22)))</f>
        <v>2.4335835873516642</v>
      </c>
      <c r="U22" s="360">
        <f ca="1">(+S22*T22/100)/100</f>
        <v>0.28016069098417462</v>
      </c>
      <c r="V22" s="360">
        <f>regDebt_weighted</f>
        <v>3.5860000000000003E-2</v>
      </c>
      <c r="W22" s="360">
        <f ca="1">+U22-V22</f>
        <v>0.24430069098417462</v>
      </c>
      <c r="X22" s="360">
        <f ca="1">+((W22*(1-0.34))-Pfd_weighted)/Equity_percent</f>
        <v>0.45072225595800941</v>
      </c>
      <c r="Y22" s="360">
        <f ca="1">+X22*equityP</f>
        <v>0.27043335357480563</v>
      </c>
      <c r="Z22" s="360">
        <f ca="1">+Y22/(1-taxrate)</f>
        <v>0.34232070072760207</v>
      </c>
      <c r="AA22" s="360">
        <f>debtP*Debt_Rate</f>
        <v>1.5959999999999998E-2</v>
      </c>
      <c r="AB22" s="360">
        <f ca="1">+AA22+Z22</f>
        <v>0.35828070072760204</v>
      </c>
      <c r="AC22" s="360">
        <f ca="1">+AB22/(S22/100)</f>
        <v>3.11216405803624E-2</v>
      </c>
      <c r="AD22" s="360">
        <f ca="1">1-AC22</f>
        <v>0.96887835941963762</v>
      </c>
      <c r="AE22" s="361">
        <f ca="1">expenses/(AD22)</f>
        <v>15244746.234222712</v>
      </c>
      <c r="AF22" s="362">
        <f ca="1">+AE22-Revenue</f>
        <v>626549.77629270963</v>
      </c>
      <c r="AG22" s="363">
        <f ca="1">+AF22/$J$49</f>
        <v>659973.31636626704</v>
      </c>
      <c r="AH22" s="363">
        <f ca="1">+AG22*$J$47</f>
        <v>13265.463658961968</v>
      </c>
      <c r="AI22" s="361">
        <f t="shared" ref="AI22:AI24" ca="1" si="9">ROUND(+AH22+AE22,5)</f>
        <v>15258011.69788</v>
      </c>
      <c r="AJ22" s="26"/>
      <c r="AK22" s="26"/>
      <c r="AL22" s="26"/>
      <c r="AM22" s="26"/>
      <c r="AN22" s="26"/>
      <c r="AO22" s="26"/>
      <c r="AP22" s="26"/>
      <c r="AQ22" s="26"/>
      <c r="AR22" s="26"/>
      <c r="AS22" s="26"/>
      <c r="AT22" s="26"/>
    </row>
    <row r="23" spans="1:46" ht="15.75">
      <c r="A23" s="312"/>
      <c r="B23" s="312" t="s">
        <v>1087</v>
      </c>
      <c r="C23" s="312"/>
      <c r="D23" s="312"/>
      <c r="E23" s="312"/>
      <c r="F23" s="365">
        <f t="shared" si="6"/>
        <v>17</v>
      </c>
      <c r="G23" s="26"/>
      <c r="H23" s="326"/>
      <c r="I23" s="326"/>
      <c r="J23" s="326"/>
      <c r="K23" s="326"/>
      <c r="L23" s="326"/>
      <c r="M23" s="326"/>
      <c r="N23" s="326"/>
      <c r="O23" s="312"/>
      <c r="P23" s="312"/>
      <c r="Q23" s="321"/>
      <c r="R23" s="366">
        <v>3</v>
      </c>
      <c r="S23" s="358">
        <f ca="1">AI18/Investment*100</f>
        <v>1150.8177209757316</v>
      </c>
      <c r="T23" s="359">
        <f ca="1">EXP(y_inter3-(slope*LN(S23)))</f>
        <v>2.4105090336048933</v>
      </c>
      <c r="U23" s="360">
        <f ca="1">(+S23*T23/100)/100</f>
        <v>0.27740565124445965</v>
      </c>
      <c r="V23" s="360">
        <f>regDebt_weighted</f>
        <v>3.5860000000000003E-2</v>
      </c>
      <c r="W23" s="360">
        <f ca="1">+U23-V23</f>
        <v>0.24154565124445965</v>
      </c>
      <c r="X23" s="360">
        <f ca="1">+((W23*(1-0.34))-Pfd_weighted)/Equity_percent</f>
        <v>0.44543642389925397</v>
      </c>
      <c r="Y23" s="360">
        <f ca="1">+X23*equityP</f>
        <v>0.26726185433955235</v>
      </c>
      <c r="Z23" s="360">
        <f ca="1">+Y23/(1-taxrate)</f>
        <v>0.33830614473361054</v>
      </c>
      <c r="AA23" s="360">
        <f>debtP*Debt_Rate</f>
        <v>1.5959999999999998E-2</v>
      </c>
      <c r="AB23" s="360">
        <f ca="1">+AA23+Z23</f>
        <v>0.35426614473361051</v>
      </c>
      <c r="AC23" s="360">
        <f ca="1">+AB23/(S23/100)</f>
        <v>3.0783862489816603E-2</v>
      </c>
      <c r="AD23" s="360">
        <f ca="1">1-AC23</f>
        <v>0.96921613751018343</v>
      </c>
      <c r="AE23" s="361">
        <f ca="1">expenses/(AD23)</f>
        <v>15239433.341592716</v>
      </c>
      <c r="AF23" s="362">
        <f ca="1">+AE23-Revenue</f>
        <v>621236.88366271369</v>
      </c>
      <c r="AG23" s="363">
        <f ca="1">+AF23/$J$49</f>
        <v>654377.00542467914</v>
      </c>
      <c r="AH23" s="363">
        <f ca="1">+AG23*$J$47</f>
        <v>13152.977809036051</v>
      </c>
      <c r="AI23" s="361">
        <f t="shared" ca="1" si="9"/>
        <v>15252586.319399999</v>
      </c>
      <c r="AJ23" s="26"/>
      <c r="AK23" s="26"/>
      <c r="AL23" s="26"/>
      <c r="AM23" s="26"/>
      <c r="AN23" s="26"/>
      <c r="AO23" s="26"/>
      <c r="AP23" s="26"/>
      <c r="AQ23" s="26"/>
      <c r="AR23" s="26"/>
      <c r="AS23" s="26"/>
      <c r="AT23" s="26"/>
    </row>
    <row r="24" spans="1:46" ht="15.75">
      <c r="A24" s="312"/>
      <c r="B24" s="312" t="s">
        <v>1088</v>
      </c>
      <c r="C24" s="312"/>
      <c r="D24" s="312"/>
      <c r="E24" s="312"/>
      <c r="F24" s="365">
        <f t="shared" si="6"/>
        <v>18</v>
      </c>
      <c r="G24" s="26"/>
      <c r="H24" s="408"/>
      <c r="I24" s="26"/>
      <c r="J24" s="409" t="s">
        <v>1089</v>
      </c>
      <c r="K24" s="410" t="s">
        <v>1090</v>
      </c>
      <c r="L24" s="410"/>
      <c r="M24" s="410"/>
      <c r="N24" s="410"/>
      <c r="O24" s="312"/>
      <c r="P24" s="312"/>
      <c r="Q24" s="321"/>
      <c r="R24" s="369">
        <v>4</v>
      </c>
      <c r="S24" s="358">
        <f ca="1">AI19/Investment*100</f>
        <v>1150.5560166700616</v>
      </c>
      <c r="T24" s="375">
        <f ca="1">EXP(y_inter4-(slope*LN(S24)))</f>
        <v>2.395743046162274</v>
      </c>
      <c r="U24" s="360">
        <f ca="1">(+S24*T24/100)/100</f>
        <v>0.27564365761574655</v>
      </c>
      <c r="V24" s="360">
        <f>regDebt_weighted</f>
        <v>3.5860000000000003E-2</v>
      </c>
      <c r="W24" s="360">
        <f ca="1">+U24-V24</f>
        <v>0.23978365761574655</v>
      </c>
      <c r="X24" s="360">
        <f ca="1">+((W24*(1-0.34))-Pfd_weighted)/Equity_percent</f>
        <v>0.44205585472788578</v>
      </c>
      <c r="Y24" s="360">
        <f ca="1">+X24*equityP</f>
        <v>0.26523351283673147</v>
      </c>
      <c r="Z24" s="360">
        <f ca="1">+Y24/(1-taxrate)</f>
        <v>0.33573862384396386</v>
      </c>
      <c r="AA24" s="360">
        <f>debtP*Debt_Rate</f>
        <v>1.5959999999999998E-2</v>
      </c>
      <c r="AB24" s="360">
        <f ca="1">+AA24+Z24</f>
        <v>0.35169862384396383</v>
      </c>
      <c r="AC24" s="360">
        <f ca="1">+AB24/(S24/100)</f>
        <v>3.0567709763654079E-2</v>
      </c>
      <c r="AD24" s="360">
        <f ca="1">1-AC24</f>
        <v>0.96943229023634592</v>
      </c>
      <c r="AE24" s="361">
        <f ca="1">expenses/(AD24)</f>
        <v>15236035.430160291</v>
      </c>
      <c r="AF24" s="362">
        <f ca="1">+AE24-Revenue</f>
        <v>617838.97223028913</v>
      </c>
      <c r="AG24" s="363">
        <f ca="1">+AF24/$J$49</f>
        <v>650797.83109307999</v>
      </c>
      <c r="AH24" s="363">
        <f ca="1">+AG24*$J$47</f>
        <v>13081.036404970908</v>
      </c>
      <c r="AI24" s="361">
        <f t="shared" ca="1" si="9"/>
        <v>15249116.466569999</v>
      </c>
      <c r="AJ24" s="26"/>
      <c r="AK24" s="26"/>
      <c r="AL24" s="26"/>
      <c r="AM24" s="26"/>
      <c r="AN24" s="26"/>
      <c r="AO24" s="26"/>
      <c r="AP24" s="26"/>
      <c r="AQ24" s="26"/>
      <c r="AR24" s="26"/>
      <c r="AS24" s="26"/>
      <c r="AT24" s="26"/>
    </row>
    <row r="25" spans="1:46" ht="15.75">
      <c r="A25" s="312"/>
      <c r="B25" s="312" t="s">
        <v>1091</v>
      </c>
      <c r="C25" s="312"/>
      <c r="D25" s="312"/>
      <c r="E25" s="312"/>
      <c r="F25" s="365">
        <f t="shared" si="6"/>
        <v>19</v>
      </c>
      <c r="G25" s="26"/>
      <c r="H25" s="411" t="s">
        <v>1092</v>
      </c>
      <c r="I25" s="412" t="s">
        <v>1093</v>
      </c>
      <c r="J25" s="413" t="s">
        <v>1094</v>
      </c>
      <c r="K25" s="411" t="s">
        <v>1095</v>
      </c>
      <c r="L25" s="413" t="s">
        <v>1096</v>
      </c>
      <c r="M25" s="413" t="s">
        <v>1094</v>
      </c>
      <c r="N25" s="26"/>
      <c r="O25" s="312"/>
      <c r="P25" s="312"/>
      <c r="Q25" s="321"/>
      <c r="R25" s="328" t="s">
        <v>1097</v>
      </c>
      <c r="S25" s="26"/>
      <c r="T25" s="26"/>
      <c r="U25" s="26"/>
      <c r="V25" s="26"/>
      <c r="W25" s="414"/>
      <c r="X25" s="30"/>
      <c r="Y25" s="415"/>
      <c r="Z25" s="415"/>
      <c r="AA25" s="30"/>
      <c r="AB25" s="26"/>
      <c r="AC25" s="30"/>
      <c r="AD25" s="30"/>
      <c r="AE25" s="415"/>
      <c r="AF25" s="414"/>
      <c r="AG25" s="26"/>
      <c r="AH25" s="26"/>
      <c r="AI25" s="26"/>
      <c r="AJ25" s="26"/>
      <c r="AK25" s="26"/>
      <c r="AL25" s="26"/>
      <c r="AM25" s="26"/>
      <c r="AN25" s="26"/>
      <c r="AO25" s="26"/>
      <c r="AP25" s="26"/>
      <c r="AQ25" s="26"/>
      <c r="AR25" s="26"/>
      <c r="AS25" s="26"/>
      <c r="AT25" s="26"/>
    </row>
    <row r="26" spans="1:46" ht="15.75">
      <c r="A26" s="312"/>
      <c r="B26" s="312"/>
      <c r="C26" s="312"/>
      <c r="D26" s="312"/>
      <c r="E26" s="312"/>
      <c r="F26" s="365">
        <f t="shared" si="6"/>
        <v>20</v>
      </c>
      <c r="G26" s="26"/>
      <c r="H26" s="355" t="s">
        <v>107</v>
      </c>
      <c r="I26" s="416">
        <f>1-I27</f>
        <v>0.6</v>
      </c>
      <c r="J26" s="417">
        <f>+I26*J28</f>
        <v>795222.29436428589</v>
      </c>
      <c r="K26" s="391">
        <f ca="1">+K34</f>
        <v>0.44169397276939459</v>
      </c>
      <c r="L26" s="416">
        <f ca="1">+K26*I26</f>
        <v>0.26501638366163677</v>
      </c>
      <c r="M26" s="356">
        <f ca="1">+J26*K26</f>
        <v>351244.89443255437</v>
      </c>
      <c r="N26" s="26"/>
      <c r="O26" s="312"/>
      <c r="P26" s="312"/>
      <c r="Q26" s="321"/>
      <c r="R26" s="347">
        <v>1</v>
      </c>
      <c r="S26" s="348">
        <f ca="1">AI21/Investment*100</f>
        <v>1151.8339962169157</v>
      </c>
      <c r="T26" s="384">
        <f ca="1">EXP(y_inter1-(slope*LN(+S26)))</f>
        <v>2.4678182654602629</v>
      </c>
      <c r="U26" s="385">
        <f ca="1">(+S26*T26/100)/100</f>
        <v>0.28425169746421924</v>
      </c>
      <c r="V26" s="385">
        <f>regDebt_weighted</f>
        <v>3.5860000000000003E-2</v>
      </c>
      <c r="W26" s="385">
        <f ca="1">+U26-V26</f>
        <v>0.24839169746421924</v>
      </c>
      <c r="X26" s="385">
        <f ca="1">+((W26*(1-0.34))-Pfd_weighted)/Equity_percent</f>
        <v>0.45857128001856012</v>
      </c>
      <c r="Y26" s="385">
        <f ca="1">+X26*equityP</f>
        <v>0.27514276801113607</v>
      </c>
      <c r="Z26" s="385">
        <f ca="1">+Y26/(1-taxrate)</f>
        <v>0.34828198482422285</v>
      </c>
      <c r="AA26" s="385">
        <f>debtP*Debt_Rate</f>
        <v>1.5959999999999998E-2</v>
      </c>
      <c r="AB26" s="385">
        <f ca="1">+AA26+Z26</f>
        <v>0.36424198482422282</v>
      </c>
      <c r="AC26" s="385">
        <f ca="1">+AB26/(S26/100)</f>
        <v>3.1622784708607264E-2</v>
      </c>
      <c r="AD26" s="385">
        <f ca="1">1-AC26</f>
        <v>0.96837721529139276</v>
      </c>
      <c r="AE26" s="386">
        <f ca="1">expenses/(AD26)</f>
        <v>15252635.530812126</v>
      </c>
      <c r="AF26" s="352">
        <f ca="1">+AE26-Revenue</f>
        <v>634439.07288212329</v>
      </c>
      <c r="AG26" s="388">
        <f ca="1">+AF26/$J$49</f>
        <v>668283.47053266154</v>
      </c>
      <c r="AH26" s="388">
        <f ca="1">+AG26*$J$47</f>
        <v>13432.497757706496</v>
      </c>
      <c r="AI26" s="386">
        <f ca="1">ROUND(+AH26+AE26,5)</f>
        <v>15266068.02857</v>
      </c>
      <c r="AJ26" s="26"/>
      <c r="AK26" s="26"/>
      <c r="AL26" s="26"/>
      <c r="AM26" s="26"/>
      <c r="AN26" s="26"/>
      <c r="AO26" s="26"/>
      <c r="AP26" s="26"/>
      <c r="AQ26" s="26"/>
      <c r="AR26" s="26"/>
      <c r="AS26" s="26"/>
      <c r="AT26" s="26"/>
    </row>
    <row r="27" spans="1:46" ht="15.75">
      <c r="A27" s="312"/>
      <c r="B27" s="312"/>
      <c r="C27" s="312"/>
      <c r="D27" s="312"/>
      <c r="E27" s="312"/>
      <c r="F27" s="365">
        <f t="shared" si="6"/>
        <v>21</v>
      </c>
      <c r="G27" s="26"/>
      <c r="H27" s="355" t="s">
        <v>1056</v>
      </c>
      <c r="I27" s="416">
        <f>IF(A65=TRUE,C8,0)</f>
        <v>0.4</v>
      </c>
      <c r="J27" s="418">
        <f>+I27*J28</f>
        <v>530148.19624285726</v>
      </c>
      <c r="K27" s="391">
        <f>IF(A65=TRUE,C9,0)</f>
        <v>3.9899999999999998E-2</v>
      </c>
      <c r="L27" s="416">
        <f>+K27*I27</f>
        <v>1.5959999999999998E-2</v>
      </c>
      <c r="M27" s="419">
        <f>+K27*J27</f>
        <v>21152.913030090003</v>
      </c>
      <c r="N27" s="26"/>
      <c r="O27" s="312"/>
      <c r="P27" s="312"/>
      <c r="Q27" s="321"/>
      <c r="R27" s="357">
        <v>2</v>
      </c>
      <c r="S27" s="358">
        <f ca="1">AI22/Investment*100</f>
        <v>1151.2261519335932</v>
      </c>
      <c r="T27" s="372">
        <f ca="1">EXP(y_inter2-(slope*LN(+S27)))</f>
        <v>2.4335846807510144</v>
      </c>
      <c r="U27" s="360">
        <f ca="1">(+S27*T27/100)/100</f>
        <v>0.28016063274255321</v>
      </c>
      <c r="V27" s="360">
        <f>regDebt_weighted</f>
        <v>3.5860000000000003E-2</v>
      </c>
      <c r="W27" s="360">
        <f ca="1">+U27-V27</f>
        <v>0.2443006327425532</v>
      </c>
      <c r="X27" s="360">
        <f ca="1">+((W27*(1-0.34))-Pfd_weighted)/Equity_percent</f>
        <v>0.45072214421536366</v>
      </c>
      <c r="Y27" s="360">
        <f ca="1">+X27*equityP</f>
        <v>0.27043328652921816</v>
      </c>
      <c r="Z27" s="360">
        <f ca="1">+Y27/(1-taxrate)</f>
        <v>0.34232061585976981</v>
      </c>
      <c r="AA27" s="360">
        <f>debtP*Debt_Rate</f>
        <v>1.5959999999999998E-2</v>
      </c>
      <c r="AB27" s="360">
        <f ca="1">+AA27+Z27</f>
        <v>0.35828061585976978</v>
      </c>
      <c r="AC27" s="360">
        <f ca="1">+AB27/(S27/100)</f>
        <v>3.1121653661012098E-2</v>
      </c>
      <c r="AD27" s="360">
        <f ca="1">1-AC27</f>
        <v>0.96887834633898795</v>
      </c>
      <c r="AE27" s="361">
        <f ca="1">expenses/(AD27)</f>
        <v>15244746.440039249</v>
      </c>
      <c r="AF27" s="362">
        <f ca="1">+AE27-Revenue</f>
        <v>626549.98210924678</v>
      </c>
      <c r="AG27" s="363">
        <f ca="1">+AF27/$J$49</f>
        <v>659973.53316216695</v>
      </c>
      <c r="AH27" s="363">
        <f ca="1">+AG27*$J$47</f>
        <v>13265.468016559555</v>
      </c>
      <c r="AI27" s="361">
        <f t="shared" ref="AI27:AI29" ca="1" si="10">ROUND(+AH27+AE27,5)</f>
        <v>15258011.908059999</v>
      </c>
      <c r="AJ27" s="26"/>
      <c r="AK27" s="26"/>
      <c r="AL27" s="26"/>
      <c r="AM27" s="26"/>
      <c r="AN27" s="26"/>
      <c r="AO27" s="26"/>
      <c r="AP27" s="26"/>
      <c r="AQ27" s="26"/>
      <c r="AR27" s="26"/>
      <c r="AS27" s="26"/>
      <c r="AT27" s="26"/>
    </row>
    <row r="28" spans="1:46" ht="16.5" thickBot="1">
      <c r="A28" s="312"/>
      <c r="B28" s="312"/>
      <c r="C28" s="312"/>
      <c r="D28" s="312"/>
      <c r="E28" s="312"/>
      <c r="F28" s="365">
        <f t="shared" si="6"/>
        <v>22</v>
      </c>
      <c r="G28" s="26"/>
      <c r="H28" s="355" t="s">
        <v>648</v>
      </c>
      <c r="I28" s="420">
        <f>SUM(I26:I27)</f>
        <v>1</v>
      </c>
      <c r="J28" s="421">
        <f>IF(A65=TRUE,C7,0)</f>
        <v>1325370.4906071431</v>
      </c>
      <c r="K28" s="422"/>
      <c r="L28" s="423">
        <f ca="1">SUM(L26:L27)</f>
        <v>0.28097638366163674</v>
      </c>
      <c r="M28" s="421">
        <f ca="1">SUM(M26:M27)</f>
        <v>372397.80746264436</v>
      </c>
      <c r="N28" s="26"/>
      <c r="O28" s="312"/>
      <c r="P28" s="312"/>
      <c r="Q28" s="321"/>
      <c r="R28" s="366">
        <v>3</v>
      </c>
      <c r="S28" s="358">
        <f ca="1">AI23/Investment*100</f>
        <v>1150.8168038668866</v>
      </c>
      <c r="T28" s="359">
        <f ca="1">EXP(y_inter3-(slope*LN(S28)))</f>
        <v>2.4105103469229623</v>
      </c>
      <c r="U28" s="360">
        <f ca="1">(+S28*T28/100)/100</f>
        <v>0.27740558131339432</v>
      </c>
      <c r="V28" s="360">
        <f>regDebt_weighted</f>
        <v>3.5860000000000003E-2</v>
      </c>
      <c r="W28" s="360">
        <f ca="1">+U28-V28</f>
        <v>0.24154558131339432</v>
      </c>
      <c r="X28" s="360">
        <f ca="1">+((W28*(1-0.34))-Pfd_weighted)/Equity_percent</f>
        <v>0.44543628972918675</v>
      </c>
      <c r="Y28" s="360">
        <f ca="1">+X28*equityP</f>
        <v>0.26726177383751204</v>
      </c>
      <c r="Z28" s="360">
        <f ca="1">+Y28/(1-taxrate)</f>
        <v>0.33830604283229371</v>
      </c>
      <c r="AA28" s="360">
        <f>debtP*Debt_Rate</f>
        <v>1.5959999999999998E-2</v>
      </c>
      <c r="AB28" s="360">
        <f ca="1">+AA28+Z28</f>
        <v>0.35426604283229368</v>
      </c>
      <c r="AC28" s="360">
        <f ca="1">+AB28/(S28/100)</f>
        <v>3.0783878167395192E-2</v>
      </c>
      <c r="AD28" s="360">
        <f ca="1">1-AC28</f>
        <v>0.96921612183260486</v>
      </c>
      <c r="AE28" s="361">
        <f ca="1">expenses/(AD28)</f>
        <v>15239433.588098535</v>
      </c>
      <c r="AF28" s="362">
        <f ca="1">+AE28-Revenue</f>
        <v>621237.13016853295</v>
      </c>
      <c r="AG28" s="363">
        <f ca="1">+AF28/$J$49</f>
        <v>654377.26508044661</v>
      </c>
      <c r="AH28" s="363">
        <f ca="1">+AG28*$J$47</f>
        <v>13152.983028116976</v>
      </c>
      <c r="AI28" s="361">
        <f t="shared" ca="1" si="10"/>
        <v>15252586.57113</v>
      </c>
      <c r="AJ28" s="26"/>
      <c r="AK28" s="26"/>
      <c r="AL28" s="26"/>
      <c r="AM28" s="26"/>
      <c r="AN28" s="26"/>
      <c r="AO28" s="26"/>
      <c r="AP28" s="26"/>
      <c r="AQ28" s="26"/>
      <c r="AR28" s="26"/>
      <c r="AS28" s="26"/>
      <c r="AT28" s="26"/>
    </row>
    <row r="29" spans="1:46" ht="16.5" thickTop="1">
      <c r="A29" s="312"/>
      <c r="B29" s="312"/>
      <c r="C29" s="312"/>
      <c r="D29" s="312"/>
      <c r="E29" s="312"/>
      <c r="F29" s="365">
        <f t="shared" si="6"/>
        <v>23</v>
      </c>
      <c r="G29" s="326"/>
      <c r="H29" s="326"/>
      <c r="I29" s="326"/>
      <c r="J29" s="326"/>
      <c r="K29" s="326"/>
      <c r="L29" s="326"/>
      <c r="M29" s="326"/>
      <c r="N29" s="326"/>
      <c r="O29" s="312"/>
      <c r="P29" s="312"/>
      <c r="Q29" s="321"/>
      <c r="R29" s="369">
        <v>4</v>
      </c>
      <c r="S29" s="358">
        <f ca="1">AI24/Investment*100</f>
        <v>1150.5550013856491</v>
      </c>
      <c r="T29" s="375">
        <f ca="1">EXP(y_inter4-(slope*LN(S29)))</f>
        <v>2.3957444914923265</v>
      </c>
      <c r="U29" s="360">
        <f ca="1">(+S29*T29/100)/100</f>
        <v>0.27564358067286149</v>
      </c>
      <c r="V29" s="360">
        <f>regDebt_weighted</f>
        <v>3.5860000000000003E-2</v>
      </c>
      <c r="W29" s="360">
        <f ca="1">+U29-V29</f>
        <v>0.23978358067286148</v>
      </c>
      <c r="X29" s="360">
        <f ca="1">+((W29*(1-0.34))-Pfd_weighted)/Equity_percent</f>
        <v>0.44205570710490866</v>
      </c>
      <c r="Y29" s="360">
        <f ca="1">+X29*equityP</f>
        <v>0.26523342426294516</v>
      </c>
      <c r="Z29" s="360">
        <f ca="1">+Y29/(1-taxrate)</f>
        <v>0.33573851172524705</v>
      </c>
      <c r="AA29" s="360">
        <f>debtP*Debt_Rate</f>
        <v>1.5959999999999998E-2</v>
      </c>
      <c r="AB29" s="360">
        <f ca="1">+AA29+Z29</f>
        <v>0.35169851172524702</v>
      </c>
      <c r="AC29" s="360">
        <f ca="1">+AB29/(S29/100)</f>
        <v>3.0567726992771802E-2</v>
      </c>
      <c r="AD29" s="360">
        <f ca="1">1-AC29</f>
        <v>0.96943227300722823</v>
      </c>
      <c r="AE29" s="361">
        <f ca="1">expenses/(AD29)</f>
        <v>15236035.700940885</v>
      </c>
      <c r="AF29" s="362">
        <f ca="1">+AE29-Revenue</f>
        <v>617839.24301088229</v>
      </c>
      <c r="AG29" s="363">
        <f ca="1">+AF29/$J$49</f>
        <v>650798.11631856859</v>
      </c>
      <c r="AH29" s="363">
        <f ca="1">+AG29*$J$47</f>
        <v>13081.042138003228</v>
      </c>
      <c r="AI29" s="361">
        <f t="shared" ca="1" si="10"/>
        <v>15249116.743079999</v>
      </c>
      <c r="AJ29" s="26"/>
      <c r="AK29" s="26"/>
      <c r="AL29" s="26"/>
      <c r="AM29" s="26"/>
      <c r="AN29" s="26"/>
      <c r="AO29" s="26"/>
      <c r="AP29" s="26"/>
      <c r="AQ29" s="26"/>
      <c r="AR29" s="26"/>
      <c r="AS29" s="26"/>
      <c r="AT29" s="26"/>
    </row>
    <row r="30" spans="1:46" ht="15.75">
      <c r="A30" s="312"/>
      <c r="B30" s="312"/>
      <c r="C30" s="312"/>
      <c r="D30" s="312"/>
      <c r="E30" s="312"/>
      <c r="F30" s="365">
        <f t="shared" si="6"/>
        <v>24</v>
      </c>
      <c r="G30" s="326"/>
      <c r="H30" s="326"/>
      <c r="I30" s="326"/>
      <c r="J30" s="424" t="s">
        <v>1098</v>
      </c>
      <c r="K30" s="424" t="s">
        <v>1099</v>
      </c>
      <c r="L30" s="326"/>
      <c r="M30" s="326"/>
      <c r="N30" s="326"/>
      <c r="O30" s="312"/>
      <c r="P30" s="312"/>
      <c r="Q30" s="321"/>
      <c r="R30" s="328" t="s">
        <v>1100</v>
      </c>
      <c r="S30" s="26"/>
      <c r="T30" s="26"/>
      <c r="U30" s="26"/>
      <c r="V30" s="26"/>
      <c r="W30" s="414"/>
      <c r="X30" s="30"/>
      <c r="Y30" s="415"/>
      <c r="Z30" s="415"/>
      <c r="AA30" s="30"/>
      <c r="AB30" s="26"/>
      <c r="AC30" s="30"/>
      <c r="AD30" s="30"/>
      <c r="AE30" s="415"/>
      <c r="AF30" s="414"/>
      <c r="AG30" s="26"/>
      <c r="AH30" s="415"/>
      <c r="AI30" s="26"/>
      <c r="AJ30" s="26"/>
      <c r="AK30" s="26"/>
      <c r="AL30" s="26"/>
      <c r="AM30" s="26"/>
      <c r="AN30" s="26"/>
      <c r="AO30" s="26"/>
      <c r="AP30" s="26"/>
      <c r="AQ30" s="26"/>
      <c r="AR30" s="26"/>
      <c r="AS30" s="26"/>
      <c r="AT30" s="26"/>
    </row>
    <row r="31" spans="1:46" ht="15.75">
      <c r="A31" s="312"/>
      <c r="B31" s="312"/>
      <c r="C31" s="312"/>
      <c r="D31" s="312"/>
      <c r="E31" s="312"/>
      <c r="F31" s="365">
        <f t="shared" si="6"/>
        <v>25</v>
      </c>
      <c r="G31" s="326"/>
      <c r="H31" s="425" t="s">
        <v>1101</v>
      </c>
      <c r="I31" s="426"/>
      <c r="J31" s="427" t="s">
        <v>1102</v>
      </c>
      <c r="K31" s="427" t="s">
        <v>1102</v>
      </c>
      <c r="L31" s="326"/>
      <c r="M31" s="326"/>
      <c r="N31" s="326"/>
      <c r="O31" s="312"/>
      <c r="P31" s="312"/>
      <c r="Q31" s="321"/>
      <c r="R31" s="347">
        <v>1</v>
      </c>
      <c r="S31" s="348">
        <f ca="1">AI26/Investment*100</f>
        <v>1151.8340069256196</v>
      </c>
      <c r="T31" s="384">
        <f ca="1">EXP(y_inter1-(slope*LN(+S31)))</f>
        <v>2.4678182497744632</v>
      </c>
      <c r="U31" s="385">
        <f ca="1">(+S31*T31/100)/100</f>
        <v>0.28425169830018893</v>
      </c>
      <c r="V31" s="385">
        <f>regDebt_weighted</f>
        <v>3.5860000000000003E-2</v>
      </c>
      <c r="W31" s="385">
        <f ca="1">+U31-V31</f>
        <v>0.24839169830018892</v>
      </c>
      <c r="X31" s="385">
        <f ca="1">+((W31*(1-0.34))-Pfd_weighted)/Equity_percent</f>
        <v>0.45857128162245542</v>
      </c>
      <c r="Y31" s="385">
        <f ca="1">+X31*equityP</f>
        <v>0.27514276897347323</v>
      </c>
      <c r="Z31" s="385">
        <f ca="1">+Y31/(1-taxrate)</f>
        <v>0.34828198604237115</v>
      </c>
      <c r="AA31" s="385">
        <f>debtP*Debt_Rate</f>
        <v>1.5959999999999998E-2</v>
      </c>
      <c r="AB31" s="385">
        <f ca="1">+AA31+Z31</f>
        <v>0.36424198604237112</v>
      </c>
      <c r="AC31" s="385">
        <f ca="1">+AB31/(S31/100)</f>
        <v>3.1622784520364683E-2</v>
      </c>
      <c r="AD31" s="385">
        <f ca="1">1-AC31</f>
        <v>0.96837721547963529</v>
      </c>
      <c r="AE31" s="386">
        <f ca="1">expenses/(AD31)</f>
        <v>15252635.527847171</v>
      </c>
      <c r="AF31" s="352">
        <f ca="1">+AE31-Revenue</f>
        <v>634439.06991716847</v>
      </c>
      <c r="AG31" s="388">
        <f ca="1">+AF31/$J$49</f>
        <v>668283.46740954008</v>
      </c>
      <c r="AH31" s="388">
        <f ca="1">+AG31*$J$47</f>
        <v>13432.497694931755</v>
      </c>
      <c r="AI31" s="386">
        <f ca="1">ROUND(+AH31+AE31,5)</f>
        <v>15266068.02554</v>
      </c>
      <c r="AJ31" s="26"/>
      <c r="AK31" s="26"/>
      <c r="AL31" s="26"/>
      <c r="AM31" s="26"/>
      <c r="AN31" s="26"/>
      <c r="AO31" s="26"/>
      <c r="AP31" s="26"/>
      <c r="AQ31" s="26"/>
      <c r="AR31" s="26"/>
      <c r="AS31" s="26"/>
      <c r="AT31" s="26"/>
    </row>
    <row r="32" spans="1:46" ht="15.75">
      <c r="A32" s="312"/>
      <c r="B32" s="312"/>
      <c r="C32" s="312"/>
      <c r="D32" s="312"/>
      <c r="E32" s="312"/>
      <c r="F32" s="365">
        <f t="shared" si="6"/>
        <v>26</v>
      </c>
      <c r="G32" s="326"/>
      <c r="H32" s="338"/>
      <c r="I32" s="338"/>
      <c r="J32" s="338"/>
      <c r="K32" s="338"/>
      <c r="L32" s="326"/>
      <c r="M32" s="326"/>
      <c r="N32" s="326"/>
      <c r="O32" s="312"/>
      <c r="P32" s="312"/>
      <c r="Q32" s="321"/>
      <c r="R32" s="357">
        <v>2</v>
      </c>
      <c r="S32" s="358">
        <f ca="1">AI27/Investment*100</f>
        <v>1151.2261677918004</v>
      </c>
      <c r="T32" s="372">
        <f ca="1">EXP(y_inter2-(slope*LN(+S32)))</f>
        <v>2.4335846578325002</v>
      </c>
      <c r="U32" s="360">
        <f ca="1">(+S32*T32/100)/100</f>
        <v>0.2801606339633429</v>
      </c>
      <c r="V32" s="360">
        <f>regDebt_weighted</f>
        <v>3.5860000000000003E-2</v>
      </c>
      <c r="W32" s="360">
        <f ca="1">+U32-V32</f>
        <v>0.24430063396334289</v>
      </c>
      <c r="X32" s="360">
        <f ca="1">+((W32*(1-0.34))-Pfd_weighted)/Equity_percent</f>
        <v>0.45072214655757648</v>
      </c>
      <c r="Y32" s="360">
        <f ca="1">+X32*equityP</f>
        <v>0.27043328793454585</v>
      </c>
      <c r="Z32" s="360">
        <f ca="1">+Y32/(1-taxrate)</f>
        <v>0.34232061763866561</v>
      </c>
      <c r="AA32" s="360">
        <f>debtP*Debt_Rate</f>
        <v>1.5959999999999998E-2</v>
      </c>
      <c r="AB32" s="360">
        <f ca="1">+AA32+Z32</f>
        <v>0.35828061763866559</v>
      </c>
      <c r="AC32" s="360">
        <f ca="1">+AB32/(S32/100)</f>
        <v>3.1121653386831347E-2</v>
      </c>
      <c r="AD32" s="360">
        <f ca="1">1-AC32</f>
        <v>0.96887834661316863</v>
      </c>
      <c r="AE32" s="361">
        <f ca="1">expenses/(AD32)</f>
        <v>15244746.435725173</v>
      </c>
      <c r="AF32" s="362">
        <f ca="1">+AE32-Revenue</f>
        <v>626549.97779517062</v>
      </c>
      <c r="AG32" s="363">
        <f ca="1">+AF32/$J$49</f>
        <v>659973.5286179547</v>
      </c>
      <c r="AH32" s="363">
        <f ca="1">+AG32*$J$47</f>
        <v>13265.46792522089</v>
      </c>
      <c r="AI32" s="361">
        <f t="shared" ref="AI32:AI34" ca="1" si="11">ROUND(+AH32+AE32,5)</f>
        <v>15258011.903650001</v>
      </c>
      <c r="AJ32" s="26"/>
      <c r="AK32" s="26"/>
      <c r="AL32" s="26"/>
      <c r="AM32" s="26"/>
      <c r="AN32" s="26"/>
      <c r="AO32" s="26"/>
      <c r="AP32" s="26"/>
      <c r="AQ32" s="26"/>
      <c r="AR32" s="26"/>
      <c r="AS32" s="26"/>
      <c r="AT32" s="26"/>
    </row>
    <row r="33" spans="1:46" ht="15.75">
      <c r="A33" s="312"/>
      <c r="B33" s="312"/>
      <c r="C33" s="312"/>
      <c r="D33" s="312"/>
      <c r="E33" s="312"/>
      <c r="F33" s="365">
        <f t="shared" si="6"/>
        <v>27</v>
      </c>
      <c r="G33" s="326"/>
      <c r="H33" s="338" t="s">
        <v>1103</v>
      </c>
      <c r="I33" s="338"/>
      <c r="J33" s="428">
        <f ca="1">+K9/J28</f>
        <v>0.35142377678688191</v>
      </c>
      <c r="K33" s="428">
        <f ca="1">+(M14+M11)/J28</f>
        <v>0.28097638366163674</v>
      </c>
      <c r="L33" s="326"/>
      <c r="M33" s="326"/>
      <c r="N33" s="326"/>
      <c r="O33" s="312"/>
      <c r="P33" s="312"/>
      <c r="Q33" s="321"/>
      <c r="R33" s="366">
        <v>3</v>
      </c>
      <c r="S33" s="358">
        <f ca="1">AI28/Investment*100</f>
        <v>1150.8168228600664</v>
      </c>
      <c r="T33" s="359">
        <f ca="1">EXP(y_inter3-(slope*LN(S33)))</f>
        <v>2.410510319724334</v>
      </c>
      <c r="U33" s="360">
        <f ca="1">(+S33*T33/100)/100</f>
        <v>0.27740558276165611</v>
      </c>
      <c r="V33" s="360">
        <f>regDebt_weighted</f>
        <v>3.5860000000000003E-2</v>
      </c>
      <c r="W33" s="360">
        <f ca="1">+U33-V33</f>
        <v>0.24154558276165611</v>
      </c>
      <c r="X33" s="360">
        <f ca="1">+((W33*(1-0.34))-Pfd_weighted)/Equity_percent</f>
        <v>0.44543629250782857</v>
      </c>
      <c r="Y33" s="360">
        <f ca="1">+X33*equityP</f>
        <v>0.26726177550469715</v>
      </c>
      <c r="Z33" s="360">
        <f ca="1">+Y33/(1-taxrate)</f>
        <v>0.33830604494265459</v>
      </c>
      <c r="AA33" s="360">
        <f>debtP*Debt_Rate</f>
        <v>1.5959999999999998E-2</v>
      </c>
      <c r="AB33" s="360">
        <f ca="1">+AA33+Z33</f>
        <v>0.35426604494265457</v>
      </c>
      <c r="AC33" s="360">
        <f ca="1">+AB33/(S33/100)</f>
        <v>3.0783877842714816E-2</v>
      </c>
      <c r="AD33" s="360">
        <f ca="1">1-AC33</f>
        <v>0.96921612215728514</v>
      </c>
      <c r="AE33" s="361">
        <f ca="1">expenses/(AD33)</f>
        <v>15239433.582993437</v>
      </c>
      <c r="AF33" s="362">
        <f ca="1">+AE33-Revenue</f>
        <v>621237.12506343424</v>
      </c>
      <c r="AG33" s="363">
        <f ca="1">+AF33/$J$49</f>
        <v>654377.25970301451</v>
      </c>
      <c r="AH33" s="363">
        <f ca="1">+AG33*$J$47</f>
        <v>13152.982920030592</v>
      </c>
      <c r="AI33" s="361">
        <f t="shared" ca="1" si="11"/>
        <v>15252586.56591</v>
      </c>
      <c r="AJ33" s="26"/>
      <c r="AK33" s="26"/>
      <c r="AL33" s="26"/>
      <c r="AM33" s="26"/>
      <c r="AN33" s="26"/>
      <c r="AO33" s="26"/>
      <c r="AP33" s="26"/>
      <c r="AQ33" s="26"/>
      <c r="AR33" s="26"/>
      <c r="AS33" s="26"/>
      <c r="AT33" s="26"/>
    </row>
    <row r="34" spans="1:46" ht="15.75">
      <c r="A34" s="312"/>
      <c r="B34" s="312"/>
      <c r="C34" s="312"/>
      <c r="D34" s="312"/>
      <c r="E34" s="312"/>
      <c r="F34" s="365">
        <f t="shared" si="6"/>
        <v>28</v>
      </c>
      <c r="G34" s="326"/>
      <c r="H34" s="338" t="s">
        <v>1104</v>
      </c>
      <c r="I34" s="338"/>
      <c r="J34" s="428">
        <f ca="1">+(M9-M11)/J26</f>
        <v>0.55910629464480321</v>
      </c>
      <c r="K34" s="428">
        <f ca="1">+M14/J26</f>
        <v>0.44169397276939459</v>
      </c>
      <c r="L34" s="326"/>
      <c r="M34" s="326"/>
      <c r="N34" s="326"/>
      <c r="O34" s="429"/>
      <c r="P34" s="312"/>
      <c r="Q34" s="321"/>
      <c r="R34" s="369">
        <v>4</v>
      </c>
      <c r="S34" s="358">
        <f ca="1">AI29/Investment*100</f>
        <v>1150.5550222484947</v>
      </c>
      <c r="T34" s="375">
        <f ca="1">EXP(y_inter4-(slope*LN(S34)))</f>
        <v>2.3957444617925505</v>
      </c>
      <c r="U34" s="360">
        <f ca="1">(+S34*T34/100)/100</f>
        <v>0.27564358225394359</v>
      </c>
      <c r="V34" s="360">
        <f>regDebt_weighted</f>
        <v>3.5860000000000003E-2</v>
      </c>
      <c r="W34" s="360">
        <f ca="1">+U34-V34</f>
        <v>0.23978358225394358</v>
      </c>
      <c r="X34" s="360">
        <f ca="1">+((W34*(1-0.34))-Pfd_weighted)/Equity_percent</f>
        <v>0.44205571013838013</v>
      </c>
      <c r="Y34" s="360">
        <f ca="1">+X34*equityP</f>
        <v>0.26523342608302808</v>
      </c>
      <c r="Z34" s="360">
        <f ca="1">+Y34/(1-taxrate)</f>
        <v>0.33573851402914945</v>
      </c>
      <c r="AA34" s="360">
        <f>debtP*Debt_Rate</f>
        <v>1.5959999999999998E-2</v>
      </c>
      <c r="AB34" s="360">
        <f ca="1">+AA34+Z34</f>
        <v>0.35169851402914942</v>
      </c>
      <c r="AC34" s="360">
        <f ca="1">+AB34/(S34/100)</f>
        <v>3.0567726638734381E-2</v>
      </c>
      <c r="AD34" s="360">
        <f ca="1">1-AC34</f>
        <v>0.96943227336126558</v>
      </c>
      <c r="AE34" s="361">
        <f ca="1">expenses/(AD34)</f>
        <v>15236035.695376674</v>
      </c>
      <c r="AF34" s="362">
        <f ca="1">+AE34-Revenue</f>
        <v>617839.23744667135</v>
      </c>
      <c r="AG34" s="363">
        <f ca="1">+AF34/$J$49</f>
        <v>650798.11045753269</v>
      </c>
      <c r="AH34" s="363">
        <f ca="1">+AG34*$J$47</f>
        <v>13081.042020196406</v>
      </c>
      <c r="AI34" s="361">
        <f t="shared" ca="1" si="11"/>
        <v>15249116.737400001</v>
      </c>
      <c r="AJ34" s="26"/>
      <c r="AK34" s="26"/>
      <c r="AL34" s="26"/>
      <c r="AM34" s="26"/>
      <c r="AN34" s="26"/>
      <c r="AO34" s="26"/>
      <c r="AP34" s="26"/>
      <c r="AQ34" s="26"/>
      <c r="AR34" s="26"/>
      <c r="AS34" s="26"/>
      <c r="AT34" s="26"/>
    </row>
    <row r="35" spans="1:46" ht="15.75">
      <c r="A35" s="312"/>
      <c r="B35" s="312"/>
      <c r="C35" s="312"/>
      <c r="D35" s="312"/>
      <c r="E35" s="312"/>
      <c r="F35" s="365">
        <f t="shared" si="6"/>
        <v>29</v>
      </c>
      <c r="G35" s="326"/>
      <c r="H35" s="430" t="s">
        <v>478</v>
      </c>
      <c r="I35" s="338"/>
      <c r="J35" s="428">
        <f ca="1">+K8/K7</f>
        <v>0.96943000000000001</v>
      </c>
      <c r="K35" s="428">
        <f ca="1">+M8/M7</f>
        <v>0.96945622510076113</v>
      </c>
      <c r="L35" s="326"/>
      <c r="M35" s="326"/>
      <c r="N35" s="326"/>
      <c r="O35" s="312"/>
      <c r="P35" s="312"/>
      <c r="Q35" s="321"/>
      <c r="R35" s="328" t="s">
        <v>1105</v>
      </c>
      <c r="S35" s="26"/>
      <c r="T35" s="26"/>
      <c r="U35" s="26"/>
      <c r="V35" s="26"/>
      <c r="W35" s="26"/>
      <c r="X35" s="30"/>
      <c r="Y35" s="431"/>
      <c r="Z35" s="415"/>
      <c r="AA35" s="30"/>
      <c r="AB35" s="26"/>
      <c r="AC35" s="30"/>
      <c r="AD35" s="30"/>
      <c r="AE35" s="415"/>
      <c r="AF35" s="414"/>
      <c r="AG35" s="26"/>
      <c r="AH35" s="415"/>
      <c r="AI35" s="26"/>
      <c r="AJ35" s="26"/>
      <c r="AK35" s="26"/>
      <c r="AL35" s="26"/>
      <c r="AM35" s="26"/>
      <c r="AN35" s="26"/>
      <c r="AO35" s="26"/>
      <c r="AP35" s="26"/>
      <c r="AQ35" s="26"/>
      <c r="AR35" s="26"/>
      <c r="AS35" s="26"/>
      <c r="AT35" s="26"/>
    </row>
    <row r="36" spans="1:46" ht="15.75">
      <c r="A36" s="312"/>
      <c r="B36" s="312"/>
      <c r="C36" s="312"/>
      <c r="D36" s="312"/>
      <c r="E36" s="312"/>
      <c r="F36" s="365">
        <f t="shared" si="6"/>
        <v>30</v>
      </c>
      <c r="G36" s="326"/>
      <c r="H36" s="338" t="s">
        <v>1106</v>
      </c>
      <c r="I36" s="338"/>
      <c r="J36" s="428">
        <f ca="1">+K9/K7</f>
        <v>3.0570000000000028E-2</v>
      </c>
      <c r="K36" s="428">
        <f ca="1">+J36</f>
        <v>3.0570000000000028E-2</v>
      </c>
      <c r="L36" s="326"/>
      <c r="M36" s="326"/>
      <c r="N36" s="326"/>
      <c r="O36" s="312"/>
      <c r="P36" s="312"/>
      <c r="Q36" s="321"/>
      <c r="R36" s="347">
        <v>1</v>
      </c>
      <c r="S36" s="348">
        <f ca="1">AI31/Investment*100</f>
        <v>1151.8340066970043</v>
      </c>
      <c r="T36" s="384">
        <f ca="1">EXP(y_inter1-(slope*LN(+S36)))</f>
        <v>2.4678182501093318</v>
      </c>
      <c r="U36" s="385">
        <f ca="1">(+S36*T36/100)/100</f>
        <v>0.2842516982823422</v>
      </c>
      <c r="V36" s="385">
        <f>regDebt_weighted</f>
        <v>3.5860000000000003E-2</v>
      </c>
      <c r="W36" s="385">
        <f ca="1">+U36-V36</f>
        <v>0.2483916982823422</v>
      </c>
      <c r="X36" s="385">
        <f ca="1">+((W36*(1-0.34))-Pfd_weighted)/Equity_percent</f>
        <v>0.45857128158821464</v>
      </c>
      <c r="Y36" s="385">
        <f ca="1">+X36*equityP</f>
        <v>0.27514276895292877</v>
      </c>
      <c r="Z36" s="385">
        <f ca="1">+Y36/(1-taxrate)</f>
        <v>0.34828198601636551</v>
      </c>
      <c r="AA36" s="385">
        <f>debtP*Debt_Rate</f>
        <v>1.5959999999999998E-2</v>
      </c>
      <c r="AB36" s="385">
        <f ca="1">+AA36+Z36</f>
        <v>0.36424198601636548</v>
      </c>
      <c r="AC36" s="385">
        <f ca="1">+AB36/(S36/100)</f>
        <v>3.1622784524383399E-2</v>
      </c>
      <c r="AD36" s="385">
        <f ca="1">1-AC36</f>
        <v>0.96837721547561662</v>
      </c>
      <c r="AE36" s="386">
        <f ca="1">expenses/(AD36)</f>
        <v>15252635.527910467</v>
      </c>
      <c r="AF36" s="352">
        <f ca="1">+AE36-Revenue</f>
        <v>634439.06998046488</v>
      </c>
      <c r="AG36" s="388">
        <f ca="1">+AF36/$J$49</f>
        <v>668283.467476213</v>
      </c>
      <c r="AH36" s="388">
        <f ca="1">+AG36*$J$47</f>
        <v>13432.497696271881</v>
      </c>
      <c r="AI36" s="386">
        <f ca="1">ROUND(+AH36+AE36,5)</f>
        <v>15266068.02561</v>
      </c>
      <c r="AJ36" s="26"/>
      <c r="AK36" s="26"/>
      <c r="AL36" s="26"/>
      <c r="AM36" s="26"/>
      <c r="AN36" s="26"/>
      <c r="AO36" s="26"/>
      <c r="AP36" s="26"/>
      <c r="AQ36" s="26"/>
      <c r="AR36" s="26"/>
      <c r="AS36" s="26"/>
      <c r="AT36" s="26"/>
    </row>
    <row r="37" spans="1:46" ht="15.75">
      <c r="A37" s="312"/>
      <c r="B37" s="312"/>
      <c r="C37" s="312"/>
      <c r="D37" s="312"/>
      <c r="E37" s="312"/>
      <c r="F37" s="365">
        <f t="shared" si="6"/>
        <v>31</v>
      </c>
      <c r="G37" s="326"/>
      <c r="H37" s="338" t="s">
        <v>1107</v>
      </c>
      <c r="I37" s="432"/>
      <c r="J37" s="433">
        <f ca="1">+S39/100</f>
        <v>11.505550218199355</v>
      </c>
      <c r="K37" s="433">
        <f ca="1">+J37</f>
        <v>11.505550218199355</v>
      </c>
      <c r="L37" s="326"/>
      <c r="M37" s="326"/>
      <c r="N37" s="326"/>
      <c r="O37" s="312"/>
      <c r="P37" s="312"/>
      <c r="Q37" s="321"/>
      <c r="R37" s="357">
        <v>2</v>
      </c>
      <c r="S37" s="358">
        <f ca="1">AI32/Investment*100</f>
        <v>1151.2261674590634</v>
      </c>
      <c r="T37" s="372">
        <f ca="1">EXP(y_inter2-(slope*LN(+S37)))</f>
        <v>2.4335846583133769</v>
      </c>
      <c r="U37" s="360">
        <f ca="1">(+S37*T37/100)/100</f>
        <v>0.28016063393772833</v>
      </c>
      <c r="V37" s="360">
        <f>regDebt_weighted</f>
        <v>3.5860000000000003E-2</v>
      </c>
      <c r="W37" s="360">
        <f ca="1">+U37-V37</f>
        <v>0.24430063393772833</v>
      </c>
      <c r="X37" s="360">
        <f ca="1">+((W37*(1-0.34))-Pfd_weighted)/Equity_percent</f>
        <v>0.45072214650843223</v>
      </c>
      <c r="Y37" s="360">
        <f ca="1">+X37*equityP</f>
        <v>0.27043328790505933</v>
      </c>
      <c r="Z37" s="360">
        <f ca="1">+Y37/(1-taxrate)</f>
        <v>0.34232061760134092</v>
      </c>
      <c r="AA37" s="360">
        <f>debtP*Debt_Rate</f>
        <v>1.5959999999999998E-2</v>
      </c>
      <c r="AB37" s="360">
        <f ca="1">+AA37+Z37</f>
        <v>0.35828061760134089</v>
      </c>
      <c r="AC37" s="360">
        <f ca="1">+AB37/(S37/100)</f>
        <v>3.1121653392584218E-2</v>
      </c>
      <c r="AD37" s="360">
        <f ca="1">1-AC37</f>
        <v>0.96887834660741579</v>
      </c>
      <c r="AE37" s="361">
        <f ca="1">expenses/(AD37)</f>
        <v>15244746.43581569</v>
      </c>
      <c r="AF37" s="362">
        <f ca="1">+AE37-Revenue</f>
        <v>626549.97788568772</v>
      </c>
      <c r="AG37" s="363">
        <f ca="1">+AF37/$J$49</f>
        <v>659973.52871330047</v>
      </c>
      <c r="AH37" s="363">
        <f ca="1">+AG37*$J$47</f>
        <v>13265.467927137339</v>
      </c>
      <c r="AI37" s="361">
        <f t="shared" ref="AI37:AI39" ca="1" si="12">ROUND(+AH37+AE37,5)</f>
        <v>15258011.90374</v>
      </c>
      <c r="AJ37" s="26"/>
      <c r="AK37" s="26"/>
      <c r="AL37" s="26"/>
      <c r="AM37" s="26"/>
      <c r="AN37" s="26"/>
      <c r="AO37" s="26"/>
      <c r="AP37" s="26"/>
      <c r="AQ37" s="26"/>
      <c r="AR37" s="26"/>
      <c r="AS37" s="26"/>
      <c r="AT37" s="26"/>
    </row>
    <row r="38" spans="1:46" ht="15.75">
      <c r="A38" s="312"/>
      <c r="B38" s="312"/>
      <c r="C38" s="312"/>
      <c r="D38" s="312"/>
      <c r="E38" s="312"/>
      <c r="F38" s="365">
        <f t="shared" si="6"/>
        <v>32</v>
      </c>
      <c r="G38" s="326"/>
      <c r="H38" s="338" t="s">
        <v>3</v>
      </c>
      <c r="I38" s="326"/>
      <c r="J38" s="428">
        <f>+C10</f>
        <v>0.21</v>
      </c>
      <c r="K38" s="428">
        <f>+J38</f>
        <v>0.21</v>
      </c>
      <c r="L38" s="326"/>
      <c r="M38" s="326"/>
      <c r="N38" s="326"/>
      <c r="O38" s="312"/>
      <c r="P38" s="312"/>
      <c r="Q38" s="434"/>
      <c r="R38" s="366">
        <v>3</v>
      </c>
      <c r="S38" s="358">
        <f ca="1">AI33/Investment*100</f>
        <v>1150.8168224662143</v>
      </c>
      <c r="T38" s="359">
        <f ca="1">EXP(y_inter3-(slope*LN(S38)))</f>
        <v>2.4105103202883389</v>
      </c>
      <c r="U38" s="360">
        <f ca="1">(+S38*T38/100)/100</f>
        <v>0.27740558273162425</v>
      </c>
      <c r="V38" s="360">
        <f>regDebt_weighted</f>
        <v>3.5860000000000003E-2</v>
      </c>
      <c r="W38" s="360">
        <f ca="1">+U38-V38</f>
        <v>0.24154558273162424</v>
      </c>
      <c r="X38" s="360">
        <f ca="1">+((W38*(1-0.34))-Pfd_weighted)/Equity_percent</f>
        <v>0.44543629245020933</v>
      </c>
      <c r="Y38" s="360">
        <f ca="1">+X38*equityP</f>
        <v>0.26726177547012558</v>
      </c>
      <c r="Z38" s="360">
        <f ca="1">+Y38/(1-taxrate)</f>
        <v>0.33830604489889315</v>
      </c>
      <c r="AA38" s="360">
        <f>debtP*Debt_Rate</f>
        <v>1.5959999999999998E-2</v>
      </c>
      <c r="AB38" s="360">
        <f ca="1">+AA38+Z38</f>
        <v>0.35426604489889313</v>
      </c>
      <c r="AC38" s="360">
        <f ca="1">+AB38/(S38/100)</f>
        <v>3.0783877849447555E-2</v>
      </c>
      <c r="AD38" s="360">
        <f ca="1">1-AC38</f>
        <v>0.96921612215055242</v>
      </c>
      <c r="AE38" s="361">
        <f ca="1">expenses/(AD38)</f>
        <v>15239433.583099298</v>
      </c>
      <c r="AF38" s="362">
        <f ca="1">+AE38-Revenue</f>
        <v>621237.12516929582</v>
      </c>
      <c r="AG38" s="363">
        <f ca="1">+AF38/$J$49</f>
        <v>654377.25981452328</v>
      </c>
      <c r="AH38" s="363">
        <f ca="1">+AG38*$J$47</f>
        <v>13152.982922271918</v>
      </c>
      <c r="AI38" s="361">
        <f t="shared" ca="1" si="12"/>
        <v>15252586.566020001</v>
      </c>
      <c r="AJ38" s="26"/>
      <c r="AK38" s="26"/>
      <c r="AL38" s="26"/>
      <c r="AM38" s="26"/>
      <c r="AN38" s="26"/>
      <c r="AO38" s="26"/>
      <c r="AP38" s="26"/>
      <c r="AQ38" s="26"/>
      <c r="AR38" s="26"/>
      <c r="AS38" s="26"/>
      <c r="AT38" s="26"/>
    </row>
    <row r="39" spans="1:46" ht="15.75">
      <c r="A39" s="312"/>
      <c r="B39" s="312"/>
      <c r="C39" s="312"/>
      <c r="D39" s="312"/>
      <c r="E39" s="312"/>
      <c r="F39" s="365">
        <f t="shared" si="6"/>
        <v>33</v>
      </c>
      <c r="G39" s="326"/>
      <c r="H39" s="326"/>
      <c r="I39" s="326"/>
      <c r="J39" s="326"/>
      <c r="K39" s="326"/>
      <c r="L39" s="326"/>
      <c r="M39" s="326"/>
      <c r="N39" s="326"/>
      <c r="O39" s="312"/>
      <c r="P39" s="312"/>
      <c r="Q39" s="321"/>
      <c r="R39" s="369">
        <v>4</v>
      </c>
      <c r="S39" s="358">
        <f ca="1">AI34/Investment*100</f>
        <v>1150.5550218199355</v>
      </c>
      <c r="T39" s="375">
        <f ca="1">EXP(y_inter4-(slope*LN(S39)))</f>
        <v>2.3957444624026345</v>
      </c>
      <c r="U39" s="360">
        <f ca="1">(+S39*T39/100)/100</f>
        <v>0.27564358222146529</v>
      </c>
      <c r="V39" s="360">
        <f>regDebt_weighted</f>
        <v>3.5860000000000003E-2</v>
      </c>
      <c r="W39" s="360">
        <f ca="1">+U39-V39</f>
        <v>0.23978358222146529</v>
      </c>
      <c r="X39" s="360">
        <f ca="1">+((W39*(1-0.34))-Pfd_weighted)/Equity_percent</f>
        <v>0.44205571007606709</v>
      </c>
      <c r="Y39" s="360">
        <f ca="1">+X39*equityP</f>
        <v>0.26523342604564026</v>
      </c>
      <c r="Z39" s="360">
        <f ca="1">+Y39/(1-taxrate)</f>
        <v>0.33573851398182308</v>
      </c>
      <c r="AA39" s="360">
        <f>debtP*Debt_Rate</f>
        <v>1.5959999999999998E-2</v>
      </c>
      <c r="AB39" s="360">
        <f ca="1">+AA39+Z39</f>
        <v>0.35169851398182306</v>
      </c>
      <c r="AC39" s="360">
        <f ca="1">+AB39/(S39/100)</f>
        <v>3.0567726646006911E-2</v>
      </c>
      <c r="AD39" s="360">
        <f ca="1">1-AC39</f>
        <v>0.96943227335399307</v>
      </c>
      <c r="AE39" s="361">
        <f ca="1">expenses/(AD39)</f>
        <v>15236035.695490973</v>
      </c>
      <c r="AF39" s="362">
        <f ca="1">+AE39-Revenue</f>
        <v>617839.23756097071</v>
      </c>
      <c r="AG39" s="363">
        <f ca="1">+AF39/$J$49</f>
        <v>650798.1105779293</v>
      </c>
      <c r="AH39" s="363">
        <f ca="1">+AG39*$J$47</f>
        <v>13081.042022616379</v>
      </c>
      <c r="AI39" s="361">
        <f t="shared" ca="1" si="12"/>
        <v>15249116.737509999</v>
      </c>
      <c r="AJ39" s="26"/>
      <c r="AK39" s="26"/>
      <c r="AL39" s="26"/>
      <c r="AM39" s="26"/>
      <c r="AN39" s="26"/>
      <c r="AO39" s="26"/>
      <c r="AP39" s="26"/>
      <c r="AQ39" s="26"/>
      <c r="AR39" s="26"/>
      <c r="AS39" s="26"/>
      <c r="AT39" s="26"/>
    </row>
    <row r="40" spans="1:46" ht="15.75">
      <c r="A40" s="312"/>
      <c r="B40" s="312"/>
      <c r="C40" s="312"/>
      <c r="D40" s="312"/>
      <c r="E40" s="312"/>
      <c r="F40" s="365">
        <f t="shared" si="6"/>
        <v>34</v>
      </c>
      <c r="G40" s="432"/>
      <c r="H40" s="326"/>
      <c r="I40" s="326"/>
      <c r="J40" s="326"/>
      <c r="K40" s="326"/>
      <c r="L40" s="326"/>
      <c r="M40" s="326"/>
      <c r="N40" s="326"/>
      <c r="O40" s="312"/>
      <c r="P40" s="312"/>
      <c r="Q40" s="321"/>
      <c r="R40" s="328"/>
      <c r="S40" s="26"/>
      <c r="T40" s="26"/>
      <c r="U40" s="26"/>
      <c r="V40" s="26"/>
      <c r="W40" s="26"/>
      <c r="X40" s="30"/>
      <c r="Y40" s="431"/>
      <c r="Z40" s="415"/>
      <c r="AA40" s="30"/>
      <c r="AB40" s="26"/>
      <c r="AC40" s="30"/>
      <c r="AD40" s="30"/>
      <c r="AE40" s="415"/>
      <c r="AF40" s="414"/>
      <c r="AG40" s="26"/>
      <c r="AH40" s="415"/>
      <c r="AI40" s="26"/>
      <c r="AJ40" s="26"/>
      <c r="AK40" s="26"/>
      <c r="AL40" s="26"/>
      <c r="AM40" s="26"/>
      <c r="AN40" s="26"/>
      <c r="AO40" s="26"/>
      <c r="AP40" s="26"/>
      <c r="AQ40" s="26"/>
      <c r="AR40" s="26"/>
      <c r="AS40" s="26"/>
      <c r="AT40" s="26"/>
    </row>
    <row r="41" spans="1:46" ht="15.75">
      <c r="A41" s="312"/>
      <c r="B41" s="312"/>
      <c r="C41" s="312"/>
      <c r="D41" s="312"/>
      <c r="E41" s="312"/>
      <c r="F41" s="365">
        <f t="shared" si="6"/>
        <v>35</v>
      </c>
      <c r="G41" s="326"/>
      <c r="H41" s="425" t="s">
        <v>1108</v>
      </c>
      <c r="I41" s="435"/>
      <c r="J41" s="326"/>
      <c r="K41" s="326"/>
      <c r="L41" s="326"/>
      <c r="M41" s="326"/>
      <c r="N41" s="326"/>
      <c r="O41" s="312"/>
      <c r="P41" s="312"/>
      <c r="Q41" s="321"/>
      <c r="R41" s="436" t="s">
        <v>1109</v>
      </c>
      <c r="S41" s="437"/>
      <c r="T41" s="438"/>
      <c r="U41" s="438"/>
      <c r="V41" s="439"/>
      <c r="W41" s="26"/>
      <c r="X41" s="440"/>
      <c r="Y41" s="431"/>
      <c r="Z41" s="415"/>
      <c r="AA41" s="30"/>
      <c r="AB41" s="26"/>
      <c r="AC41" s="30"/>
      <c r="AD41" s="30"/>
      <c r="AE41" s="415"/>
      <c r="AF41" s="414"/>
      <c r="AG41" s="26"/>
      <c r="AH41" s="415"/>
      <c r="AI41" s="26"/>
      <c r="AJ41" s="26"/>
      <c r="AK41" s="26"/>
      <c r="AL41" s="26"/>
      <c r="AM41" s="26"/>
      <c r="AN41" s="26"/>
      <c r="AO41" s="26"/>
      <c r="AP41" s="26"/>
      <c r="AQ41" s="26"/>
      <c r="AR41" s="26"/>
      <c r="AS41" s="26"/>
      <c r="AT41" s="26"/>
    </row>
    <row r="42" spans="1:46" ht="15.75">
      <c r="A42" s="312"/>
      <c r="B42" s="312"/>
      <c r="C42" s="312"/>
      <c r="D42" s="312"/>
      <c r="E42" s="312"/>
      <c r="F42" s="365">
        <f t="shared" si="6"/>
        <v>36</v>
      </c>
      <c r="G42" s="326"/>
      <c r="H42" s="326"/>
      <c r="I42" s="326"/>
      <c r="J42" s="441" t="s">
        <v>729</v>
      </c>
      <c r="K42" s="442" t="s">
        <v>1058</v>
      </c>
      <c r="L42" s="326"/>
      <c r="M42" s="326"/>
      <c r="N42" s="326"/>
      <c r="O42" s="312"/>
      <c r="P42" s="312"/>
      <c r="Q42" s="321"/>
      <c r="R42" s="443" t="s">
        <v>1110</v>
      </c>
      <c r="S42" s="444"/>
      <c r="T42" s="445"/>
      <c r="U42" s="445"/>
      <c r="V42" s="446"/>
      <c r="W42" s="26"/>
      <c r="X42" s="30"/>
      <c r="Y42" s="431"/>
      <c r="Z42" s="415"/>
      <c r="AA42" s="30"/>
      <c r="AB42" s="26"/>
      <c r="AC42" s="30"/>
      <c r="AD42" s="30"/>
      <c r="AE42" s="415"/>
      <c r="AF42" s="26"/>
      <c r="AG42" s="26"/>
      <c r="AH42" s="415"/>
      <c r="AI42" s="26"/>
      <c r="AJ42" s="26"/>
      <c r="AK42" s="26"/>
      <c r="AL42" s="26"/>
      <c r="AM42" s="26"/>
      <c r="AN42" s="26"/>
      <c r="AO42" s="26"/>
      <c r="AP42" s="26"/>
      <c r="AQ42" s="26"/>
      <c r="AR42" s="26"/>
      <c r="AS42" s="26"/>
      <c r="AT42" s="26"/>
    </row>
    <row r="43" spans="1:46" ht="15.75">
      <c r="A43" s="312"/>
      <c r="B43" s="312"/>
      <c r="C43" s="312"/>
      <c r="D43" s="312"/>
      <c r="E43" s="312"/>
      <c r="F43" s="365">
        <f t="shared" si="6"/>
        <v>37</v>
      </c>
      <c r="G43" s="326"/>
      <c r="H43" s="338" t="s">
        <v>4</v>
      </c>
      <c r="I43" s="447"/>
      <c r="J43" s="448">
        <f>IF($A$65=TRUE,C11,0)</f>
        <v>1.4999999999999999E-2</v>
      </c>
      <c r="K43" s="449">
        <f ca="1">+J43*($J$7/$J$49)</f>
        <v>9762.5361855798219</v>
      </c>
      <c r="L43" s="326"/>
      <c r="M43" s="326"/>
      <c r="N43" s="326"/>
      <c r="O43" s="312"/>
      <c r="P43" s="312"/>
      <c r="Q43" s="321"/>
      <c r="R43" s="366">
        <v>0</v>
      </c>
      <c r="S43" s="450">
        <v>1</v>
      </c>
      <c r="T43" s="445"/>
      <c r="U43" s="451" t="s">
        <v>1106</v>
      </c>
      <c r="V43" s="452">
        <f ca="1">VLOOKUP(R49,R36:AE39,12)</f>
        <v>3.0567726646006911E-2</v>
      </c>
      <c r="W43" s="26"/>
      <c r="X43" s="26"/>
      <c r="Y43" s="26"/>
      <c r="Z43" s="26"/>
      <c r="AA43" s="30"/>
      <c r="AB43" s="26"/>
      <c r="AC43" s="30"/>
      <c r="AD43" s="26"/>
      <c r="AE43" s="26"/>
      <c r="AF43" s="26"/>
      <c r="AG43" s="26"/>
      <c r="AH43" s="415"/>
      <c r="AI43" s="26"/>
      <c r="AJ43" s="26"/>
      <c r="AK43" s="26"/>
      <c r="AL43" s="30"/>
      <c r="AM43" s="30"/>
      <c r="AN43" s="30"/>
      <c r="AO43" s="30"/>
      <c r="AP43" s="30"/>
      <c r="AQ43" s="30"/>
      <c r="AR43" s="30"/>
      <c r="AS43" s="30"/>
      <c r="AT43" s="30"/>
    </row>
    <row r="44" spans="1:46" ht="15.75">
      <c r="A44" s="312"/>
      <c r="B44" s="312"/>
      <c r="C44" s="312"/>
      <c r="D44" s="312"/>
      <c r="E44" s="312"/>
      <c r="F44" s="365">
        <f t="shared" si="6"/>
        <v>38</v>
      </c>
      <c r="G44" s="326"/>
      <c r="H44" s="338" t="s">
        <v>5</v>
      </c>
      <c r="I44" s="447"/>
      <c r="J44" s="448">
        <f t="shared" ref="J44:J46" si="13">IF($A$65=TRUE,C12,0)</f>
        <v>5.1000000000000004E-3</v>
      </c>
      <c r="K44" s="449">
        <f ca="1">+J44*($J$7/$J$49)</f>
        <v>3319.2623030971395</v>
      </c>
      <c r="L44" s="326"/>
      <c r="M44" s="326"/>
      <c r="N44" s="326"/>
      <c r="O44" s="312"/>
      <c r="P44" s="312"/>
      <c r="Q44" s="321"/>
      <c r="R44" s="366">
        <v>50</v>
      </c>
      <c r="S44" s="450">
        <v>2</v>
      </c>
      <c r="T44" s="445"/>
      <c r="U44" s="451" t="s">
        <v>478</v>
      </c>
      <c r="V44" s="452">
        <f ca="1">ROUND(1-V43,5)</f>
        <v>0.96943000000000001</v>
      </c>
      <c r="W44" s="26"/>
      <c r="X44" s="26"/>
      <c r="Y44" s="453"/>
      <c r="Z44" s="328"/>
      <c r="AA44" s="328"/>
      <c r="AB44" s="26"/>
      <c r="AC44" s="30"/>
      <c r="AD44" s="26"/>
      <c r="AE44" s="26"/>
      <c r="AF44" s="414"/>
      <c r="AG44" s="26"/>
      <c r="AH44" s="415"/>
      <c r="AI44" s="26"/>
      <c r="AJ44" s="26"/>
      <c r="AK44" s="26"/>
      <c r="AL44" s="30"/>
      <c r="AM44" s="30"/>
      <c r="AN44" s="30"/>
      <c r="AO44" s="30"/>
      <c r="AP44" s="30"/>
      <c r="AQ44" s="30"/>
      <c r="AR44" s="30"/>
      <c r="AS44" s="30"/>
      <c r="AT44" s="30"/>
    </row>
    <row r="45" spans="1:46" ht="15.75">
      <c r="A45" s="312"/>
      <c r="B45" s="312"/>
      <c r="C45" s="312"/>
      <c r="D45" s="312"/>
      <c r="E45" s="312"/>
      <c r="F45" s="365">
        <f t="shared" si="6"/>
        <v>39</v>
      </c>
      <c r="G45" s="326"/>
      <c r="H45" s="338" t="s">
        <v>6</v>
      </c>
      <c r="I45" s="447"/>
      <c r="J45" s="448">
        <f t="shared" si="13"/>
        <v>0</v>
      </c>
      <c r="K45" s="449">
        <f ca="1">+J45*($J$7/$J$49)</f>
        <v>0</v>
      </c>
      <c r="L45" s="326"/>
      <c r="M45" s="326"/>
      <c r="N45" s="326"/>
      <c r="O45" s="312"/>
      <c r="P45" s="312"/>
      <c r="Q45" s="321"/>
      <c r="R45" s="366">
        <v>125</v>
      </c>
      <c r="S45" s="450">
        <v>3</v>
      </c>
      <c r="T45" s="445"/>
      <c r="U45" s="454" t="s">
        <v>1111</v>
      </c>
      <c r="V45" s="455">
        <f ca="1">+M7/Revenue-1</f>
        <v>4.3162422054455307E-2</v>
      </c>
      <c r="W45" s="456"/>
      <c r="X45" s="30"/>
      <c r="Y45" s="453"/>
      <c r="Z45" s="415"/>
      <c r="AA45" s="30"/>
      <c r="AB45" s="26"/>
      <c r="AC45" s="30"/>
      <c r="AD45" s="30"/>
      <c r="AE45" s="415"/>
      <c r="AF45" s="414"/>
      <c r="AG45" s="26"/>
      <c r="AH45" s="415"/>
      <c r="AI45" s="26"/>
      <c r="AJ45" s="26"/>
      <c r="AK45" s="26"/>
      <c r="AL45" s="30"/>
      <c r="AM45" s="30"/>
      <c r="AN45" s="30"/>
      <c r="AO45" s="30"/>
      <c r="AP45" s="30"/>
      <c r="AQ45" s="30"/>
      <c r="AR45" s="30"/>
      <c r="AS45" s="30"/>
      <c r="AT45" s="30"/>
    </row>
    <row r="46" spans="1:46" ht="15.75">
      <c r="A46" s="312"/>
      <c r="B46" s="312"/>
      <c r="C46" s="312"/>
      <c r="D46" s="312"/>
      <c r="E46" s="312"/>
      <c r="F46" s="365">
        <f t="shared" si="6"/>
        <v>40</v>
      </c>
      <c r="G46" s="326"/>
      <c r="H46" s="338" t="s">
        <v>7</v>
      </c>
      <c r="I46" s="447"/>
      <c r="J46" s="448">
        <f t="shared" si="13"/>
        <v>0</v>
      </c>
      <c r="K46" s="449">
        <f ca="1">+J46*($J$7/$J$49)</f>
        <v>0</v>
      </c>
      <c r="L46" s="326"/>
      <c r="M46" s="326"/>
      <c r="N46" s="326"/>
      <c r="O46" s="312"/>
      <c r="P46" s="312"/>
      <c r="Q46" s="321"/>
      <c r="R46" s="369">
        <v>401</v>
      </c>
      <c r="S46" s="457">
        <v>4</v>
      </c>
      <c r="T46" s="458"/>
      <c r="U46" s="458"/>
      <c r="V46" s="459"/>
      <c r="W46" s="26"/>
      <c r="X46" s="30"/>
      <c r="Y46" s="431"/>
      <c r="Z46" s="415"/>
      <c r="AA46" s="30"/>
      <c r="AB46" s="26"/>
      <c r="AC46" s="30"/>
      <c r="AD46" s="30"/>
      <c r="AE46" s="415"/>
      <c r="AF46" s="414"/>
      <c r="AG46" s="26"/>
      <c r="AH46" s="415"/>
      <c r="AI46" s="26"/>
      <c r="AJ46" s="26"/>
      <c r="AK46" s="26"/>
      <c r="AL46" s="30"/>
      <c r="AM46" s="30"/>
      <c r="AN46" s="30"/>
      <c r="AO46" s="30"/>
      <c r="AP46" s="30"/>
      <c r="AQ46" s="30"/>
      <c r="AR46" s="30"/>
      <c r="AS46" s="30"/>
      <c r="AT46" s="30"/>
    </row>
    <row r="47" spans="1:46" ht="16.5" thickBot="1">
      <c r="A47" s="312"/>
      <c r="B47" s="312"/>
      <c r="C47" s="312"/>
      <c r="D47" s="312"/>
      <c r="E47" s="312"/>
      <c r="F47" s="365">
        <f t="shared" si="6"/>
        <v>41</v>
      </c>
      <c r="G47" s="326"/>
      <c r="H47" s="338" t="s">
        <v>8</v>
      </c>
      <c r="I47" s="432"/>
      <c r="J47" s="460">
        <f>SUM(J43:J46)</f>
        <v>2.01E-2</v>
      </c>
      <c r="K47" s="421">
        <f ca="1">+K43+K44+K45+K46</f>
        <v>13081.798488676961</v>
      </c>
      <c r="L47" s="326"/>
      <c r="M47" s="326"/>
      <c r="N47" s="326"/>
      <c r="O47" s="312"/>
      <c r="P47" s="312"/>
      <c r="Q47" s="321"/>
      <c r="R47" s="366"/>
      <c r="S47" s="461"/>
      <c r="T47" s="445"/>
      <c r="U47" s="445"/>
      <c r="V47" s="445"/>
      <c r="W47" s="26"/>
      <c r="X47" s="30"/>
      <c r="Y47" s="431"/>
      <c r="Z47" s="415"/>
      <c r="AA47" s="30"/>
      <c r="AB47" s="26"/>
      <c r="AC47" s="30"/>
      <c r="AD47" s="30"/>
      <c r="AE47" s="415"/>
      <c r="AF47" s="414"/>
      <c r="AG47" s="26"/>
      <c r="AH47" s="415"/>
      <c r="AI47" s="26"/>
      <c r="AJ47" s="26"/>
      <c r="AK47" s="26"/>
      <c r="AL47" s="30"/>
      <c r="AM47" s="30"/>
      <c r="AN47" s="30"/>
      <c r="AO47" s="30"/>
      <c r="AP47" s="30"/>
      <c r="AQ47" s="30"/>
      <c r="AR47" s="30"/>
      <c r="AS47" s="30"/>
      <c r="AT47" s="30"/>
    </row>
    <row r="48" spans="1:46" ht="16.5" thickTop="1">
      <c r="A48" s="312"/>
      <c r="B48" s="312"/>
      <c r="C48" s="312"/>
      <c r="D48" s="312"/>
      <c r="E48" s="312"/>
      <c r="F48" s="365">
        <f t="shared" si="6"/>
        <v>42</v>
      </c>
      <c r="G48" s="326"/>
      <c r="H48" s="338"/>
      <c r="I48" s="432"/>
      <c r="J48" s="462"/>
      <c r="K48" s="419"/>
      <c r="L48" s="326"/>
      <c r="M48" s="326"/>
      <c r="N48" s="326"/>
      <c r="O48" s="312"/>
      <c r="P48" s="312"/>
      <c r="Q48" s="321"/>
      <c r="R48" s="463">
        <f ca="1">VLOOKUP(R49,R36:S39,2)</f>
        <v>1150.5550218199355</v>
      </c>
      <c r="S48" s="464" t="s">
        <v>1112</v>
      </c>
      <c r="T48" s="439"/>
      <c r="U48" s="26"/>
      <c r="V48" s="438"/>
      <c r="W48" s="26"/>
      <c r="X48" s="26" t="s">
        <v>10</v>
      </c>
      <c r="Y48" s="26"/>
      <c r="Z48" s="26"/>
      <c r="AA48" s="26"/>
      <c r="AB48" s="26"/>
      <c r="AC48" s="30"/>
      <c r="AD48" s="26"/>
      <c r="AE48" s="26"/>
      <c r="AF48" s="414"/>
      <c r="AG48" s="26"/>
      <c r="AH48" s="415"/>
      <c r="AI48" s="26"/>
      <c r="AJ48" s="26"/>
      <c r="AK48" s="26"/>
      <c r="AL48" s="26"/>
      <c r="AM48" s="26"/>
      <c r="AN48" s="26"/>
      <c r="AO48" s="26"/>
      <c r="AP48" s="26"/>
      <c r="AQ48" s="26"/>
      <c r="AR48" s="26"/>
      <c r="AS48" s="26"/>
      <c r="AT48" s="26"/>
    </row>
    <row r="49" spans="1:46" ht="15.75">
      <c r="A49" s="312"/>
      <c r="B49" s="312"/>
      <c r="C49" s="312"/>
      <c r="D49" s="312"/>
      <c r="E49" s="312"/>
      <c r="F49" s="365">
        <f t="shared" si="6"/>
        <v>43</v>
      </c>
      <c r="G49" s="332"/>
      <c r="H49" s="465" t="s">
        <v>9</v>
      </c>
      <c r="I49" s="408"/>
      <c r="J49" s="466">
        <f ca="1">((K35)-J47)</f>
        <v>0.94935622510076112</v>
      </c>
      <c r="K49" s="408"/>
      <c r="L49" s="408"/>
      <c r="M49" s="408"/>
      <c r="N49" s="408"/>
      <c r="O49" s="312"/>
      <c r="P49" s="312"/>
      <c r="Q49" s="321"/>
      <c r="R49" s="467">
        <f ca="1">VLOOKUP(S36,R43:S46,2)</f>
        <v>4</v>
      </c>
      <c r="S49" s="468" t="s">
        <v>1113</v>
      </c>
      <c r="T49" s="446"/>
      <c r="U49" s="26"/>
      <c r="V49" s="26"/>
      <c r="W49" s="26"/>
      <c r="X49" s="26" t="s">
        <v>11</v>
      </c>
      <c r="Y49" s="26"/>
      <c r="Z49" s="26"/>
      <c r="AA49" s="328"/>
      <c r="AB49" s="26"/>
      <c r="AC49" s="30"/>
      <c r="AD49" s="26"/>
      <c r="AE49" s="26"/>
      <c r="AF49" s="26"/>
      <c r="AG49" s="26"/>
      <c r="AH49" s="415"/>
      <c r="AI49" s="26"/>
      <c r="AJ49" s="26"/>
      <c r="AK49" s="26"/>
      <c r="AL49" s="26"/>
      <c r="AM49" s="26"/>
      <c r="AN49" s="26"/>
      <c r="AO49" s="26"/>
      <c r="AP49" s="26"/>
      <c r="AQ49" s="26"/>
      <c r="AR49" s="26"/>
      <c r="AS49" s="26"/>
      <c r="AT49" s="26"/>
    </row>
    <row r="50" spans="1:46">
      <c r="A50" s="312"/>
      <c r="B50" s="312"/>
      <c r="C50" s="312"/>
      <c r="D50" s="312"/>
      <c r="E50" s="312"/>
      <c r="F50" s="312"/>
      <c r="G50" s="312"/>
      <c r="H50" s="312"/>
      <c r="I50" s="312"/>
      <c r="J50" s="312"/>
      <c r="K50" s="469"/>
      <c r="L50" s="312"/>
      <c r="M50" s="312"/>
      <c r="N50" s="470"/>
      <c r="O50" s="312"/>
      <c r="P50" s="312"/>
      <c r="Q50" s="321"/>
      <c r="R50" s="467"/>
      <c r="S50" s="454"/>
      <c r="T50" s="446"/>
      <c r="U50" s="26"/>
      <c r="V50" s="26"/>
      <c r="W50" s="26"/>
      <c r="X50" s="26" t="s">
        <v>12</v>
      </c>
      <c r="Y50" s="26"/>
      <c r="Z50" s="26"/>
      <c r="AA50" s="30"/>
      <c r="AB50" s="26"/>
      <c r="AC50" s="30"/>
      <c r="AD50" s="30"/>
      <c r="AE50" s="415"/>
      <c r="AF50" s="26"/>
      <c r="AG50" s="26"/>
      <c r="AH50" s="415"/>
      <c r="AI50" s="26"/>
      <c r="AJ50" s="26"/>
      <c r="AK50" s="26"/>
      <c r="AL50" s="26"/>
      <c r="AM50" s="26"/>
      <c r="AN50" s="26"/>
      <c r="AO50" s="26"/>
      <c r="AP50" s="26"/>
      <c r="AQ50" s="26"/>
      <c r="AR50" s="26"/>
      <c r="AS50" s="26"/>
      <c r="AT50" s="26"/>
    </row>
    <row r="51" spans="1:46">
      <c r="A51" s="312"/>
      <c r="B51" s="312"/>
      <c r="C51" s="312"/>
      <c r="D51" s="312"/>
      <c r="E51" s="312"/>
      <c r="F51" s="312"/>
      <c r="G51" s="312"/>
      <c r="H51" s="312"/>
      <c r="I51" s="312"/>
      <c r="J51" s="312"/>
      <c r="K51" s="469"/>
      <c r="L51" s="312"/>
      <c r="M51" s="312"/>
      <c r="N51" s="470"/>
      <c r="O51" s="312"/>
      <c r="P51" s="312"/>
      <c r="Q51" s="321"/>
      <c r="R51" s="471">
        <f ca="1">+V44</f>
        <v>0.96943000000000001</v>
      </c>
      <c r="S51" s="472" t="s">
        <v>478</v>
      </c>
      <c r="T51" s="473"/>
      <c r="U51" s="26"/>
      <c r="V51" s="26"/>
      <c r="W51" s="26"/>
      <c r="X51" s="26" t="s">
        <v>13</v>
      </c>
      <c r="Y51" s="26"/>
      <c r="Z51" s="26"/>
      <c r="AA51" s="30"/>
      <c r="AB51" s="26"/>
      <c r="AC51" s="30"/>
      <c r="AD51" s="30"/>
      <c r="AE51" s="415"/>
      <c r="AF51" s="30"/>
      <c r="AG51" s="26"/>
      <c r="AH51" s="415"/>
      <c r="AI51" s="26"/>
      <c r="AJ51" s="26"/>
      <c r="AK51" s="26"/>
      <c r="AL51" s="30"/>
      <c r="AM51" s="30"/>
      <c r="AN51" s="30"/>
      <c r="AO51" s="30"/>
      <c r="AP51" s="30"/>
      <c r="AQ51" s="30"/>
      <c r="AR51" s="30"/>
      <c r="AS51" s="30"/>
      <c r="AT51" s="30"/>
    </row>
    <row r="52" spans="1:46">
      <c r="A52" s="312"/>
      <c r="B52" s="312"/>
      <c r="C52" s="312"/>
      <c r="D52" s="312"/>
      <c r="E52" s="312"/>
      <c r="F52" s="312"/>
      <c r="G52" s="312"/>
      <c r="H52" s="312"/>
      <c r="I52" s="312"/>
      <c r="J52" s="312"/>
      <c r="K52" s="312"/>
      <c r="L52" s="312"/>
      <c r="M52" s="312"/>
      <c r="N52" s="312"/>
      <c r="O52" s="312"/>
      <c r="P52" s="312"/>
      <c r="Q52" s="321"/>
      <c r="R52" s="328"/>
      <c r="S52" s="26"/>
      <c r="T52" s="26"/>
      <c r="U52" s="26"/>
      <c r="V52" s="26"/>
      <c r="W52" s="26"/>
      <c r="X52" s="26"/>
      <c r="Y52" s="26"/>
      <c r="Z52" s="415"/>
      <c r="AA52" s="30"/>
      <c r="AB52" s="26"/>
      <c r="AC52" s="30"/>
      <c r="AD52" s="30"/>
      <c r="AE52" s="415"/>
      <c r="AF52" s="414"/>
      <c r="AG52" s="26"/>
      <c r="AH52" s="415"/>
      <c r="AI52" s="26"/>
      <c r="AJ52" s="26"/>
      <c r="AK52" s="26"/>
      <c r="AL52" s="30"/>
      <c r="AM52" s="30"/>
      <c r="AN52" s="30"/>
      <c r="AO52" s="30"/>
      <c r="AP52" s="30"/>
      <c r="AQ52" s="30"/>
      <c r="AR52" s="30"/>
      <c r="AS52" s="30"/>
      <c r="AT52" s="30"/>
    </row>
    <row r="53" spans="1:46">
      <c r="A53" s="312"/>
      <c r="B53" s="312"/>
      <c r="C53" s="312"/>
      <c r="D53" s="312"/>
      <c r="E53" s="312"/>
      <c r="F53" s="312"/>
      <c r="G53" s="312"/>
      <c r="H53" s="312"/>
      <c r="I53" s="312"/>
      <c r="J53" s="474"/>
      <c r="K53" s="474"/>
      <c r="L53" s="474"/>
      <c r="M53" s="474"/>
      <c r="N53" s="312"/>
      <c r="O53" s="312"/>
      <c r="P53" s="312"/>
      <c r="Q53" s="321"/>
      <c r="R53" s="26"/>
      <c r="S53" s="26"/>
      <c r="T53" s="26"/>
      <c r="U53" s="26"/>
      <c r="V53" s="26"/>
      <c r="W53" s="26"/>
      <c r="X53" s="26"/>
      <c r="Y53" s="26"/>
      <c r="Z53" s="415"/>
      <c r="AA53" s="30"/>
      <c r="AB53" s="26"/>
      <c r="AC53" s="30"/>
      <c r="AD53" s="30"/>
      <c r="AE53" s="415"/>
      <c r="AF53" s="414"/>
      <c r="AG53" s="26"/>
      <c r="AH53" s="415"/>
      <c r="AI53" s="26"/>
      <c r="AJ53" s="26"/>
      <c r="AK53" s="26"/>
      <c r="AL53" s="30"/>
      <c r="AM53" s="30"/>
      <c r="AN53" s="30"/>
      <c r="AO53" s="30"/>
      <c r="AP53" s="30"/>
      <c r="AQ53" s="30"/>
      <c r="AR53" s="30"/>
      <c r="AS53" s="30"/>
      <c r="AT53" s="30"/>
    </row>
    <row r="54" spans="1:46" ht="15.75">
      <c r="A54" s="312"/>
      <c r="B54" s="312"/>
      <c r="C54" s="312"/>
      <c r="D54" s="312"/>
      <c r="E54" s="312"/>
      <c r="F54" s="312"/>
      <c r="G54" s="312"/>
      <c r="H54" s="312"/>
      <c r="I54" s="312"/>
      <c r="J54" s="312"/>
      <c r="K54" s="474"/>
      <c r="L54" s="474"/>
      <c r="M54" s="474"/>
      <c r="N54" s="312"/>
      <c r="O54" s="312"/>
      <c r="P54" s="312"/>
      <c r="Q54" s="321"/>
      <c r="R54" s="26"/>
      <c r="S54" s="26" t="s">
        <v>1114</v>
      </c>
      <c r="T54" s="30"/>
      <c r="U54" s="475"/>
      <c r="V54" s="26"/>
      <c r="W54" s="476" t="s">
        <v>1115</v>
      </c>
      <c r="X54" s="477"/>
      <c r="Y54" s="477"/>
      <c r="Z54" s="477"/>
      <c r="AA54" s="26"/>
      <c r="AB54" s="26"/>
      <c r="AC54" s="30"/>
      <c r="AD54" s="26"/>
      <c r="AE54" s="26"/>
      <c r="AF54" s="414"/>
      <c r="AG54" s="26"/>
      <c r="AH54" s="415"/>
      <c r="AI54" s="26"/>
      <c r="AJ54" s="26"/>
      <c r="AK54" s="26"/>
      <c r="AL54" s="30"/>
      <c r="AM54" s="30"/>
      <c r="AN54" s="30"/>
      <c r="AO54" s="30"/>
      <c r="AP54" s="30"/>
      <c r="AQ54" s="30"/>
      <c r="AR54" s="30"/>
      <c r="AS54" s="30"/>
      <c r="AT54" s="30"/>
    </row>
    <row r="55" spans="1:46">
      <c r="A55" s="312"/>
      <c r="B55" s="312"/>
      <c r="C55" s="312"/>
      <c r="D55" s="312"/>
      <c r="E55" s="312"/>
      <c r="F55" s="312"/>
      <c r="G55" s="312"/>
      <c r="H55" s="312"/>
      <c r="I55" s="312"/>
      <c r="J55" s="312"/>
      <c r="K55" s="312"/>
      <c r="L55" s="478"/>
      <c r="M55" s="478"/>
      <c r="N55" s="312"/>
      <c r="O55" s="312"/>
      <c r="P55" s="312"/>
      <c r="Q55" s="321"/>
      <c r="R55" s="479"/>
      <c r="S55" s="480" t="s">
        <v>1093</v>
      </c>
      <c r="T55" s="480" t="s">
        <v>1116</v>
      </c>
      <c r="U55" s="481" t="s">
        <v>1096</v>
      </c>
      <c r="V55" s="26"/>
      <c r="W55" s="482" t="s">
        <v>1117</v>
      </c>
      <c r="X55" s="483">
        <v>5.7225999999999999</v>
      </c>
      <c r="Y55" s="484" t="s">
        <v>1118</v>
      </c>
      <c r="Z55" s="485">
        <v>5.6985000000000001</v>
      </c>
      <c r="AA55" s="328"/>
      <c r="AB55" s="26"/>
      <c r="AC55" s="30"/>
      <c r="AD55" s="26"/>
      <c r="AE55" s="26"/>
      <c r="AF55" s="26"/>
      <c r="AG55" s="26"/>
      <c r="AH55" s="415"/>
      <c r="AI55" s="26"/>
      <c r="AJ55" s="26"/>
      <c r="AK55" s="26"/>
      <c r="AL55" s="26"/>
      <c r="AM55" s="26"/>
      <c r="AN55" s="26"/>
      <c r="AO55" s="26"/>
      <c r="AP55" s="26"/>
      <c r="AQ55" s="26"/>
      <c r="AR55" s="26"/>
      <c r="AS55" s="26"/>
      <c r="AT55" s="26"/>
    </row>
    <row r="56" spans="1:46">
      <c r="A56" s="312"/>
      <c r="B56" s="312"/>
      <c r="C56" s="312"/>
      <c r="D56" s="312"/>
      <c r="E56" s="312"/>
      <c r="F56" s="312"/>
      <c r="G56" s="312"/>
      <c r="H56" s="312"/>
      <c r="I56" s="312"/>
      <c r="J56" s="478"/>
      <c r="K56" s="312"/>
      <c r="L56" s="478"/>
      <c r="M56" s="478"/>
      <c r="N56" s="312"/>
      <c r="O56" s="312"/>
      <c r="P56" s="312"/>
      <c r="Q56" s="321"/>
      <c r="R56" s="321" t="s">
        <v>1056</v>
      </c>
      <c r="S56" s="486">
        <v>0.56200000000000006</v>
      </c>
      <c r="T56" s="486">
        <v>6.3799999999999996E-2</v>
      </c>
      <c r="U56" s="452">
        <f>ROUND(+S56*T56,5)</f>
        <v>3.5860000000000003E-2</v>
      </c>
      <c r="V56" s="26"/>
      <c r="W56" s="487" t="s">
        <v>1119</v>
      </c>
      <c r="X56" s="488">
        <v>5.7082699999999997</v>
      </c>
      <c r="Y56" s="489" t="s">
        <v>1120</v>
      </c>
      <c r="Z56" s="490">
        <v>5.6921999999999997</v>
      </c>
      <c r="AA56" s="30"/>
      <c r="AB56" s="26"/>
      <c r="AC56" s="30"/>
      <c r="AD56" s="30"/>
      <c r="AE56" s="415"/>
      <c r="AF56" s="26"/>
      <c r="AG56" s="26"/>
      <c r="AH56" s="415"/>
      <c r="AI56" s="26"/>
      <c r="AJ56" s="26"/>
      <c r="AK56" s="26"/>
      <c r="AL56" s="26"/>
      <c r="AM56" s="26"/>
      <c r="AN56" s="26"/>
      <c r="AO56" s="26"/>
      <c r="AP56" s="26"/>
      <c r="AQ56" s="26"/>
      <c r="AR56" s="26"/>
      <c r="AS56" s="26"/>
      <c r="AT56" s="26"/>
    </row>
    <row r="57" spans="1:46">
      <c r="A57" s="312"/>
      <c r="B57" s="312"/>
      <c r="C57" s="312"/>
      <c r="D57" s="312"/>
      <c r="E57" s="474"/>
      <c r="F57" s="312"/>
      <c r="G57" s="312"/>
      <c r="H57" s="312"/>
      <c r="I57" s="312"/>
      <c r="J57" s="478"/>
      <c r="K57" s="312"/>
      <c r="L57" s="478"/>
      <c r="M57" s="478"/>
      <c r="N57" s="312"/>
      <c r="O57" s="312"/>
      <c r="P57" s="312"/>
      <c r="Q57" s="321"/>
      <c r="R57" s="321" t="s">
        <v>1121</v>
      </c>
      <c r="S57" s="486">
        <v>9.4E-2</v>
      </c>
      <c r="T57" s="486">
        <v>6.59E-2</v>
      </c>
      <c r="U57" s="452">
        <f>ROUND(+S57*T57,5)</f>
        <v>6.1900000000000002E-3</v>
      </c>
      <c r="V57" s="26"/>
      <c r="W57" s="321"/>
      <c r="X57" s="445"/>
      <c r="Y57" s="491"/>
      <c r="Z57" s="492"/>
      <c r="AA57" s="30"/>
      <c r="AB57" s="26"/>
      <c r="AC57" s="30"/>
      <c r="AD57" s="30"/>
      <c r="AE57" s="415"/>
      <c r="AF57" s="414"/>
      <c r="AG57" s="26"/>
      <c r="AH57" s="415"/>
      <c r="AI57" s="26"/>
      <c r="AJ57" s="26"/>
      <c r="AK57" s="26"/>
      <c r="AL57" s="30"/>
      <c r="AM57" s="26"/>
      <c r="AN57" s="26"/>
      <c r="AO57" s="26"/>
      <c r="AP57" s="26"/>
      <c r="AQ57" s="26"/>
      <c r="AR57" s="26"/>
      <c r="AS57" s="26"/>
      <c r="AT57" s="26"/>
    </row>
    <row r="58" spans="1:46" ht="15.75">
      <c r="A58" s="312"/>
      <c r="B58" s="312"/>
      <c r="C58" s="312"/>
      <c r="D58" s="312"/>
      <c r="E58" s="474"/>
      <c r="F58" s="474"/>
      <c r="G58" s="474"/>
      <c r="H58" s="493"/>
      <c r="I58" s="474"/>
      <c r="J58" s="478"/>
      <c r="K58" s="312"/>
      <c r="L58" s="312"/>
      <c r="M58" s="312"/>
      <c r="N58" s="312"/>
      <c r="O58" s="312"/>
      <c r="P58" s="312"/>
      <c r="Q58" s="321"/>
      <c r="R58" s="321" t="s">
        <v>107</v>
      </c>
      <c r="S58" s="494">
        <v>0.34399999999999997</v>
      </c>
      <c r="T58" s="495"/>
      <c r="U58" s="496"/>
      <c r="V58" s="26"/>
      <c r="W58" s="497"/>
      <c r="X58" s="498" t="s">
        <v>1122</v>
      </c>
      <c r="Y58" s="499">
        <v>0.68367</v>
      </c>
      <c r="Z58" s="500"/>
      <c r="AA58" s="30"/>
      <c r="AB58" s="26"/>
      <c r="AC58" s="30"/>
      <c r="AD58" s="30"/>
      <c r="AE58" s="415"/>
      <c r="AF58" s="414"/>
      <c r="AG58" s="26"/>
      <c r="AH58" s="415"/>
      <c r="AI58" s="26"/>
      <c r="AJ58" s="26"/>
      <c r="AK58" s="26"/>
      <c r="AL58" s="26"/>
      <c r="AM58" s="26"/>
      <c r="AN58" s="26"/>
      <c r="AO58" s="26"/>
      <c r="AP58" s="26"/>
      <c r="AQ58" s="26"/>
      <c r="AR58" s="26"/>
      <c r="AS58" s="26"/>
      <c r="AT58" s="26"/>
    </row>
    <row r="59" spans="1:46" ht="15.75">
      <c r="A59" s="312"/>
      <c r="B59" s="312"/>
      <c r="C59" s="312"/>
      <c r="D59" s="312"/>
      <c r="E59" s="312"/>
      <c r="F59" s="312"/>
      <c r="G59" s="312"/>
      <c r="H59" s="312"/>
      <c r="I59" s="312"/>
      <c r="J59" s="312"/>
      <c r="K59" s="312"/>
      <c r="L59" s="312"/>
      <c r="M59" s="312"/>
      <c r="N59" s="312"/>
      <c r="O59" s="312"/>
      <c r="P59" s="312"/>
      <c r="Q59" s="321"/>
      <c r="R59" s="497"/>
      <c r="S59" s="494">
        <f>SUM(S56:S58)</f>
        <v>1</v>
      </c>
      <c r="T59" s="501"/>
      <c r="U59" s="502"/>
      <c r="V59" s="26"/>
      <c r="W59" s="26"/>
      <c r="X59" s="30"/>
      <c r="Y59" s="431"/>
      <c r="Z59" s="415"/>
      <c r="AA59" s="30"/>
      <c r="AB59" s="26"/>
      <c r="AC59" s="30"/>
      <c r="AD59" s="30"/>
      <c r="AE59" s="415"/>
      <c r="AF59" s="414"/>
      <c r="AG59" s="26"/>
      <c r="AH59" s="415"/>
      <c r="AI59" s="26"/>
      <c r="AJ59" s="26"/>
      <c r="AK59" s="26"/>
      <c r="AL59" s="26"/>
      <c r="AM59" s="26"/>
      <c r="AN59" s="26"/>
      <c r="AO59" s="26"/>
      <c r="AP59" s="26"/>
      <c r="AQ59" s="26"/>
      <c r="AR59" s="26"/>
      <c r="AS59" s="26"/>
      <c r="AT59" s="26"/>
    </row>
    <row r="60" spans="1:46">
      <c r="A60" s="312"/>
      <c r="B60" s="312"/>
      <c r="C60" s="312"/>
      <c r="D60" s="312"/>
      <c r="E60" s="312"/>
      <c r="F60" s="312"/>
      <c r="G60" s="312"/>
      <c r="H60" s="312"/>
      <c r="I60" s="312"/>
      <c r="J60" s="312"/>
      <c r="K60" s="312"/>
      <c r="L60" s="312"/>
      <c r="M60" s="312"/>
      <c r="N60" s="312"/>
      <c r="O60" s="312"/>
      <c r="P60" s="312"/>
      <c r="Q60" s="321"/>
      <c r="R60" s="328"/>
      <c r="S60" s="26"/>
      <c r="T60" s="26"/>
      <c r="U60" s="26"/>
      <c r="V60" s="26"/>
      <c r="W60" s="26"/>
      <c r="X60" s="503"/>
      <c r="Y60" s="26"/>
      <c r="Z60" s="26"/>
      <c r="AA60" s="26"/>
      <c r="AB60" s="26"/>
      <c r="AC60" s="30"/>
      <c r="AD60" s="26"/>
      <c r="AE60" s="26"/>
      <c r="AF60" s="414"/>
      <c r="AG60" s="26"/>
      <c r="AH60" s="415"/>
      <c r="AI60" s="26"/>
      <c r="AJ60" s="26"/>
      <c r="AK60" s="26"/>
      <c r="AL60" s="414"/>
      <c r="AM60" s="414"/>
      <c r="AN60" s="414"/>
      <c r="AO60" s="414"/>
      <c r="AP60" s="414"/>
      <c r="AQ60" s="414"/>
      <c r="AR60" s="414"/>
      <c r="AS60" s="414"/>
      <c r="AT60" s="414"/>
    </row>
    <row r="61" spans="1:46">
      <c r="A61" s="312"/>
      <c r="B61" s="312"/>
      <c r="C61" s="312"/>
      <c r="D61" s="312"/>
      <c r="E61" s="474"/>
      <c r="F61" s="312"/>
      <c r="G61" s="312"/>
      <c r="H61" s="312"/>
      <c r="I61" s="312"/>
      <c r="J61" s="312"/>
      <c r="K61" s="312"/>
      <c r="L61" s="312"/>
      <c r="M61" s="312"/>
      <c r="N61" s="312"/>
      <c r="O61" s="312"/>
      <c r="P61" s="312"/>
      <c r="Q61" s="321"/>
      <c r="R61" s="328"/>
      <c r="S61" s="26"/>
      <c r="T61" s="26"/>
      <c r="U61" s="26"/>
      <c r="V61" s="26"/>
      <c r="W61" s="479" t="s">
        <v>1101</v>
      </c>
      <c r="X61" s="504"/>
      <c r="Y61" s="438" t="s">
        <v>1123</v>
      </c>
      <c r="Z61" s="439" t="s">
        <v>1039</v>
      </c>
      <c r="AA61" s="26"/>
      <c r="AB61" s="26"/>
      <c r="AC61" s="30"/>
      <c r="AD61" s="26"/>
      <c r="AE61" s="26"/>
      <c r="AF61" s="26"/>
      <c r="AG61" s="26"/>
      <c r="AH61" s="415"/>
      <c r="AI61" s="26"/>
      <c r="AJ61" s="26"/>
      <c r="AK61" s="26"/>
      <c r="AL61" s="414"/>
      <c r="AM61" s="414"/>
      <c r="AN61" s="414"/>
      <c r="AO61" s="414"/>
      <c r="AP61" s="414"/>
      <c r="AQ61" s="414"/>
      <c r="AR61" s="414"/>
      <c r="AS61" s="414"/>
      <c r="AT61" s="414"/>
    </row>
    <row r="62" spans="1:46">
      <c r="A62" s="312"/>
      <c r="B62" s="312"/>
      <c r="C62" s="312"/>
      <c r="D62" s="312"/>
      <c r="E62" s="312"/>
      <c r="F62" s="474"/>
      <c r="G62" s="474"/>
      <c r="H62" s="474"/>
      <c r="I62" s="474"/>
      <c r="J62" s="474"/>
      <c r="K62" s="474"/>
      <c r="L62" s="474"/>
      <c r="M62" s="474"/>
      <c r="N62" s="474"/>
      <c r="O62" s="312"/>
      <c r="P62" s="312"/>
      <c r="Q62" s="321"/>
      <c r="R62" s="328"/>
      <c r="S62" s="26"/>
      <c r="T62" s="26"/>
      <c r="U62" s="26"/>
      <c r="V62" s="26"/>
      <c r="W62" s="505"/>
      <c r="X62" s="506"/>
      <c r="Y62" s="506"/>
      <c r="Z62" s="507"/>
      <c r="AA62" s="26"/>
      <c r="AB62" s="26"/>
      <c r="AC62" s="30"/>
      <c r="AD62" s="30"/>
      <c r="AE62" s="415"/>
      <c r="AF62" s="26"/>
      <c r="AG62" s="26"/>
      <c r="AH62" s="415"/>
      <c r="AI62" s="26"/>
      <c r="AJ62" s="26"/>
      <c r="AK62" s="26"/>
      <c r="AL62" s="414"/>
      <c r="AM62" s="414"/>
      <c r="AN62" s="414"/>
      <c r="AO62" s="414"/>
      <c r="AP62" s="414"/>
      <c r="AQ62" s="414"/>
      <c r="AR62" s="414"/>
      <c r="AS62" s="414"/>
      <c r="AT62" s="414"/>
    </row>
    <row r="63" spans="1:46">
      <c r="A63" s="312"/>
      <c r="B63" s="312"/>
      <c r="C63" s="312"/>
      <c r="D63" s="312"/>
      <c r="E63" s="312"/>
      <c r="F63" s="312"/>
      <c r="G63" s="312"/>
      <c r="H63" s="312"/>
      <c r="I63" s="312"/>
      <c r="J63" s="312"/>
      <c r="K63" s="312"/>
      <c r="L63" s="312"/>
      <c r="M63" s="312"/>
      <c r="N63" s="312"/>
      <c r="O63" s="312"/>
      <c r="P63" s="312"/>
      <c r="Q63" s="321"/>
      <c r="R63" s="328"/>
      <c r="S63" s="26"/>
      <c r="T63" s="26"/>
      <c r="U63" s="26"/>
      <c r="V63" s="26"/>
      <c r="W63" s="321" t="s">
        <v>1103</v>
      </c>
      <c r="X63" s="506"/>
      <c r="Y63" s="452">
        <f t="shared" ref="Y63:Z68" ca="1" si="14">+J33</f>
        <v>0.35142377678688191</v>
      </c>
      <c r="Z63" s="452">
        <f ca="1">+K33</f>
        <v>0.28097638366163674</v>
      </c>
      <c r="AA63" s="26"/>
      <c r="AB63" s="26"/>
      <c r="AC63" s="30"/>
      <c r="AD63" s="30"/>
      <c r="AE63" s="415"/>
      <c r="AF63" s="414"/>
      <c r="AG63" s="26"/>
      <c r="AH63" s="415"/>
      <c r="AI63" s="26"/>
      <c r="AJ63" s="26"/>
      <c r="AK63" s="26"/>
      <c r="AL63" s="414"/>
      <c r="AM63" s="414"/>
      <c r="AN63" s="414"/>
      <c r="AO63" s="414"/>
      <c r="AP63" s="414"/>
      <c r="AQ63" s="414"/>
      <c r="AR63" s="414"/>
      <c r="AS63" s="414"/>
      <c r="AT63" s="414"/>
    </row>
    <row r="64" spans="1:46">
      <c r="A64" s="312"/>
      <c r="B64" s="312"/>
      <c r="C64" s="312"/>
      <c r="D64" s="312"/>
      <c r="E64" s="312"/>
      <c r="F64" s="312"/>
      <c r="G64" s="312"/>
      <c r="H64" s="312"/>
      <c r="I64" s="312"/>
      <c r="J64" s="312"/>
      <c r="K64" s="312"/>
      <c r="L64" s="312"/>
      <c r="M64" s="312"/>
      <c r="N64" s="312"/>
      <c r="O64" s="312"/>
      <c r="P64" s="312"/>
      <c r="Q64" s="321"/>
      <c r="R64" s="328"/>
      <c r="S64" s="26"/>
      <c r="T64" s="26"/>
      <c r="U64" s="26"/>
      <c r="V64" s="26"/>
      <c r="W64" s="321" t="s">
        <v>1104</v>
      </c>
      <c r="X64" s="506"/>
      <c r="Y64" s="452">
        <f t="shared" ca="1" si="14"/>
        <v>0.55910629464480321</v>
      </c>
      <c r="Z64" s="452">
        <f t="shared" ca="1" si="14"/>
        <v>0.44169397276939459</v>
      </c>
      <c r="AA64" s="26"/>
      <c r="AB64" s="26"/>
      <c r="AC64" s="30"/>
      <c r="AD64" s="30"/>
      <c r="AE64" s="415"/>
      <c r="AF64" s="414"/>
      <c r="AG64" s="26"/>
      <c r="AH64" s="415"/>
      <c r="AI64" s="26"/>
      <c r="AJ64" s="26"/>
      <c r="AK64" s="26"/>
      <c r="AL64" s="26"/>
      <c r="AM64" s="26"/>
      <c r="AN64" s="26"/>
      <c r="AO64" s="26"/>
      <c r="AP64" s="26"/>
      <c r="AQ64" s="26"/>
      <c r="AR64" s="26"/>
      <c r="AS64" s="26"/>
      <c r="AT64" s="26"/>
    </row>
    <row r="65" spans="1:46">
      <c r="A65" s="26" t="b">
        <v>1</v>
      </c>
      <c r="B65" s="508"/>
      <c r="C65" s="508"/>
      <c r="D65" s="508"/>
      <c r="E65" s="508"/>
      <c r="F65" s="312"/>
      <c r="G65" s="312"/>
      <c r="H65" s="312"/>
      <c r="I65" s="312"/>
      <c r="J65" s="312"/>
      <c r="K65" s="312"/>
      <c r="L65" s="312"/>
      <c r="M65" s="312"/>
      <c r="N65" s="312"/>
      <c r="O65" s="508"/>
      <c r="P65" s="508"/>
      <c r="Q65" s="321"/>
      <c r="R65" s="328"/>
      <c r="S65" s="26"/>
      <c r="T65" s="26"/>
      <c r="U65" s="26"/>
      <c r="V65" s="26"/>
      <c r="W65" s="321" t="s">
        <v>478</v>
      </c>
      <c r="X65" s="506"/>
      <c r="Y65" s="452">
        <f t="shared" ca="1" si="14"/>
        <v>0.96943000000000001</v>
      </c>
      <c r="Z65" s="452">
        <f t="shared" ca="1" si="14"/>
        <v>0.96945622510076113</v>
      </c>
      <c r="AA65" s="26"/>
      <c r="AB65" s="26"/>
      <c r="AC65" s="30"/>
      <c r="AD65" s="30"/>
      <c r="AE65" s="415"/>
      <c r="AF65" s="414"/>
      <c r="AG65" s="26"/>
      <c r="AH65" s="415"/>
      <c r="AI65" s="26"/>
      <c r="AJ65" s="26"/>
      <c r="AK65" s="26"/>
      <c r="AL65" s="26"/>
      <c r="AM65" s="26"/>
      <c r="AN65" s="26"/>
      <c r="AO65" s="26"/>
      <c r="AP65" s="26"/>
      <c r="AQ65" s="26"/>
      <c r="AR65" s="26"/>
      <c r="AS65" s="26"/>
      <c r="AT65" s="26"/>
    </row>
    <row r="66" spans="1:46">
      <c r="A66" s="26"/>
      <c r="B66" s="508"/>
      <c r="C66" s="508"/>
      <c r="D66" s="508"/>
      <c r="E66" s="508"/>
      <c r="F66" s="26"/>
      <c r="G66" s="26"/>
      <c r="H66" s="414"/>
      <c r="I66" s="414"/>
      <c r="J66" s="414"/>
      <c r="K66" s="414"/>
      <c r="L66" s="414"/>
      <c r="M66" s="414"/>
      <c r="N66" s="414"/>
      <c r="O66" s="414"/>
      <c r="P66" s="508"/>
      <c r="Q66" s="321"/>
      <c r="R66" s="328"/>
      <c r="S66" s="26"/>
      <c r="T66" s="26"/>
      <c r="U66" s="26"/>
      <c r="V66" s="26"/>
      <c r="W66" s="321" t="s">
        <v>1106</v>
      </c>
      <c r="X66" s="506"/>
      <c r="Y66" s="452">
        <f t="shared" ca="1" si="14"/>
        <v>3.0570000000000028E-2</v>
      </c>
      <c r="Z66" s="452">
        <f t="shared" ca="1" si="14"/>
        <v>3.0570000000000028E-2</v>
      </c>
      <c r="AA66" s="26"/>
      <c r="AB66" s="26"/>
      <c r="AC66" s="30"/>
      <c r="AD66" s="26"/>
      <c r="AE66" s="26"/>
      <c r="AF66" s="414"/>
      <c r="AG66" s="26"/>
      <c r="AH66" s="415"/>
      <c r="AI66" s="26"/>
      <c r="AJ66" s="26"/>
      <c r="AK66" s="26"/>
      <c r="AL66" s="414"/>
      <c r="AM66" s="26"/>
      <c r="AN66" s="26"/>
      <c r="AO66" s="26"/>
      <c r="AP66" s="26"/>
      <c r="AQ66" s="26"/>
      <c r="AR66" s="26"/>
      <c r="AS66" s="26"/>
      <c r="AT66" s="26"/>
    </row>
    <row r="67" spans="1:46">
      <c r="A67" s="26"/>
      <c r="B67" s="508"/>
      <c r="C67" s="508"/>
      <c r="D67" s="508"/>
      <c r="E67" s="508"/>
      <c r="F67" s="26"/>
      <c r="G67" s="26"/>
      <c r="H67" s="414"/>
      <c r="I67" s="414"/>
      <c r="J67" s="414"/>
      <c r="K67" s="414"/>
      <c r="L67" s="414"/>
      <c r="M67" s="414"/>
      <c r="N67" s="414"/>
      <c r="O67" s="414"/>
      <c r="P67" s="508"/>
      <c r="Q67" s="321"/>
      <c r="R67" s="328"/>
      <c r="S67" s="26"/>
      <c r="T67" s="26"/>
      <c r="U67" s="26"/>
      <c r="V67" s="26"/>
      <c r="W67" s="321" t="s">
        <v>1107</v>
      </c>
      <c r="X67" s="509"/>
      <c r="Y67" s="452">
        <f t="shared" ca="1" si="14"/>
        <v>11.505550218199355</v>
      </c>
      <c r="Z67" s="452">
        <f t="shared" ca="1" si="14"/>
        <v>11.505550218199355</v>
      </c>
      <c r="AA67" s="26"/>
      <c r="AB67" s="26"/>
      <c r="AC67" s="30"/>
      <c r="AD67" s="26"/>
      <c r="AE67" s="26"/>
      <c r="AF67" s="26"/>
      <c r="AG67" s="26"/>
      <c r="AH67" s="415"/>
      <c r="AI67" s="26"/>
      <c r="AJ67" s="26"/>
      <c r="AK67" s="26"/>
      <c r="AL67" s="26"/>
      <c r="AM67" s="26"/>
      <c r="AN67" s="26"/>
      <c r="AO67" s="26"/>
      <c r="AP67" s="26"/>
      <c r="AQ67" s="26"/>
      <c r="AR67" s="26"/>
      <c r="AS67" s="26"/>
      <c r="AT67" s="26"/>
    </row>
    <row r="68" spans="1:46">
      <c r="A68" s="26"/>
      <c r="B68" s="508"/>
      <c r="C68" s="508"/>
      <c r="D68" s="508"/>
      <c r="E68" s="508"/>
      <c r="F68" s="26"/>
      <c r="G68" s="26"/>
      <c r="H68" s="26"/>
      <c r="I68" s="26"/>
      <c r="J68" s="26"/>
      <c r="K68" s="26"/>
      <c r="L68" s="26"/>
      <c r="M68" s="26"/>
      <c r="N68" s="26"/>
      <c r="O68" s="414"/>
      <c r="P68" s="508"/>
      <c r="Q68" s="321"/>
      <c r="R68" s="328"/>
      <c r="S68" s="26"/>
      <c r="T68" s="26"/>
      <c r="U68" s="26"/>
      <c r="V68" s="26"/>
      <c r="W68" s="321" t="s">
        <v>3</v>
      </c>
      <c r="X68" s="510"/>
      <c r="Y68" s="452">
        <f t="shared" si="14"/>
        <v>0.21</v>
      </c>
      <c r="Z68" s="452">
        <f t="shared" si="14"/>
        <v>0.21</v>
      </c>
      <c r="AA68" s="26"/>
      <c r="AB68" s="26"/>
      <c r="AC68" s="30"/>
      <c r="AD68" s="30"/>
      <c r="AE68" s="415"/>
      <c r="AF68" s="26"/>
      <c r="AG68" s="26"/>
      <c r="AH68" s="415"/>
      <c r="AI68" s="26"/>
      <c r="AJ68" s="26"/>
      <c r="AK68" s="26"/>
      <c r="AL68" s="26"/>
      <c r="AM68" s="26"/>
      <c r="AN68" s="26"/>
      <c r="AO68" s="26"/>
      <c r="AP68" s="26"/>
      <c r="AQ68" s="26"/>
      <c r="AR68" s="26"/>
      <c r="AS68" s="26"/>
      <c r="AT68" s="26"/>
    </row>
    <row r="69" spans="1:46" ht="15.75">
      <c r="A69" s="26"/>
      <c r="B69" s="508"/>
      <c r="C69" s="508"/>
      <c r="D69" s="508"/>
      <c r="E69" s="508"/>
      <c r="F69" s="26"/>
      <c r="G69" s="26"/>
      <c r="H69" s="26"/>
      <c r="I69" s="26"/>
      <c r="J69" s="26"/>
      <c r="K69" s="26"/>
      <c r="L69" s="26"/>
      <c r="M69" s="26"/>
      <c r="N69" s="26"/>
      <c r="O69" s="414"/>
      <c r="P69" s="508"/>
      <c r="Q69" s="321"/>
      <c r="R69" s="328"/>
      <c r="S69" s="26"/>
      <c r="T69" s="26"/>
      <c r="U69" s="26"/>
      <c r="V69" s="26"/>
      <c r="W69" s="321"/>
      <c r="X69" s="445"/>
      <c r="Y69" s="495"/>
      <c r="Z69" s="511"/>
      <c r="AA69" s="26"/>
      <c r="AB69" s="26"/>
      <c r="AC69" s="30"/>
      <c r="AD69" s="30"/>
      <c r="AE69" s="415"/>
      <c r="AF69" s="414"/>
      <c r="AG69" s="26"/>
      <c r="AH69" s="415"/>
      <c r="AI69" s="26"/>
      <c r="AJ69" s="26"/>
      <c r="AK69" s="26"/>
      <c r="AL69" s="26"/>
      <c r="AM69" s="26"/>
      <c r="AN69" s="26"/>
      <c r="AO69" s="26"/>
      <c r="AP69" s="26"/>
      <c r="AQ69" s="26"/>
      <c r="AR69" s="26"/>
      <c r="AS69" s="26"/>
      <c r="AT69" s="26"/>
    </row>
    <row r="70" spans="1:46">
      <c r="A70" s="26"/>
      <c r="B70" s="508"/>
      <c r="C70" s="508"/>
      <c r="D70" s="508"/>
      <c r="E70" s="508"/>
      <c r="F70" s="26"/>
      <c r="G70" s="26"/>
      <c r="H70" s="26"/>
      <c r="I70" s="26"/>
      <c r="J70" s="26"/>
      <c r="K70" s="26"/>
      <c r="L70" s="26"/>
      <c r="M70" s="26"/>
      <c r="N70" s="26"/>
      <c r="O70" s="414"/>
      <c r="P70" s="508"/>
      <c r="Q70" s="321"/>
      <c r="R70" s="328"/>
      <c r="S70" s="26"/>
      <c r="T70" s="26"/>
      <c r="U70" s="26"/>
      <c r="V70" s="26"/>
      <c r="W70" s="497"/>
      <c r="X70" s="512"/>
      <c r="Y70" s="513"/>
      <c r="Z70" s="514"/>
      <c r="AA70" s="30"/>
      <c r="AB70" s="26"/>
      <c r="AC70" s="30"/>
      <c r="AD70" s="30"/>
      <c r="AE70" s="415"/>
      <c r="AF70" s="414"/>
      <c r="AG70" s="26"/>
      <c r="AH70" s="415"/>
      <c r="AI70" s="26"/>
      <c r="AJ70" s="26"/>
      <c r="AK70" s="26"/>
      <c r="AL70" s="26"/>
      <c r="AM70" s="26"/>
      <c r="AN70" s="26"/>
      <c r="AO70" s="26"/>
      <c r="AP70" s="26"/>
      <c r="AQ70" s="26"/>
      <c r="AR70" s="26"/>
      <c r="AS70" s="26"/>
      <c r="AT70" s="26"/>
    </row>
    <row r="71" spans="1:46">
      <c r="A71" s="26"/>
      <c r="B71" s="508"/>
      <c r="C71" s="508"/>
      <c r="D71" s="508"/>
      <c r="E71" s="508"/>
      <c r="F71" s="26"/>
      <c r="G71" s="26"/>
      <c r="H71" s="26"/>
      <c r="I71" s="26"/>
      <c r="J71" s="26"/>
      <c r="K71" s="26"/>
      <c r="L71" s="26"/>
      <c r="M71" s="26"/>
      <c r="N71" s="26"/>
      <c r="O71" s="508"/>
      <c r="P71" s="508"/>
      <c r="Q71" s="321"/>
      <c r="R71" s="328"/>
      <c r="S71" s="26"/>
      <c r="T71" s="26"/>
      <c r="U71" s="26"/>
      <c r="V71" s="26"/>
      <c r="W71" s="26"/>
      <c r="X71" s="30"/>
      <c r="Y71" s="431"/>
      <c r="Z71" s="415"/>
      <c r="AA71" s="30"/>
      <c r="AB71" s="26"/>
      <c r="AC71" s="30"/>
      <c r="AD71" s="30"/>
      <c r="AE71" s="415"/>
      <c r="AF71" s="414"/>
      <c r="AG71" s="26"/>
      <c r="AH71" s="415"/>
      <c r="AI71" s="26"/>
      <c r="AJ71" s="26"/>
      <c r="AK71" s="26"/>
      <c r="AL71" s="26"/>
      <c r="AM71" s="26"/>
      <c r="AN71" s="26"/>
      <c r="AO71" s="26"/>
      <c r="AP71" s="26"/>
      <c r="AQ71" s="26"/>
      <c r="AR71" s="26"/>
      <c r="AS71" s="26"/>
      <c r="AT71" s="26"/>
    </row>
    <row r="72" spans="1:46">
      <c r="A72" s="26"/>
      <c r="B72" s="508"/>
      <c r="C72" s="508"/>
      <c r="D72" s="508"/>
      <c r="E72" s="508"/>
      <c r="F72" s="26"/>
      <c r="G72" s="26"/>
      <c r="H72" s="26"/>
      <c r="I72" s="26"/>
      <c r="J72" s="26"/>
      <c r="K72" s="26"/>
      <c r="L72" s="26"/>
      <c r="M72" s="26"/>
      <c r="N72" s="26"/>
      <c r="O72" s="508"/>
      <c r="P72" s="508"/>
      <c r="Q72" s="321"/>
      <c r="R72" s="328"/>
      <c r="S72" s="26"/>
      <c r="T72" s="26"/>
      <c r="U72" s="26"/>
      <c r="V72" s="26"/>
      <c r="W72" s="26"/>
      <c r="X72" s="26"/>
      <c r="Y72" s="26"/>
      <c r="Z72" s="26"/>
      <c r="AA72" s="26"/>
      <c r="AB72" s="26"/>
      <c r="AC72" s="30"/>
      <c r="AD72" s="26"/>
      <c r="AE72" s="26"/>
      <c r="AF72" s="414"/>
      <c r="AG72" s="26"/>
      <c r="AH72" s="415"/>
      <c r="AI72" s="26"/>
      <c r="AJ72" s="26"/>
      <c r="AK72" s="26"/>
      <c r="AL72" s="26"/>
      <c r="AM72" s="26"/>
      <c r="AN72" s="26"/>
      <c r="AO72" s="26"/>
      <c r="AP72" s="26"/>
      <c r="AQ72" s="26"/>
      <c r="AR72" s="26"/>
      <c r="AS72" s="26"/>
      <c r="AT72" s="26"/>
    </row>
    <row r="73" spans="1:46">
      <c r="A73" s="26"/>
      <c r="B73" s="508"/>
      <c r="C73" s="508"/>
      <c r="D73" s="508"/>
      <c r="E73" s="508"/>
      <c r="F73" s="26"/>
      <c r="G73" s="26"/>
      <c r="H73" s="26"/>
      <c r="I73" s="26"/>
      <c r="J73" s="26"/>
      <c r="K73" s="26"/>
      <c r="L73" s="26"/>
      <c r="M73" s="26"/>
      <c r="N73" s="26"/>
      <c r="O73" s="508"/>
      <c r="P73" s="508"/>
      <c r="Q73" s="321"/>
      <c r="R73" s="328"/>
      <c r="S73" s="26"/>
      <c r="T73" s="26"/>
      <c r="U73" s="26"/>
      <c r="V73" s="26"/>
      <c r="W73" s="26"/>
      <c r="X73" s="26"/>
      <c r="Y73" s="328"/>
      <c r="Z73" s="328"/>
      <c r="AA73" s="328"/>
      <c r="AB73" s="26"/>
      <c r="AC73" s="30"/>
      <c r="AD73" s="26"/>
      <c r="AE73" s="26"/>
      <c r="AF73" s="26"/>
      <c r="AG73" s="26"/>
      <c r="AH73" s="415"/>
      <c r="AI73" s="26"/>
      <c r="AJ73" s="26"/>
      <c r="AK73" s="26"/>
      <c r="AL73" s="26"/>
      <c r="AM73" s="26"/>
      <c r="AN73" s="26"/>
      <c r="AO73" s="26"/>
      <c r="AP73" s="26"/>
      <c r="AQ73" s="26"/>
      <c r="AR73" s="26"/>
      <c r="AS73" s="26"/>
      <c r="AT73" s="26"/>
    </row>
    <row r="74" spans="1:46">
      <c r="A74" s="26"/>
      <c r="B74" s="508"/>
      <c r="C74" s="508"/>
      <c r="D74" s="508"/>
      <c r="E74" s="508"/>
      <c r="F74" s="26"/>
      <c r="G74" s="26"/>
      <c r="H74" s="26"/>
      <c r="I74" s="26"/>
      <c r="J74" s="26"/>
      <c r="K74" s="26"/>
      <c r="L74" s="26"/>
      <c r="M74" s="26"/>
      <c r="N74" s="26"/>
      <c r="O74" s="508"/>
      <c r="P74" s="508"/>
      <c r="Q74" s="321"/>
      <c r="R74" s="328"/>
      <c r="S74" s="26"/>
      <c r="T74" s="26"/>
      <c r="U74" s="26"/>
      <c r="V74" s="26"/>
      <c r="W74" s="26"/>
      <c r="X74" s="30"/>
      <c r="Y74" s="431"/>
      <c r="Z74" s="415"/>
      <c r="AA74" s="30"/>
      <c r="AB74" s="26"/>
      <c r="AC74" s="30"/>
      <c r="AD74" s="30"/>
      <c r="AE74" s="415"/>
      <c r="AF74" s="26"/>
      <c r="AG74" s="26"/>
      <c r="AH74" s="415"/>
      <c r="AI74" s="26"/>
      <c r="AJ74" s="26"/>
      <c r="AK74" s="26"/>
      <c r="AL74" s="26"/>
      <c r="AM74" s="26"/>
      <c r="AN74" s="26"/>
      <c r="AO74" s="26"/>
      <c r="AP74" s="26"/>
      <c r="AQ74" s="26"/>
      <c r="AR74" s="26"/>
      <c r="AS74" s="26"/>
      <c r="AT74" s="26"/>
    </row>
    <row r="75" spans="1:46">
      <c r="A75" s="26"/>
      <c r="B75" s="508"/>
      <c r="C75" s="508"/>
      <c r="D75" s="508"/>
      <c r="E75" s="508"/>
      <c r="F75" s="26"/>
      <c r="G75" s="26"/>
      <c r="H75" s="26"/>
      <c r="I75" s="26"/>
      <c r="J75" s="26"/>
      <c r="K75" s="26"/>
      <c r="L75" s="26"/>
      <c r="M75" s="26"/>
      <c r="N75" s="26"/>
      <c r="O75" s="508"/>
      <c r="P75" s="508"/>
      <c r="Q75" s="321"/>
      <c r="R75" s="328"/>
      <c r="S75" s="26"/>
      <c r="T75" s="26"/>
      <c r="U75" s="26"/>
      <c r="V75" s="26"/>
      <c r="W75" s="26"/>
      <c r="X75" s="30"/>
      <c r="Y75" s="431"/>
      <c r="Z75" s="415"/>
      <c r="AA75" s="30"/>
      <c r="AB75" s="26"/>
      <c r="AC75" s="30"/>
      <c r="AD75" s="30"/>
      <c r="AE75" s="415"/>
      <c r="AF75" s="414"/>
      <c r="AG75" s="26"/>
      <c r="AH75" s="415"/>
      <c r="AI75" s="26"/>
      <c r="AJ75" s="26"/>
      <c r="AK75" s="26"/>
      <c r="AL75" s="26"/>
      <c r="AM75" s="26"/>
      <c r="AN75" s="26"/>
      <c r="AO75" s="26"/>
      <c r="AP75" s="26"/>
      <c r="AQ75" s="26"/>
      <c r="AR75" s="26"/>
      <c r="AS75" s="26"/>
      <c r="AT75" s="26"/>
    </row>
    <row r="76" spans="1:46">
      <c r="A76" s="26"/>
      <c r="B76" s="508"/>
      <c r="C76" s="508"/>
      <c r="D76" s="508"/>
      <c r="E76" s="508"/>
      <c r="F76" s="26"/>
      <c r="G76" s="26"/>
      <c r="H76" s="26"/>
      <c r="I76" s="26"/>
      <c r="J76" s="26"/>
      <c r="K76" s="26"/>
      <c r="L76" s="26"/>
      <c r="M76" s="26"/>
      <c r="N76" s="26"/>
      <c r="O76" s="508"/>
      <c r="P76" s="508"/>
      <c r="Q76" s="321"/>
      <c r="R76" s="328"/>
      <c r="S76" s="26"/>
      <c r="T76" s="26"/>
      <c r="U76" s="26"/>
      <c r="V76" s="26"/>
      <c r="W76" s="26"/>
      <c r="X76" s="30"/>
      <c r="Y76" s="431"/>
      <c r="Z76" s="415"/>
      <c r="AA76" s="30"/>
      <c r="AB76" s="26"/>
      <c r="AC76" s="30"/>
      <c r="AD76" s="30"/>
      <c r="AE76" s="415"/>
      <c r="AF76" s="414"/>
      <c r="AG76" s="26"/>
      <c r="AH76" s="415"/>
      <c r="AI76" s="26"/>
      <c r="AJ76" s="26"/>
      <c r="AK76" s="26"/>
      <c r="AL76" s="26"/>
      <c r="AM76" s="26"/>
      <c r="AN76" s="26"/>
      <c r="AO76" s="26"/>
      <c r="AP76" s="26"/>
      <c r="AQ76" s="26"/>
      <c r="AR76" s="26"/>
      <c r="AS76" s="26"/>
      <c r="AT76" s="26"/>
    </row>
    <row r="77" spans="1:46">
      <c r="A77" s="26"/>
      <c r="B77" s="508"/>
      <c r="C77" s="508"/>
      <c r="D77" s="508"/>
      <c r="E77" s="508"/>
      <c r="F77" s="26"/>
      <c r="G77" s="26"/>
      <c r="H77" s="26"/>
      <c r="I77" s="26"/>
      <c r="J77" s="26"/>
      <c r="K77" s="26"/>
      <c r="L77" s="26"/>
      <c r="M77" s="26"/>
      <c r="N77" s="26"/>
      <c r="O77" s="508"/>
      <c r="P77" s="508"/>
      <c r="Q77" s="321"/>
      <c r="R77" s="328"/>
      <c r="S77" s="26"/>
      <c r="T77" s="26"/>
      <c r="U77" s="26"/>
      <c r="V77" s="26"/>
      <c r="W77" s="26"/>
      <c r="X77" s="30"/>
      <c r="Y77" s="431"/>
      <c r="Z77" s="415"/>
      <c r="AA77" s="30"/>
      <c r="AB77" s="26"/>
      <c r="AC77" s="30"/>
      <c r="AD77" s="30"/>
      <c r="AE77" s="415"/>
      <c r="AF77" s="414"/>
      <c r="AG77" s="26"/>
      <c r="AH77" s="415"/>
      <c r="AI77" s="26"/>
      <c r="AJ77" s="26"/>
      <c r="AK77" s="26"/>
      <c r="AL77" s="26"/>
      <c r="AM77" s="26"/>
      <c r="AN77" s="26"/>
      <c r="AO77" s="26"/>
      <c r="AP77" s="26"/>
      <c r="AQ77" s="26"/>
      <c r="AR77" s="26"/>
      <c r="AS77" s="26"/>
      <c r="AT77" s="26"/>
    </row>
    <row r="78" spans="1:46">
      <c r="A78" s="26"/>
      <c r="B78" s="508"/>
      <c r="C78" s="508"/>
      <c r="D78" s="508"/>
      <c r="E78" s="508"/>
      <c r="F78" s="26"/>
      <c r="G78" s="26"/>
      <c r="H78" s="26"/>
      <c r="I78" s="26"/>
      <c r="J78" s="26"/>
      <c r="K78" s="26"/>
      <c r="L78" s="26"/>
      <c r="M78" s="26"/>
      <c r="N78" s="26"/>
      <c r="O78" s="508"/>
      <c r="P78" s="508"/>
      <c r="Q78" s="321"/>
      <c r="R78" s="328"/>
      <c r="S78" s="26"/>
      <c r="T78" s="26"/>
      <c r="U78" s="26"/>
      <c r="V78" s="26"/>
      <c r="W78" s="26"/>
      <c r="X78" s="26"/>
      <c r="Y78" s="26"/>
      <c r="Z78" s="26"/>
      <c r="AA78" s="26"/>
      <c r="AB78" s="26"/>
      <c r="AC78" s="30"/>
      <c r="AD78" s="26"/>
      <c r="AE78" s="26"/>
      <c r="AF78" s="414"/>
      <c r="AG78" s="26"/>
      <c r="AH78" s="415"/>
      <c r="AI78" s="26"/>
      <c r="AJ78" s="26"/>
      <c r="AK78" s="26"/>
      <c r="AL78" s="26"/>
      <c r="AM78" s="26"/>
      <c r="AN78" s="26"/>
      <c r="AO78" s="26"/>
      <c r="AP78" s="26"/>
      <c r="AQ78" s="26"/>
      <c r="AR78" s="26"/>
      <c r="AS78" s="26"/>
      <c r="AT78" s="26"/>
    </row>
    <row r="79" spans="1:46">
      <c r="A79" s="26"/>
      <c r="B79" s="508"/>
      <c r="C79" s="508"/>
      <c r="D79" s="508"/>
      <c r="E79" s="508"/>
      <c r="F79" s="26"/>
      <c r="G79" s="26"/>
      <c r="H79" s="26"/>
      <c r="I79" s="26"/>
      <c r="J79" s="26"/>
      <c r="K79" s="26"/>
      <c r="L79" s="26"/>
      <c r="M79" s="26"/>
      <c r="N79" s="26"/>
      <c r="O79" s="508"/>
      <c r="P79" s="508"/>
      <c r="Q79" s="321"/>
      <c r="R79" s="328"/>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row>
    <row r="80" spans="1:46">
      <c r="A80" s="26"/>
      <c r="B80" s="508"/>
      <c r="C80" s="508"/>
      <c r="D80" s="508"/>
      <c r="E80" s="508"/>
      <c r="F80" s="26"/>
      <c r="G80" s="26"/>
      <c r="H80" s="26"/>
      <c r="I80" s="26"/>
      <c r="J80" s="26"/>
      <c r="K80" s="26"/>
      <c r="L80" s="26"/>
      <c r="M80" s="26"/>
      <c r="N80" s="26"/>
      <c r="O80" s="508"/>
      <c r="P80" s="508"/>
      <c r="Q80" s="321"/>
      <c r="R80" s="328"/>
      <c r="S80" s="26"/>
      <c r="T80" s="26"/>
      <c r="U80" s="26"/>
      <c r="V80" s="26"/>
      <c r="W80" s="26"/>
      <c r="X80" s="30"/>
      <c r="Y80" s="431"/>
      <c r="Z80" s="415"/>
      <c r="AA80" s="30"/>
      <c r="AB80" s="26"/>
      <c r="AC80" s="26"/>
      <c r="AD80" s="30"/>
      <c r="AE80" s="415"/>
      <c r="AF80" s="26"/>
      <c r="AG80" s="26"/>
      <c r="AH80" s="26"/>
      <c r="AI80" s="26"/>
      <c r="AJ80" s="26"/>
      <c r="AK80" s="26"/>
      <c r="AL80" s="26"/>
      <c r="AM80" s="26"/>
      <c r="AN80" s="26"/>
      <c r="AO80" s="26"/>
      <c r="AP80" s="26"/>
      <c r="AQ80" s="26"/>
      <c r="AR80" s="26"/>
      <c r="AS80" s="26"/>
      <c r="AT80" s="26"/>
    </row>
    <row r="81" spans="1:46">
      <c r="A81" s="26"/>
      <c r="B81" s="508"/>
      <c r="C81" s="508"/>
      <c r="D81" s="508"/>
      <c r="E81" s="508"/>
      <c r="F81" s="26"/>
      <c r="G81" s="26"/>
      <c r="H81" s="26"/>
      <c r="I81" s="26"/>
      <c r="J81" s="26"/>
      <c r="K81" s="26"/>
      <c r="L81" s="26"/>
      <c r="M81" s="26"/>
      <c r="N81" s="26"/>
      <c r="O81" s="508"/>
      <c r="P81" s="508"/>
      <c r="Q81" s="321"/>
      <c r="R81" s="328"/>
      <c r="S81" s="26"/>
      <c r="T81" s="26"/>
      <c r="U81" s="26"/>
      <c r="V81" s="26"/>
      <c r="W81" s="26"/>
      <c r="X81" s="30"/>
      <c r="Y81" s="431"/>
      <c r="Z81" s="415"/>
      <c r="AA81" s="30"/>
      <c r="AB81" s="26"/>
      <c r="AC81" s="26"/>
      <c r="AD81" s="30"/>
      <c r="AE81" s="415"/>
      <c r="AF81" s="414"/>
      <c r="AG81" s="26"/>
      <c r="AH81" s="26"/>
      <c r="AI81" s="26"/>
      <c r="AJ81" s="26"/>
      <c r="AK81" s="26"/>
      <c r="AL81" s="26"/>
      <c r="AM81" s="26"/>
      <c r="AN81" s="26"/>
      <c r="AO81" s="26"/>
      <c r="AP81" s="26"/>
      <c r="AQ81" s="26"/>
      <c r="AR81" s="26"/>
      <c r="AS81" s="26"/>
      <c r="AT81" s="26"/>
    </row>
    <row r="82" spans="1:46">
      <c r="A82" s="26"/>
      <c r="B82" s="508"/>
      <c r="C82" s="508"/>
      <c r="D82" s="508"/>
      <c r="E82" s="508"/>
      <c r="F82" s="26"/>
      <c r="G82" s="26"/>
      <c r="H82" s="26"/>
      <c r="I82" s="26"/>
      <c r="J82" s="26"/>
      <c r="K82" s="26"/>
      <c r="L82" s="26"/>
      <c r="M82" s="26"/>
      <c r="N82" s="26"/>
      <c r="O82" s="508"/>
      <c r="P82" s="508"/>
      <c r="Q82" s="321"/>
      <c r="R82" s="328"/>
      <c r="S82" s="26"/>
      <c r="T82" s="26"/>
      <c r="U82" s="26"/>
      <c r="V82" s="26"/>
      <c r="W82" s="26"/>
      <c r="X82" s="30"/>
      <c r="Y82" s="431"/>
      <c r="Z82" s="415"/>
      <c r="AA82" s="30"/>
      <c r="AB82" s="26"/>
      <c r="AC82" s="26"/>
      <c r="AD82" s="30"/>
      <c r="AE82" s="415"/>
      <c r="AF82" s="414"/>
      <c r="AG82" s="26"/>
      <c r="AH82" s="26"/>
      <c r="AI82" s="26"/>
      <c r="AJ82" s="26"/>
      <c r="AK82" s="26"/>
      <c r="AL82" s="26"/>
      <c r="AM82" s="26"/>
      <c r="AN82" s="26"/>
      <c r="AO82" s="26"/>
      <c r="AP82" s="26"/>
      <c r="AQ82" s="26"/>
      <c r="AR82" s="26"/>
      <c r="AS82" s="26"/>
      <c r="AT82" s="26"/>
    </row>
    <row r="83" spans="1:46">
      <c r="A83" s="26"/>
      <c r="B83" s="508"/>
      <c r="C83" s="508"/>
      <c r="D83" s="508"/>
      <c r="E83" s="508"/>
      <c r="F83" s="26"/>
      <c r="G83" s="26"/>
      <c r="H83" s="26"/>
      <c r="I83" s="26"/>
      <c r="J83" s="26"/>
      <c r="K83" s="26"/>
      <c r="L83" s="26"/>
      <c r="M83" s="26"/>
      <c r="N83" s="26"/>
      <c r="O83" s="508"/>
      <c r="P83" s="508"/>
      <c r="Q83" s="321"/>
      <c r="R83" s="328"/>
      <c r="S83" s="26"/>
      <c r="T83" s="26"/>
      <c r="U83" s="26"/>
      <c r="V83" s="26"/>
      <c r="W83" s="26"/>
      <c r="X83" s="30"/>
      <c r="Y83" s="431"/>
      <c r="Z83" s="415"/>
      <c r="AA83" s="30"/>
      <c r="AB83" s="26"/>
      <c r="AC83" s="26"/>
      <c r="AD83" s="30"/>
      <c r="AE83" s="415"/>
      <c r="AF83" s="414"/>
      <c r="AG83" s="26"/>
      <c r="AH83" s="26"/>
      <c r="AI83" s="26"/>
      <c r="AJ83" s="26"/>
      <c r="AK83" s="26"/>
      <c r="AL83" s="26"/>
      <c r="AM83" s="26"/>
      <c r="AN83" s="26"/>
      <c r="AO83" s="26"/>
      <c r="AP83" s="26"/>
      <c r="AQ83" s="26"/>
      <c r="AR83" s="26"/>
      <c r="AS83" s="26"/>
      <c r="AT83" s="26"/>
    </row>
    <row r="84" spans="1:46">
      <c r="A84" s="26"/>
      <c r="B84" s="508"/>
      <c r="C84" s="508"/>
      <c r="D84" s="508"/>
      <c r="E84" s="508"/>
      <c r="F84" s="26"/>
      <c r="G84" s="26"/>
      <c r="H84" s="26"/>
      <c r="I84" s="26"/>
      <c r="J84" s="26"/>
      <c r="K84" s="26"/>
      <c r="L84" s="26"/>
      <c r="M84" s="26"/>
      <c r="N84" s="26"/>
      <c r="O84" s="508"/>
      <c r="P84" s="508"/>
      <c r="Q84" s="321"/>
      <c r="R84" s="328"/>
      <c r="S84" s="26"/>
      <c r="T84" s="26"/>
      <c r="U84" s="26"/>
      <c r="V84" s="26"/>
      <c r="W84" s="26"/>
      <c r="X84" s="26"/>
      <c r="Y84" s="26"/>
      <c r="Z84" s="26"/>
      <c r="AA84" s="26"/>
      <c r="AB84" s="26"/>
      <c r="AC84" s="26"/>
      <c r="AD84" s="26"/>
      <c r="AE84" s="26"/>
      <c r="AF84" s="414"/>
      <c r="AG84" s="26"/>
      <c r="AH84" s="26"/>
      <c r="AI84" s="26"/>
      <c r="AJ84" s="26"/>
      <c r="AK84" s="26"/>
      <c r="AL84" s="26"/>
      <c r="AM84" s="26"/>
      <c r="AN84" s="26"/>
      <c r="AO84" s="26"/>
      <c r="AP84" s="26"/>
      <c r="AQ84" s="26"/>
      <c r="AR84" s="26"/>
      <c r="AS84" s="26"/>
      <c r="AT84" s="26"/>
    </row>
    <row r="85" spans="1:46">
      <c r="A85" s="26"/>
      <c r="B85" s="508"/>
      <c r="C85" s="508"/>
      <c r="D85" s="508"/>
      <c r="E85" s="508"/>
      <c r="F85" s="26"/>
      <c r="G85" s="26"/>
      <c r="H85" s="26"/>
      <c r="I85" s="26"/>
      <c r="J85" s="26"/>
      <c r="K85" s="26"/>
      <c r="L85" s="26"/>
      <c r="M85" s="26"/>
      <c r="N85" s="26"/>
      <c r="O85" s="508"/>
      <c r="P85" s="508"/>
      <c r="Q85" s="321"/>
      <c r="R85" s="328"/>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row>
    <row r="86" spans="1:46">
      <c r="A86" s="26"/>
      <c r="B86" s="508"/>
      <c r="C86" s="508"/>
      <c r="D86" s="508"/>
      <c r="E86" s="508"/>
      <c r="F86" s="26"/>
      <c r="G86" s="26"/>
      <c r="H86" s="26"/>
      <c r="I86" s="26"/>
      <c r="J86" s="26"/>
      <c r="K86" s="26"/>
      <c r="L86" s="26"/>
      <c r="M86" s="26"/>
      <c r="N86" s="26"/>
      <c r="O86" s="508"/>
      <c r="P86" s="508"/>
      <c r="Q86" s="321"/>
      <c r="R86" s="328"/>
      <c r="S86" s="26"/>
      <c r="T86" s="26"/>
      <c r="U86" s="26"/>
      <c r="V86" s="26"/>
      <c r="W86" s="26"/>
      <c r="X86" s="30"/>
      <c r="Y86" s="431"/>
      <c r="Z86" s="415"/>
      <c r="AA86" s="30"/>
      <c r="AB86" s="26"/>
      <c r="AC86" s="26"/>
      <c r="AD86" s="30"/>
      <c r="AE86" s="415"/>
      <c r="AF86" s="26"/>
      <c r="AG86" s="26"/>
      <c r="AH86" s="26"/>
      <c r="AI86" s="26"/>
      <c r="AJ86" s="26"/>
      <c r="AK86" s="26"/>
      <c r="AL86" s="26"/>
      <c r="AM86" s="26"/>
      <c r="AN86" s="26"/>
      <c r="AO86" s="26"/>
      <c r="AP86" s="26"/>
      <c r="AQ86" s="26"/>
      <c r="AR86" s="26"/>
      <c r="AS86" s="26"/>
      <c r="AT86" s="26"/>
    </row>
    <row r="87" spans="1:46">
      <c r="A87" s="26"/>
      <c r="B87" s="508"/>
      <c r="C87" s="508"/>
      <c r="D87" s="508"/>
      <c r="E87" s="508"/>
      <c r="F87" s="26"/>
      <c r="G87" s="26"/>
      <c r="H87" s="26"/>
      <c r="I87" s="26"/>
      <c r="J87" s="26"/>
      <c r="K87" s="26"/>
      <c r="L87" s="26"/>
      <c r="M87" s="26"/>
      <c r="N87" s="26"/>
      <c r="O87" s="508"/>
      <c r="P87" s="508"/>
      <c r="Q87" s="321"/>
      <c r="R87" s="328"/>
      <c r="S87" s="26"/>
      <c r="T87" s="26"/>
      <c r="U87" s="26"/>
      <c r="V87" s="26"/>
      <c r="W87" s="26"/>
      <c r="X87" s="30"/>
      <c r="Y87" s="431"/>
      <c r="Z87" s="415"/>
      <c r="AA87" s="30"/>
      <c r="AB87" s="26"/>
      <c r="AC87" s="26"/>
      <c r="AD87" s="30"/>
      <c r="AE87" s="415"/>
      <c r="AF87" s="414"/>
      <c r="AG87" s="26"/>
      <c r="AH87" s="26"/>
      <c r="AI87" s="26"/>
      <c r="AJ87" s="26"/>
      <c r="AK87" s="26"/>
      <c r="AL87" s="26"/>
      <c r="AM87" s="26"/>
      <c r="AN87" s="26"/>
      <c r="AO87" s="26"/>
      <c r="AP87" s="26"/>
      <c r="AQ87" s="26"/>
      <c r="AR87" s="26"/>
      <c r="AS87" s="26"/>
      <c r="AT87" s="26"/>
    </row>
    <row r="88" spans="1:46">
      <c r="A88" s="26"/>
      <c r="B88" s="508"/>
      <c r="C88" s="508"/>
      <c r="D88" s="508"/>
      <c r="E88" s="508"/>
      <c r="F88" s="26"/>
      <c r="G88" s="26"/>
      <c r="H88" s="26"/>
      <c r="I88" s="26"/>
      <c r="J88" s="26"/>
      <c r="K88" s="26"/>
      <c r="L88" s="26"/>
      <c r="M88" s="26"/>
      <c r="N88" s="26"/>
      <c r="O88" s="508"/>
      <c r="P88" s="508"/>
      <c r="Q88" s="321"/>
      <c r="R88" s="328"/>
      <c r="S88" s="26"/>
      <c r="T88" s="26"/>
      <c r="U88" s="26"/>
      <c r="V88" s="26"/>
      <c r="W88" s="26"/>
      <c r="X88" s="30"/>
      <c r="Y88" s="431"/>
      <c r="Z88" s="415"/>
      <c r="AA88" s="30"/>
      <c r="AB88" s="26"/>
      <c r="AC88" s="26"/>
      <c r="AD88" s="30"/>
      <c r="AE88" s="415"/>
      <c r="AF88" s="414"/>
      <c r="AG88" s="26"/>
      <c r="AH88" s="26"/>
      <c r="AI88" s="26"/>
      <c r="AJ88" s="26"/>
      <c r="AK88" s="26"/>
      <c r="AL88" s="26"/>
      <c r="AM88" s="26"/>
      <c r="AN88" s="26"/>
      <c r="AO88" s="26"/>
      <c r="AP88" s="26"/>
      <c r="AQ88" s="26"/>
      <c r="AR88" s="26"/>
      <c r="AS88" s="26"/>
      <c r="AT88" s="26"/>
    </row>
    <row r="89" spans="1:46">
      <c r="A89" s="26"/>
      <c r="B89" s="508"/>
      <c r="C89" s="508"/>
      <c r="D89" s="508"/>
      <c r="E89" s="508"/>
      <c r="F89" s="26"/>
      <c r="G89" s="26"/>
      <c r="H89" s="26"/>
      <c r="I89" s="26"/>
      <c r="J89" s="26"/>
      <c r="K89" s="26"/>
      <c r="L89" s="26"/>
      <c r="M89" s="26"/>
      <c r="N89" s="26"/>
      <c r="O89" s="508"/>
      <c r="P89" s="508"/>
      <c r="Q89" s="321"/>
      <c r="R89" s="328"/>
      <c r="S89" s="26"/>
      <c r="T89" s="26"/>
      <c r="U89" s="26"/>
      <c r="V89" s="26"/>
      <c r="W89" s="26"/>
      <c r="X89" s="30"/>
      <c r="Y89" s="431"/>
      <c r="Z89" s="415"/>
      <c r="AA89" s="30"/>
      <c r="AB89" s="26"/>
      <c r="AC89" s="26"/>
      <c r="AD89" s="30"/>
      <c r="AE89" s="415"/>
      <c r="AF89" s="414"/>
      <c r="AG89" s="26"/>
      <c r="AH89" s="26"/>
      <c r="AI89" s="26"/>
      <c r="AJ89" s="26"/>
      <c r="AK89" s="26"/>
      <c r="AL89" s="26"/>
      <c r="AM89" s="26"/>
      <c r="AN89" s="26"/>
      <c r="AO89" s="26"/>
      <c r="AP89" s="26"/>
      <c r="AQ89" s="26"/>
      <c r="AR89" s="26"/>
      <c r="AS89" s="26"/>
      <c r="AT89" s="26"/>
    </row>
    <row r="90" spans="1:46">
      <c r="A90" s="26"/>
      <c r="B90" s="508"/>
      <c r="C90" s="508"/>
      <c r="D90" s="508"/>
      <c r="E90" s="508"/>
      <c r="F90" s="26"/>
      <c r="G90" s="26"/>
      <c r="H90" s="26"/>
      <c r="I90" s="26"/>
      <c r="J90" s="26"/>
      <c r="K90" s="26"/>
      <c r="L90" s="26"/>
      <c r="M90" s="26"/>
      <c r="N90" s="26"/>
      <c r="O90" s="508"/>
      <c r="P90" s="508"/>
      <c r="Q90" s="321"/>
      <c r="R90" s="328"/>
      <c r="S90" s="26"/>
      <c r="T90" s="26"/>
      <c r="U90" s="26"/>
      <c r="V90" s="26"/>
      <c r="W90" s="26"/>
      <c r="X90" s="26"/>
      <c r="Y90" s="26"/>
      <c r="Z90" s="26"/>
      <c r="AA90" s="26"/>
      <c r="AB90" s="26"/>
      <c r="AC90" s="26"/>
      <c r="AD90" s="26"/>
      <c r="AE90" s="26"/>
      <c r="AF90" s="414"/>
      <c r="AG90" s="26"/>
      <c r="AH90" s="26"/>
      <c r="AI90" s="26"/>
      <c r="AJ90" s="26"/>
      <c r="AK90" s="26"/>
      <c r="AL90" s="26"/>
      <c r="AM90" s="26"/>
      <c r="AN90" s="26"/>
      <c r="AO90" s="26"/>
      <c r="AP90" s="26"/>
      <c r="AQ90" s="26"/>
      <c r="AR90" s="26"/>
      <c r="AS90" s="26"/>
      <c r="AT90" s="26"/>
    </row>
    <row r="91" spans="1:46">
      <c r="A91" s="26"/>
      <c r="B91" s="508"/>
      <c r="C91" s="508"/>
      <c r="D91" s="508"/>
      <c r="E91" s="508"/>
      <c r="F91" s="26"/>
      <c r="G91" s="26"/>
      <c r="H91" s="26"/>
      <c r="I91" s="26"/>
      <c r="J91" s="26"/>
      <c r="K91" s="26"/>
      <c r="L91" s="26"/>
      <c r="M91" s="26"/>
      <c r="N91" s="26"/>
      <c r="O91" s="508"/>
      <c r="P91" s="508"/>
      <c r="Q91" s="321"/>
      <c r="R91" s="328"/>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row>
    <row r="92" spans="1:46">
      <c r="A92" s="26"/>
      <c r="B92" s="508"/>
      <c r="C92" s="508"/>
      <c r="D92" s="508"/>
      <c r="E92" s="508"/>
      <c r="F92" s="26"/>
      <c r="G92" s="26"/>
      <c r="H92" s="26"/>
      <c r="I92" s="26"/>
      <c r="J92" s="26"/>
      <c r="K92" s="26"/>
      <c r="L92" s="26"/>
      <c r="M92" s="26"/>
      <c r="N92" s="26"/>
      <c r="O92" s="508"/>
      <c r="P92" s="508"/>
      <c r="Q92" s="321"/>
      <c r="R92" s="328"/>
      <c r="S92" s="26"/>
      <c r="T92" s="26"/>
      <c r="U92" s="26"/>
      <c r="V92" s="26"/>
      <c r="W92" s="26"/>
      <c r="X92" s="30"/>
      <c r="Y92" s="431"/>
      <c r="Z92" s="415"/>
      <c r="AA92" s="30"/>
      <c r="AB92" s="26"/>
      <c r="AC92" s="26"/>
      <c r="AD92" s="30"/>
      <c r="AE92" s="415"/>
      <c r="AF92" s="26"/>
      <c r="AG92" s="26"/>
      <c r="AH92" s="26"/>
      <c r="AI92" s="26"/>
      <c r="AJ92" s="26"/>
      <c r="AK92" s="26"/>
      <c r="AL92" s="26"/>
      <c r="AM92" s="26"/>
      <c r="AN92" s="26"/>
      <c r="AO92" s="26"/>
      <c r="AP92" s="26"/>
      <c r="AQ92" s="26"/>
      <c r="AR92" s="26"/>
      <c r="AS92" s="26"/>
      <c r="AT92" s="26"/>
    </row>
    <row r="93" spans="1:46">
      <c r="A93" s="26"/>
      <c r="B93" s="508"/>
      <c r="C93" s="508"/>
      <c r="D93" s="508"/>
      <c r="E93" s="508"/>
      <c r="F93" s="26"/>
      <c r="G93" s="26"/>
      <c r="H93" s="26"/>
      <c r="I93" s="26"/>
      <c r="J93" s="26"/>
      <c r="K93" s="26"/>
      <c r="L93" s="26"/>
      <c r="M93" s="26"/>
      <c r="N93" s="26"/>
      <c r="O93" s="508"/>
      <c r="P93" s="508"/>
      <c r="Q93" s="321"/>
      <c r="R93" s="328"/>
      <c r="S93" s="26"/>
      <c r="T93" s="26"/>
      <c r="U93" s="26"/>
      <c r="V93" s="26"/>
      <c r="W93" s="26"/>
      <c r="X93" s="30"/>
      <c r="Y93" s="431"/>
      <c r="Z93" s="415"/>
      <c r="AA93" s="30"/>
      <c r="AB93" s="26"/>
      <c r="AC93" s="26"/>
      <c r="AD93" s="30"/>
      <c r="AE93" s="415"/>
      <c r="AF93" s="414"/>
      <c r="AG93" s="26"/>
      <c r="AH93" s="26"/>
      <c r="AI93" s="26"/>
      <c r="AJ93" s="26"/>
      <c r="AK93" s="26"/>
      <c r="AL93" s="26"/>
      <c r="AM93" s="26"/>
      <c r="AN93" s="26"/>
      <c r="AO93" s="26"/>
      <c r="AP93" s="26"/>
      <c r="AQ93" s="26"/>
      <c r="AR93" s="26"/>
      <c r="AS93" s="26"/>
      <c r="AT93" s="26"/>
    </row>
    <row r="94" spans="1:46">
      <c r="A94" s="26"/>
      <c r="B94" s="508"/>
      <c r="C94" s="508"/>
      <c r="D94" s="508"/>
      <c r="E94" s="508"/>
      <c r="F94" s="26"/>
      <c r="G94" s="26"/>
      <c r="H94" s="26"/>
      <c r="I94" s="26"/>
      <c r="J94" s="26"/>
      <c r="K94" s="26"/>
      <c r="L94" s="26"/>
      <c r="M94" s="26"/>
      <c r="N94" s="26"/>
      <c r="O94" s="508"/>
      <c r="P94" s="508"/>
      <c r="Q94" s="321"/>
      <c r="R94" s="328"/>
      <c r="S94" s="26"/>
      <c r="T94" s="26"/>
      <c r="U94" s="26"/>
      <c r="V94" s="26"/>
      <c r="W94" s="26"/>
      <c r="X94" s="30"/>
      <c r="Y94" s="431"/>
      <c r="Z94" s="415"/>
      <c r="AA94" s="30"/>
      <c r="AB94" s="26"/>
      <c r="AC94" s="26"/>
      <c r="AD94" s="30"/>
      <c r="AE94" s="415"/>
      <c r="AF94" s="414"/>
      <c r="AG94" s="26"/>
      <c r="AH94" s="26"/>
      <c r="AI94" s="26"/>
      <c r="AJ94" s="26"/>
      <c r="AK94" s="26"/>
      <c r="AL94" s="26"/>
      <c r="AM94" s="26"/>
      <c r="AN94" s="26"/>
      <c r="AO94" s="26"/>
      <c r="AP94" s="26"/>
      <c r="AQ94" s="26"/>
      <c r="AR94" s="26"/>
      <c r="AS94" s="26"/>
      <c r="AT94" s="26"/>
    </row>
    <row r="95" spans="1:46">
      <c r="A95" s="26"/>
      <c r="B95" s="508"/>
      <c r="C95" s="508"/>
      <c r="D95" s="508"/>
      <c r="E95" s="508"/>
      <c r="F95" s="26"/>
      <c r="G95" s="26"/>
      <c r="H95" s="26"/>
      <c r="I95" s="26"/>
      <c r="J95" s="26"/>
      <c r="K95" s="26"/>
      <c r="L95" s="26"/>
      <c r="M95" s="26"/>
      <c r="N95" s="26"/>
      <c r="O95" s="508"/>
      <c r="P95" s="508"/>
      <c r="Q95" s="321"/>
      <c r="R95" s="328"/>
      <c r="S95" s="26"/>
      <c r="T95" s="26"/>
      <c r="U95" s="26"/>
      <c r="V95" s="26"/>
      <c r="W95" s="26"/>
      <c r="X95" s="30"/>
      <c r="Y95" s="431"/>
      <c r="Z95" s="415"/>
      <c r="AA95" s="30"/>
      <c r="AB95" s="26"/>
      <c r="AC95" s="26"/>
      <c r="AD95" s="30"/>
      <c r="AE95" s="415"/>
      <c r="AF95" s="414"/>
      <c r="AG95" s="26"/>
      <c r="AH95" s="26"/>
      <c r="AI95" s="26"/>
      <c r="AJ95" s="26"/>
      <c r="AK95" s="26"/>
      <c r="AL95" s="26"/>
      <c r="AM95" s="26"/>
      <c r="AN95" s="26"/>
      <c r="AO95" s="26"/>
      <c r="AP95" s="26"/>
      <c r="AQ95" s="26"/>
      <c r="AR95" s="26"/>
      <c r="AS95" s="26"/>
      <c r="AT95" s="26"/>
    </row>
    <row r="96" spans="1:46">
      <c r="A96" s="26"/>
      <c r="B96" s="508"/>
      <c r="C96" s="508"/>
      <c r="D96" s="508"/>
      <c r="E96" s="508"/>
      <c r="F96" s="26"/>
      <c r="G96" s="26"/>
      <c r="H96" s="26"/>
      <c r="I96" s="26"/>
      <c r="J96" s="26"/>
      <c r="K96" s="26"/>
      <c r="L96" s="26"/>
      <c r="M96" s="26"/>
      <c r="N96" s="26"/>
      <c r="O96" s="508"/>
      <c r="P96" s="508"/>
      <c r="Q96" s="321"/>
      <c r="R96" s="328"/>
      <c r="S96" s="26"/>
      <c r="T96" s="26"/>
      <c r="U96" s="26"/>
      <c r="V96" s="26"/>
      <c r="W96" s="26"/>
      <c r="X96" s="26"/>
      <c r="Y96" s="26"/>
      <c r="Z96" s="26"/>
      <c r="AA96" s="26"/>
      <c r="AB96" s="26"/>
      <c r="AC96" s="26"/>
      <c r="AD96" s="26"/>
      <c r="AE96" s="26"/>
      <c r="AF96" s="414"/>
      <c r="AG96" s="26"/>
      <c r="AH96" s="26"/>
      <c r="AI96" s="26"/>
      <c r="AJ96" s="26"/>
      <c r="AK96" s="26"/>
      <c r="AL96" s="26"/>
      <c r="AM96" s="26"/>
      <c r="AN96" s="26"/>
      <c r="AO96" s="26"/>
      <c r="AP96" s="26"/>
      <c r="AQ96" s="26"/>
      <c r="AR96" s="26"/>
      <c r="AS96" s="26"/>
      <c r="AT96" s="26"/>
    </row>
    <row r="97" spans="1:46">
      <c r="A97" s="26"/>
      <c r="B97" s="508"/>
      <c r="C97" s="508"/>
      <c r="D97" s="508"/>
      <c r="E97" s="508"/>
      <c r="F97" s="26"/>
      <c r="G97" s="26"/>
      <c r="H97" s="26"/>
      <c r="I97" s="26"/>
      <c r="J97" s="26"/>
      <c r="K97" s="26"/>
      <c r="L97" s="26"/>
      <c r="M97" s="26"/>
      <c r="N97" s="26"/>
      <c r="O97" s="508"/>
      <c r="P97" s="508"/>
      <c r="Q97" s="321"/>
      <c r="R97" s="328"/>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row>
    <row r="98" spans="1:46">
      <c r="A98" s="26"/>
      <c r="B98" s="508"/>
      <c r="C98" s="508"/>
      <c r="D98" s="508"/>
      <c r="E98" s="508"/>
      <c r="F98" s="26"/>
      <c r="G98" s="26"/>
      <c r="H98" s="26"/>
      <c r="I98" s="26"/>
      <c r="J98" s="26"/>
      <c r="K98" s="26"/>
      <c r="L98" s="26"/>
      <c r="M98" s="26"/>
      <c r="N98" s="26"/>
      <c r="O98" s="508"/>
      <c r="P98" s="508"/>
      <c r="Q98" s="321"/>
      <c r="R98" s="328"/>
      <c r="S98" s="26"/>
      <c r="T98" s="26"/>
      <c r="U98" s="26"/>
      <c r="V98" s="26"/>
      <c r="W98" s="26"/>
      <c r="X98" s="30"/>
      <c r="Y98" s="431"/>
      <c r="Z98" s="415"/>
      <c r="AA98" s="30"/>
      <c r="AB98" s="26"/>
      <c r="AC98" s="26"/>
      <c r="AD98" s="30"/>
      <c r="AE98" s="415"/>
      <c r="AF98" s="26"/>
      <c r="AG98" s="26"/>
      <c r="AH98" s="26"/>
      <c r="AI98" s="26"/>
      <c r="AJ98" s="26"/>
      <c r="AK98" s="26"/>
      <c r="AL98" s="26"/>
      <c r="AM98" s="26"/>
      <c r="AN98" s="26"/>
      <c r="AO98" s="26"/>
      <c r="AP98" s="26"/>
      <c r="AQ98" s="26"/>
      <c r="AR98" s="26"/>
      <c r="AS98" s="26"/>
      <c r="AT98" s="26"/>
    </row>
    <row r="99" spans="1:46">
      <c r="A99" s="26"/>
      <c r="B99" s="508"/>
      <c r="C99" s="508"/>
      <c r="D99" s="508"/>
      <c r="E99" s="508"/>
      <c r="F99" s="26"/>
      <c r="G99" s="26"/>
      <c r="H99" s="26"/>
      <c r="I99" s="26"/>
      <c r="J99" s="26"/>
      <c r="K99" s="26"/>
      <c r="L99" s="26"/>
      <c r="M99" s="26"/>
      <c r="N99" s="26"/>
      <c r="O99" s="508"/>
      <c r="P99" s="508"/>
      <c r="Q99" s="321"/>
      <c r="R99" s="328"/>
      <c r="S99" s="26"/>
      <c r="T99" s="26"/>
      <c r="U99" s="26"/>
      <c r="V99" s="26"/>
      <c r="W99" s="26"/>
      <c r="X99" s="30"/>
      <c r="Y99" s="431"/>
      <c r="Z99" s="415"/>
      <c r="AA99" s="30"/>
      <c r="AB99" s="26"/>
      <c r="AC99" s="26"/>
      <c r="AD99" s="30"/>
      <c r="AE99" s="415"/>
      <c r="AF99" s="414"/>
      <c r="AG99" s="26"/>
      <c r="AH99" s="26"/>
      <c r="AI99" s="26"/>
      <c r="AJ99" s="26"/>
      <c r="AK99" s="26"/>
      <c r="AL99" s="26"/>
      <c r="AM99" s="26"/>
      <c r="AN99" s="26"/>
      <c r="AO99" s="26"/>
      <c r="AP99" s="26"/>
      <c r="AQ99" s="26"/>
      <c r="AR99" s="26"/>
      <c r="AS99" s="26"/>
      <c r="AT99" s="26"/>
    </row>
    <row r="100" spans="1:46">
      <c r="A100" s="26"/>
      <c r="B100" s="508"/>
      <c r="C100" s="508"/>
      <c r="D100" s="508"/>
      <c r="E100" s="508"/>
      <c r="F100" s="26"/>
      <c r="G100" s="26"/>
      <c r="H100" s="26"/>
      <c r="I100" s="26"/>
      <c r="J100" s="26"/>
      <c r="K100" s="26"/>
      <c r="L100" s="26"/>
      <c r="M100" s="26"/>
      <c r="N100" s="26"/>
      <c r="O100" s="508"/>
      <c r="P100" s="508"/>
      <c r="Q100" s="321"/>
      <c r="R100" s="328"/>
      <c r="S100" s="26"/>
      <c r="T100" s="26"/>
      <c r="U100" s="26"/>
      <c r="V100" s="26"/>
      <c r="W100" s="26"/>
      <c r="X100" s="30"/>
      <c r="Y100" s="431"/>
      <c r="Z100" s="415"/>
      <c r="AA100" s="30"/>
      <c r="AB100" s="26"/>
      <c r="AC100" s="26"/>
      <c r="AD100" s="30"/>
      <c r="AE100" s="415"/>
      <c r="AF100" s="414"/>
      <c r="AG100" s="26"/>
      <c r="AH100" s="26"/>
      <c r="AI100" s="26"/>
      <c r="AJ100" s="26"/>
      <c r="AK100" s="26"/>
      <c r="AL100" s="26"/>
      <c r="AM100" s="26"/>
      <c r="AN100" s="26"/>
      <c r="AO100" s="26"/>
      <c r="AP100" s="26"/>
      <c r="AQ100" s="26"/>
      <c r="AR100" s="26"/>
      <c r="AS100" s="26"/>
      <c r="AT100" s="26"/>
    </row>
    <row r="101" spans="1:46">
      <c r="A101" s="26"/>
      <c r="B101" s="508"/>
      <c r="C101" s="508"/>
      <c r="D101" s="508"/>
      <c r="E101" s="508"/>
      <c r="F101" s="26"/>
      <c r="G101" s="26"/>
      <c r="H101" s="26"/>
      <c r="I101" s="26"/>
      <c r="J101" s="26"/>
      <c r="K101" s="26"/>
      <c r="L101" s="26"/>
      <c r="M101" s="26"/>
      <c r="N101" s="26"/>
      <c r="O101" s="508"/>
      <c r="P101" s="508"/>
      <c r="Q101" s="321"/>
      <c r="R101" s="328"/>
      <c r="S101" s="26"/>
      <c r="T101" s="26"/>
      <c r="U101" s="26"/>
      <c r="V101" s="26"/>
      <c r="W101" s="26"/>
      <c r="X101" s="30"/>
      <c r="Y101" s="431"/>
      <c r="Z101" s="415"/>
      <c r="AA101" s="30"/>
      <c r="AB101" s="26"/>
      <c r="AC101" s="26"/>
      <c r="AD101" s="30"/>
      <c r="AE101" s="415"/>
      <c r="AF101" s="414"/>
      <c r="AG101" s="26"/>
      <c r="AH101" s="26"/>
      <c r="AI101" s="26"/>
      <c r="AJ101" s="26"/>
      <c r="AK101" s="26"/>
      <c r="AL101" s="26"/>
      <c r="AM101" s="26"/>
      <c r="AN101" s="26"/>
      <c r="AO101" s="26"/>
      <c r="AP101" s="26"/>
      <c r="AQ101" s="26"/>
      <c r="AR101" s="26"/>
      <c r="AS101" s="26"/>
      <c r="AT101" s="26"/>
    </row>
    <row r="102" spans="1:46">
      <c r="A102" s="26"/>
      <c r="B102" s="508"/>
      <c r="C102" s="508"/>
      <c r="D102" s="508"/>
      <c r="E102" s="508"/>
      <c r="F102" s="26"/>
      <c r="G102" s="26"/>
      <c r="H102" s="26"/>
      <c r="I102" s="26"/>
      <c r="J102" s="26"/>
      <c r="K102" s="26"/>
      <c r="L102" s="26"/>
      <c r="M102" s="26"/>
      <c r="N102" s="26"/>
      <c r="O102" s="508"/>
      <c r="P102" s="508"/>
      <c r="Q102" s="321"/>
      <c r="R102" s="328"/>
      <c r="S102" s="26"/>
      <c r="T102" s="26"/>
      <c r="U102" s="26"/>
      <c r="V102" s="26"/>
      <c r="W102" s="26"/>
      <c r="X102" s="26"/>
      <c r="Y102" s="26"/>
      <c r="Z102" s="26"/>
      <c r="AA102" s="26"/>
      <c r="AB102" s="26"/>
      <c r="AC102" s="26"/>
      <c r="AD102" s="26"/>
      <c r="AE102" s="26"/>
      <c r="AF102" s="414"/>
      <c r="AG102" s="26"/>
      <c r="AH102" s="26"/>
      <c r="AI102" s="26"/>
      <c r="AJ102" s="26"/>
      <c r="AK102" s="26"/>
      <c r="AL102" s="26"/>
      <c r="AM102" s="26"/>
      <c r="AN102" s="26"/>
      <c r="AO102" s="26"/>
      <c r="AP102" s="26"/>
      <c r="AQ102" s="26"/>
      <c r="AR102" s="26"/>
      <c r="AS102" s="26"/>
      <c r="AT102" s="26"/>
    </row>
    <row r="103" spans="1:46">
      <c r="A103" s="26"/>
      <c r="B103" s="508"/>
      <c r="C103" s="508"/>
      <c r="D103" s="508"/>
      <c r="E103" s="508"/>
      <c r="F103" s="26"/>
      <c r="G103" s="26"/>
      <c r="H103" s="26"/>
      <c r="I103" s="26"/>
      <c r="J103" s="26"/>
      <c r="K103" s="26"/>
      <c r="L103" s="26"/>
      <c r="M103" s="26"/>
      <c r="N103" s="26"/>
      <c r="O103" s="508"/>
      <c r="P103" s="508"/>
      <c r="Q103" s="321"/>
      <c r="R103" s="328"/>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c r="A104" s="26"/>
      <c r="B104" s="508"/>
      <c r="C104" s="508"/>
      <c r="D104" s="508"/>
      <c r="E104" s="508"/>
      <c r="F104" s="26"/>
      <c r="G104" s="26"/>
      <c r="H104" s="26"/>
      <c r="I104" s="26"/>
      <c r="J104" s="26"/>
      <c r="K104" s="26"/>
      <c r="L104" s="26"/>
      <c r="M104" s="26"/>
      <c r="N104" s="26"/>
      <c r="O104" s="508"/>
      <c r="P104" s="508"/>
      <c r="Q104" s="321"/>
      <c r="R104" s="328"/>
      <c r="S104" s="26"/>
      <c r="T104" s="26"/>
      <c r="U104" s="26"/>
      <c r="V104" s="26"/>
      <c r="W104" s="26"/>
      <c r="X104" s="30"/>
      <c r="Y104" s="431"/>
      <c r="Z104" s="415"/>
      <c r="AA104" s="30"/>
      <c r="AB104" s="26"/>
      <c r="AC104" s="26"/>
      <c r="AD104" s="30"/>
      <c r="AE104" s="415"/>
      <c r="AF104" s="26"/>
      <c r="AG104" s="26"/>
      <c r="AH104" s="26"/>
      <c r="AI104" s="26"/>
      <c r="AJ104" s="26"/>
      <c r="AK104" s="26"/>
      <c r="AL104" s="26"/>
      <c r="AM104" s="26"/>
      <c r="AN104" s="26"/>
      <c r="AO104" s="26"/>
      <c r="AP104" s="26"/>
      <c r="AQ104" s="26"/>
      <c r="AR104" s="26"/>
      <c r="AS104" s="26"/>
      <c r="AT104" s="26"/>
    </row>
    <row r="105" spans="1:46">
      <c r="A105" s="26"/>
      <c r="B105" s="508"/>
      <c r="C105" s="508"/>
      <c r="D105" s="508"/>
      <c r="E105" s="508"/>
      <c r="F105" s="26"/>
      <c r="G105" s="26"/>
      <c r="H105" s="26"/>
      <c r="I105" s="26"/>
      <c r="J105" s="26"/>
      <c r="K105" s="26"/>
      <c r="L105" s="26"/>
      <c r="M105" s="26"/>
      <c r="N105" s="26"/>
      <c r="O105" s="508"/>
      <c r="P105" s="508"/>
      <c r="Q105" s="321"/>
      <c r="R105" s="328"/>
      <c r="S105" s="26"/>
      <c r="T105" s="26"/>
      <c r="U105" s="26"/>
      <c r="V105" s="26"/>
      <c r="W105" s="26"/>
      <c r="X105" s="30"/>
      <c r="Y105" s="431"/>
      <c r="Z105" s="415"/>
      <c r="AA105" s="30"/>
      <c r="AB105" s="26"/>
      <c r="AC105" s="26"/>
      <c r="AD105" s="30"/>
      <c r="AE105" s="415"/>
      <c r="AF105" s="414"/>
      <c r="AG105" s="26"/>
      <c r="AH105" s="26"/>
      <c r="AI105" s="26"/>
      <c r="AJ105" s="26"/>
      <c r="AK105" s="26"/>
      <c r="AL105" s="26"/>
      <c r="AM105" s="26"/>
      <c r="AN105" s="26"/>
      <c r="AO105" s="26"/>
      <c r="AP105" s="26"/>
      <c r="AQ105" s="26"/>
      <c r="AR105" s="26"/>
      <c r="AS105" s="26"/>
      <c r="AT105" s="26"/>
    </row>
    <row r="106" spans="1:46">
      <c r="A106" s="26"/>
      <c r="B106" s="508"/>
      <c r="C106" s="508"/>
      <c r="D106" s="508"/>
      <c r="E106" s="508"/>
      <c r="F106" s="26"/>
      <c r="G106" s="26"/>
      <c r="H106" s="26"/>
      <c r="I106" s="26"/>
      <c r="J106" s="26"/>
      <c r="K106" s="26"/>
      <c r="L106" s="26"/>
      <c r="M106" s="26"/>
      <c r="N106" s="26"/>
      <c r="O106" s="508"/>
      <c r="P106" s="508"/>
      <c r="Q106" s="321"/>
      <c r="R106" s="328"/>
      <c r="S106" s="26"/>
      <c r="T106" s="26"/>
      <c r="U106" s="26"/>
      <c r="V106" s="26"/>
      <c r="W106" s="26"/>
      <c r="X106" s="30"/>
      <c r="Y106" s="431"/>
      <c r="Z106" s="415"/>
      <c r="AA106" s="30"/>
      <c r="AB106" s="26"/>
      <c r="AC106" s="26"/>
      <c r="AD106" s="30"/>
      <c r="AE106" s="415"/>
      <c r="AF106" s="414"/>
      <c r="AG106" s="26"/>
      <c r="AH106" s="26"/>
      <c r="AI106" s="26"/>
      <c r="AJ106" s="26"/>
      <c r="AK106" s="26"/>
      <c r="AL106" s="26"/>
      <c r="AM106" s="26"/>
      <c r="AN106" s="26"/>
      <c r="AO106" s="26"/>
      <c r="AP106" s="26"/>
      <c r="AQ106" s="26"/>
      <c r="AR106" s="26"/>
      <c r="AS106" s="26"/>
      <c r="AT106" s="26"/>
    </row>
    <row r="107" spans="1:46">
      <c r="A107" s="26"/>
      <c r="B107" s="508"/>
      <c r="C107" s="508"/>
      <c r="D107" s="508"/>
      <c r="E107" s="508"/>
      <c r="F107" s="26"/>
      <c r="G107" s="26"/>
      <c r="H107" s="26"/>
      <c r="I107" s="26"/>
      <c r="J107" s="26"/>
      <c r="K107" s="26"/>
      <c r="L107" s="26"/>
      <c r="M107" s="26"/>
      <c r="N107" s="26"/>
      <c r="O107" s="508"/>
      <c r="P107" s="508"/>
      <c r="Q107" s="321"/>
      <c r="R107" s="328"/>
      <c r="S107" s="26"/>
      <c r="T107" s="26"/>
      <c r="U107" s="26"/>
      <c r="V107" s="26"/>
      <c r="W107" s="26"/>
      <c r="X107" s="30"/>
      <c r="Y107" s="431"/>
      <c r="Z107" s="415"/>
      <c r="AA107" s="30"/>
      <c r="AB107" s="26"/>
      <c r="AC107" s="26"/>
      <c r="AD107" s="30"/>
      <c r="AE107" s="415"/>
      <c r="AF107" s="414"/>
      <c r="AG107" s="26"/>
      <c r="AH107" s="26"/>
      <c r="AI107" s="26"/>
      <c r="AJ107" s="26"/>
      <c r="AK107" s="26"/>
      <c r="AL107" s="26"/>
      <c r="AM107" s="26"/>
      <c r="AN107" s="26"/>
      <c r="AO107" s="26"/>
      <c r="AP107" s="26"/>
      <c r="AQ107" s="26"/>
      <c r="AR107" s="26"/>
      <c r="AS107" s="26"/>
      <c r="AT107" s="26"/>
    </row>
    <row r="108" spans="1:46">
      <c r="A108" s="26"/>
      <c r="B108" s="508"/>
      <c r="C108" s="508"/>
      <c r="D108" s="508"/>
      <c r="E108" s="508"/>
      <c r="F108" s="26"/>
      <c r="G108" s="26"/>
      <c r="H108" s="26"/>
      <c r="I108" s="26"/>
      <c r="J108" s="26"/>
      <c r="K108" s="26"/>
      <c r="L108" s="26"/>
      <c r="M108" s="26"/>
      <c r="N108" s="26"/>
      <c r="O108" s="508"/>
      <c r="P108" s="508"/>
      <c r="Q108" s="321"/>
      <c r="R108" s="328"/>
      <c r="S108" s="26"/>
      <c r="T108" s="26"/>
      <c r="U108" s="26"/>
      <c r="V108" s="26"/>
      <c r="W108" s="26"/>
      <c r="X108" s="26"/>
      <c r="Y108" s="26"/>
      <c r="Z108" s="26"/>
      <c r="AA108" s="26"/>
      <c r="AB108" s="26"/>
      <c r="AC108" s="26"/>
      <c r="AD108" s="26"/>
      <c r="AE108" s="26"/>
      <c r="AF108" s="414"/>
      <c r="AG108" s="26"/>
      <c r="AH108" s="26"/>
      <c r="AI108" s="26"/>
      <c r="AJ108" s="26"/>
      <c r="AK108" s="26"/>
      <c r="AL108" s="26"/>
      <c r="AM108" s="26"/>
      <c r="AN108" s="26"/>
      <c r="AO108" s="26"/>
      <c r="AP108" s="26"/>
      <c r="AQ108" s="26"/>
      <c r="AR108" s="26"/>
      <c r="AS108" s="26"/>
      <c r="AT108" s="26"/>
    </row>
    <row r="109" spans="1:46">
      <c r="A109" s="26"/>
      <c r="B109" s="508"/>
      <c r="C109" s="508"/>
      <c r="D109" s="508"/>
      <c r="E109" s="508"/>
      <c r="F109" s="26"/>
      <c r="G109" s="26"/>
      <c r="H109" s="26"/>
      <c r="I109" s="26"/>
      <c r="J109" s="26"/>
      <c r="K109" s="26"/>
      <c r="L109" s="26"/>
      <c r="M109" s="26"/>
      <c r="N109" s="26"/>
      <c r="O109" s="508"/>
      <c r="P109" s="508"/>
      <c r="Q109" s="321"/>
      <c r="R109" s="328"/>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c r="A110" s="26"/>
      <c r="B110" s="508"/>
      <c r="C110" s="508"/>
      <c r="D110" s="508"/>
      <c r="E110" s="508"/>
      <c r="F110" s="26"/>
      <c r="G110" s="26"/>
      <c r="H110" s="26"/>
      <c r="I110" s="26"/>
      <c r="J110" s="26"/>
      <c r="K110" s="26"/>
      <c r="L110" s="26"/>
      <c r="M110" s="26"/>
      <c r="N110" s="26"/>
      <c r="O110" s="508"/>
      <c r="P110" s="508"/>
      <c r="Q110" s="321"/>
      <c r="R110" s="328"/>
      <c r="S110" s="26"/>
      <c r="T110" s="26"/>
      <c r="U110" s="26"/>
      <c r="V110" s="26"/>
      <c r="W110" s="26"/>
      <c r="X110" s="30"/>
      <c r="Y110" s="431"/>
      <c r="Z110" s="415"/>
      <c r="AA110" s="30"/>
      <c r="AB110" s="26"/>
      <c r="AC110" s="26"/>
      <c r="AD110" s="30"/>
      <c r="AE110" s="415"/>
      <c r="AF110" s="26"/>
      <c r="AG110" s="26"/>
      <c r="AH110" s="26"/>
      <c r="AI110" s="26"/>
      <c r="AJ110" s="26"/>
      <c r="AK110" s="26"/>
      <c r="AL110" s="26"/>
      <c r="AM110" s="26"/>
      <c r="AN110" s="26"/>
      <c r="AO110" s="26"/>
      <c r="AP110" s="26"/>
      <c r="AQ110" s="26"/>
      <c r="AR110" s="26"/>
      <c r="AS110" s="26"/>
      <c r="AT110" s="26"/>
    </row>
    <row r="111" spans="1:46">
      <c r="A111" s="26"/>
      <c r="B111" s="508"/>
      <c r="C111" s="508"/>
      <c r="D111" s="508"/>
      <c r="E111" s="508"/>
      <c r="F111" s="26"/>
      <c r="G111" s="26"/>
      <c r="H111" s="26"/>
      <c r="I111" s="26"/>
      <c r="J111" s="26"/>
      <c r="K111" s="26"/>
      <c r="L111" s="26"/>
      <c r="M111" s="26"/>
      <c r="N111" s="26"/>
      <c r="O111" s="508"/>
      <c r="P111" s="508"/>
      <c r="Q111" s="321"/>
      <c r="R111" s="328"/>
      <c r="S111" s="26"/>
      <c r="T111" s="26"/>
      <c r="U111" s="26"/>
      <c r="V111" s="26"/>
      <c r="W111" s="26"/>
      <c r="X111" s="30"/>
      <c r="Y111" s="431"/>
      <c r="Z111" s="415"/>
      <c r="AA111" s="30"/>
      <c r="AB111" s="26"/>
      <c r="AC111" s="26"/>
      <c r="AD111" s="30"/>
      <c r="AE111" s="415"/>
      <c r="AF111" s="26"/>
      <c r="AG111" s="26"/>
      <c r="AH111" s="26"/>
      <c r="AI111" s="26"/>
      <c r="AJ111" s="26"/>
      <c r="AK111" s="26"/>
      <c r="AL111" s="26"/>
      <c r="AM111" s="26"/>
      <c r="AN111" s="26"/>
      <c r="AO111" s="26"/>
      <c r="AP111" s="26"/>
      <c r="AQ111" s="26"/>
      <c r="AR111" s="26"/>
      <c r="AS111" s="26"/>
      <c r="AT111" s="26"/>
    </row>
    <row r="112" spans="1:46">
      <c r="A112" s="26"/>
      <c r="B112" s="508"/>
      <c r="C112" s="508"/>
      <c r="D112" s="508"/>
      <c r="E112" s="508"/>
      <c r="F112" s="26"/>
      <c r="G112" s="26"/>
      <c r="H112" s="26"/>
      <c r="I112" s="26"/>
      <c r="J112" s="26"/>
      <c r="K112" s="26"/>
      <c r="L112" s="26"/>
      <c r="M112" s="26"/>
      <c r="N112" s="26"/>
      <c r="O112" s="508"/>
      <c r="P112" s="508"/>
      <c r="Q112" s="321"/>
      <c r="R112" s="328"/>
      <c r="S112" s="26"/>
      <c r="T112" s="26"/>
      <c r="U112" s="26"/>
      <c r="V112" s="26"/>
      <c r="W112" s="26"/>
      <c r="X112" s="30"/>
      <c r="Y112" s="431"/>
      <c r="Z112" s="415"/>
      <c r="AA112" s="30"/>
      <c r="AB112" s="26"/>
      <c r="AC112" s="26"/>
      <c r="AD112" s="30"/>
      <c r="AE112" s="415"/>
      <c r="AF112" s="26"/>
      <c r="AG112" s="26"/>
      <c r="AH112" s="26"/>
      <c r="AI112" s="26"/>
      <c r="AJ112" s="26"/>
      <c r="AK112" s="26"/>
      <c r="AL112" s="26"/>
      <c r="AM112" s="26"/>
      <c r="AN112" s="26"/>
      <c r="AO112" s="26"/>
      <c r="AP112" s="26"/>
      <c r="AQ112" s="26"/>
      <c r="AR112" s="26"/>
      <c r="AS112" s="26"/>
      <c r="AT112" s="26"/>
    </row>
    <row r="113" spans="1:46">
      <c r="A113" s="26"/>
      <c r="B113" s="508"/>
      <c r="C113" s="508"/>
      <c r="D113" s="508"/>
      <c r="E113" s="508"/>
      <c r="F113" s="26"/>
      <c r="G113" s="26"/>
      <c r="H113" s="26"/>
      <c r="I113" s="26"/>
      <c r="J113" s="26"/>
      <c r="K113" s="26"/>
      <c r="L113" s="26"/>
      <c r="M113" s="26"/>
      <c r="N113" s="26"/>
      <c r="O113" s="508"/>
      <c r="P113" s="508"/>
      <c r="Q113" s="321"/>
      <c r="R113" s="328"/>
      <c r="S113" s="26"/>
      <c r="T113" s="26"/>
      <c r="U113" s="26"/>
      <c r="V113" s="26"/>
      <c r="W113" s="26"/>
      <c r="X113" s="30"/>
      <c r="Y113" s="431"/>
      <c r="Z113" s="415"/>
      <c r="AA113" s="30"/>
      <c r="AB113" s="26"/>
      <c r="AC113" s="26"/>
      <c r="AD113" s="30"/>
      <c r="AE113" s="415"/>
      <c r="AF113" s="26"/>
      <c r="AG113" s="26"/>
      <c r="AH113" s="26"/>
      <c r="AI113" s="26"/>
      <c r="AJ113" s="26"/>
      <c r="AK113" s="26"/>
      <c r="AL113" s="26"/>
      <c r="AM113" s="26"/>
      <c r="AN113" s="26"/>
      <c r="AO113" s="26"/>
      <c r="AP113" s="26"/>
      <c r="AQ113" s="26"/>
      <c r="AR113" s="26"/>
      <c r="AS113" s="26"/>
      <c r="AT113" s="26"/>
    </row>
  </sheetData>
  <mergeCells count="6">
    <mergeCell ref="B18:C18"/>
    <mergeCell ref="B2:C2"/>
    <mergeCell ref="AF2:AI2"/>
    <mergeCell ref="B15:C15"/>
    <mergeCell ref="C16:D16"/>
    <mergeCell ref="B17:C17"/>
  </mergeCells>
  <pageMargins left="0.25" right="0.25" top="0.75" bottom="0.75" header="0.3" footer="0.3"/>
  <pageSetup scale="66" orientation="landscape" r:id="rId1"/>
  <headerFoot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376B4-D8F2-4556-850D-A1B406328663}">
  <sheetPr>
    <pageSetUpPr fitToPage="1"/>
  </sheetPr>
  <dimension ref="A1:R81"/>
  <sheetViews>
    <sheetView topLeftCell="A22" workbookViewId="0">
      <selection activeCell="A37" sqref="A37"/>
    </sheetView>
  </sheetViews>
  <sheetFormatPr defaultRowHeight="15"/>
  <cols>
    <col min="1" max="1" width="16.33203125" customWidth="1"/>
    <col min="2" max="2" width="9.33203125" customWidth="1"/>
    <col min="3" max="3" width="7.88671875" bestFit="1" customWidth="1"/>
    <col min="4" max="4" width="7.109375" bestFit="1" customWidth="1"/>
    <col min="5" max="5" width="6.21875" bestFit="1" customWidth="1"/>
    <col min="6" max="6" width="7.88671875" bestFit="1" customWidth="1"/>
    <col min="7" max="7" width="7.109375" bestFit="1" customWidth="1"/>
    <col min="8" max="8" width="12.5546875" bestFit="1" customWidth="1"/>
    <col min="9" max="9" width="11.33203125" bestFit="1" customWidth="1"/>
    <col min="10" max="10" width="11.33203125" customWidth="1"/>
    <col min="11" max="11" width="7.88671875" bestFit="1" customWidth="1"/>
    <col min="17" max="17" width="10" bestFit="1" customWidth="1"/>
  </cols>
  <sheetData>
    <row r="1" spans="1:18">
      <c r="A1" s="212" t="s">
        <v>16</v>
      </c>
      <c r="B1" s="213"/>
      <c r="C1" s="213"/>
      <c r="D1" s="213"/>
      <c r="E1" s="213"/>
      <c r="F1" s="213"/>
      <c r="G1" s="214"/>
      <c r="H1" s="215"/>
      <c r="I1" s="215"/>
      <c r="J1" s="215"/>
      <c r="K1" s="213"/>
      <c r="L1" s="216"/>
      <c r="M1" s="216"/>
    </row>
    <row r="2" spans="1:18">
      <c r="A2" s="212" t="s">
        <v>919</v>
      </c>
      <c r="B2" s="213"/>
      <c r="C2" s="213"/>
      <c r="D2" s="213"/>
      <c r="E2" s="213"/>
      <c r="F2" s="213"/>
      <c r="G2" s="213"/>
      <c r="H2" s="213"/>
      <c r="I2" s="213"/>
      <c r="J2" s="213"/>
      <c r="K2" s="216"/>
      <c r="L2" s="216"/>
      <c r="M2" s="216"/>
    </row>
    <row r="3" spans="1:18">
      <c r="A3" s="212" t="s">
        <v>920</v>
      </c>
      <c r="B3" s="213"/>
      <c r="C3" s="213"/>
      <c r="D3" s="213"/>
      <c r="E3" s="213"/>
      <c r="F3" s="213"/>
      <c r="G3" s="213"/>
      <c r="H3" s="213"/>
      <c r="I3" s="213"/>
      <c r="J3" s="213"/>
      <c r="K3" s="213"/>
      <c r="L3" s="216"/>
      <c r="M3" s="216"/>
    </row>
    <row r="4" spans="1:18" ht="15.75">
      <c r="A4" s="212"/>
      <c r="B4" s="213"/>
      <c r="C4" s="213"/>
      <c r="D4" s="213"/>
      <c r="E4" s="213"/>
      <c r="F4" s="213"/>
      <c r="G4" s="213"/>
      <c r="H4" s="213"/>
      <c r="I4" s="213"/>
      <c r="J4" s="213"/>
      <c r="K4" s="213"/>
      <c r="L4" s="202"/>
      <c r="M4" s="202"/>
      <c r="Q4" s="89" t="s">
        <v>1567</v>
      </c>
      <c r="R4" s="579">
        <v>1.0575000000000001</v>
      </c>
    </row>
    <row r="5" spans="1:18">
      <c r="A5" s="230" t="s">
        <v>921</v>
      </c>
      <c r="B5" s="230"/>
      <c r="C5" s="213"/>
      <c r="D5" s="215"/>
      <c r="E5" s="213"/>
      <c r="F5" s="213"/>
      <c r="G5" s="214"/>
      <c r="H5" s="213"/>
      <c r="I5" s="213"/>
      <c r="J5" s="213"/>
      <c r="K5" s="213"/>
      <c r="L5" s="216"/>
      <c r="M5" s="216"/>
    </row>
    <row r="6" spans="1:18">
      <c r="A6" s="230"/>
      <c r="B6" s="230"/>
      <c r="C6" s="213"/>
      <c r="D6" s="215"/>
      <c r="E6" s="213"/>
      <c r="F6" s="213"/>
      <c r="G6" s="214"/>
      <c r="H6" s="213"/>
      <c r="I6" s="213"/>
      <c r="J6" s="213"/>
      <c r="K6" s="213"/>
      <c r="L6" s="216"/>
      <c r="M6" s="216"/>
    </row>
    <row r="7" spans="1:18">
      <c r="A7" s="217"/>
      <c r="B7" s="217"/>
      <c r="C7" s="217"/>
      <c r="D7" s="218"/>
      <c r="E7" s="218"/>
      <c r="F7" s="218"/>
      <c r="G7" s="218"/>
      <c r="H7" s="218"/>
      <c r="I7" s="218"/>
      <c r="J7" s="218"/>
      <c r="K7" s="217" t="s">
        <v>734</v>
      </c>
      <c r="L7" s="217" t="s">
        <v>734</v>
      </c>
      <c r="M7" s="217" t="s">
        <v>734</v>
      </c>
      <c r="N7" s="840" t="s">
        <v>1569</v>
      </c>
      <c r="O7" s="29"/>
      <c r="P7" s="29"/>
    </row>
    <row r="8" spans="1:18">
      <c r="A8" s="217"/>
      <c r="B8" s="218" t="s">
        <v>769</v>
      </c>
      <c r="C8" s="218" t="s">
        <v>770</v>
      </c>
      <c r="D8" s="218" t="s">
        <v>672</v>
      </c>
      <c r="E8" s="218" t="s">
        <v>668</v>
      </c>
      <c r="F8" s="218" t="s">
        <v>660</v>
      </c>
      <c r="G8" s="218" t="s">
        <v>648</v>
      </c>
      <c r="H8" s="218" t="s">
        <v>672</v>
      </c>
      <c r="I8" s="218" t="s">
        <v>668</v>
      </c>
      <c r="J8" s="218" t="s">
        <v>660</v>
      </c>
      <c r="K8" s="218" t="s">
        <v>672</v>
      </c>
      <c r="L8" s="218" t="s">
        <v>668</v>
      </c>
      <c r="M8" s="218" t="s">
        <v>660</v>
      </c>
      <c r="N8" s="218" t="s">
        <v>672</v>
      </c>
      <c r="O8" s="218" t="s">
        <v>668</v>
      </c>
      <c r="P8" s="218" t="s">
        <v>660</v>
      </c>
    </row>
    <row r="9" spans="1:18">
      <c r="A9" s="219" t="s">
        <v>771</v>
      </c>
      <c r="B9" s="219" t="s">
        <v>772</v>
      </c>
      <c r="C9" s="219" t="s">
        <v>773</v>
      </c>
      <c r="D9" s="219" t="s">
        <v>774</v>
      </c>
      <c r="E9" s="219" t="s">
        <v>729</v>
      </c>
      <c r="F9" s="219" t="s">
        <v>729</v>
      </c>
      <c r="G9" s="219" t="s">
        <v>729</v>
      </c>
      <c r="H9" s="219" t="s">
        <v>1</v>
      </c>
      <c r="I9" s="219" t="s">
        <v>1</v>
      </c>
      <c r="J9" s="219" t="s">
        <v>1</v>
      </c>
      <c r="K9" s="219" t="s">
        <v>774</v>
      </c>
      <c r="L9" s="219" t="s">
        <v>774</v>
      </c>
      <c r="M9" s="219" t="s">
        <v>774</v>
      </c>
      <c r="N9" s="219" t="s">
        <v>1</v>
      </c>
      <c r="O9" s="219" t="s">
        <v>1</v>
      </c>
      <c r="P9" s="219" t="s">
        <v>1</v>
      </c>
    </row>
    <row r="10" spans="1:18" ht="15.75">
      <c r="A10" s="220" t="s">
        <v>775</v>
      </c>
      <c r="B10" s="221">
        <v>100</v>
      </c>
      <c r="C10" s="217">
        <v>491</v>
      </c>
      <c r="D10" s="222">
        <v>8.89</v>
      </c>
      <c r="E10" s="222">
        <v>7.21</v>
      </c>
      <c r="F10" s="222">
        <v>9.61</v>
      </c>
      <c r="G10" s="223">
        <f>SUM(D10:F10)</f>
        <v>25.71</v>
      </c>
      <c r="H10" s="224">
        <f>D10*C10</f>
        <v>4364.9900000000007</v>
      </c>
      <c r="I10" s="224">
        <f>C10*E10</f>
        <v>3540.11</v>
      </c>
      <c r="J10" s="224"/>
      <c r="K10" s="222">
        <f>+D10*$R$4</f>
        <v>9.4011750000000021</v>
      </c>
      <c r="L10" s="222">
        <f t="shared" ref="L10:M10" si="0">+E10*$R$4</f>
        <v>7.624575000000001</v>
      </c>
      <c r="M10" s="222">
        <f t="shared" si="0"/>
        <v>10.162575</v>
      </c>
      <c r="N10" s="553">
        <f>+K10*C10/12</f>
        <v>384.66474375000007</v>
      </c>
      <c r="O10" s="553">
        <f>+L10*C10/12</f>
        <v>311.97219375000003</v>
      </c>
      <c r="P10" s="553"/>
    </row>
    <row r="11" spans="1:18" ht="15.75">
      <c r="A11" s="220" t="s">
        <v>776</v>
      </c>
      <c r="B11" s="221">
        <v>100</v>
      </c>
      <c r="C11" s="217">
        <v>212</v>
      </c>
      <c r="D11" s="222">
        <v>6.72</v>
      </c>
      <c r="E11" s="222">
        <v>3.27</v>
      </c>
      <c r="F11" s="222">
        <v>9.61</v>
      </c>
      <c r="G11" s="223">
        <f t="shared" ref="G11:G33" si="1">SUM(D11:F11)</f>
        <v>19.600000000000001</v>
      </c>
      <c r="H11" s="224">
        <f t="shared" ref="H11:H33" si="2">D11*C11</f>
        <v>1424.6399999999999</v>
      </c>
      <c r="I11" s="224">
        <f t="shared" ref="I11:I28" si="3">C11*E11</f>
        <v>693.24</v>
      </c>
      <c r="J11" s="224"/>
      <c r="K11" s="222">
        <f t="shared" ref="K11:K33" si="4">+D11*$R$4</f>
        <v>7.1064000000000007</v>
      </c>
      <c r="L11" s="222">
        <f t="shared" ref="L11:L33" si="5">+E11*$R$4</f>
        <v>3.4580250000000006</v>
      </c>
      <c r="M11" s="222">
        <f t="shared" ref="M11:M33" si="6">+F11*$R$4</f>
        <v>10.162575</v>
      </c>
      <c r="N11" s="553">
        <f t="shared" ref="N11:N32" si="7">+K11*C11/12</f>
        <v>125.54640000000001</v>
      </c>
      <c r="O11" s="553">
        <f t="shared" ref="O11:O28" si="8">+L11*C11/12</f>
        <v>61.091775000000013</v>
      </c>
      <c r="P11" s="553"/>
    </row>
    <row r="12" spans="1:18" ht="15.75">
      <c r="A12" s="220" t="s">
        <v>777</v>
      </c>
      <c r="B12" s="221">
        <v>100</v>
      </c>
      <c r="C12" s="217">
        <v>3702</v>
      </c>
      <c r="D12" s="222">
        <v>13.29</v>
      </c>
      <c r="E12" s="222">
        <v>7.21</v>
      </c>
      <c r="F12" s="222">
        <v>9.61</v>
      </c>
      <c r="G12" s="223">
        <f t="shared" si="1"/>
        <v>30.11</v>
      </c>
      <c r="H12" s="224">
        <f t="shared" si="2"/>
        <v>49199.579999999994</v>
      </c>
      <c r="I12" s="224">
        <f t="shared" si="3"/>
        <v>26691.42</v>
      </c>
      <c r="J12" s="224"/>
      <c r="K12" s="222">
        <f t="shared" si="4"/>
        <v>14.054175000000001</v>
      </c>
      <c r="L12" s="222">
        <f t="shared" si="5"/>
        <v>7.624575000000001</v>
      </c>
      <c r="M12" s="222">
        <f t="shared" si="6"/>
        <v>10.162575</v>
      </c>
      <c r="N12" s="553">
        <f t="shared" si="7"/>
        <v>4335.7129875000001</v>
      </c>
      <c r="O12" s="553">
        <f t="shared" si="8"/>
        <v>2352.1813875000003</v>
      </c>
      <c r="P12" s="553"/>
    </row>
    <row r="13" spans="1:18" ht="15.75">
      <c r="A13" s="220" t="s">
        <v>778</v>
      </c>
      <c r="B13" s="221">
        <v>100</v>
      </c>
      <c r="C13" s="217">
        <v>524</v>
      </c>
      <c r="D13" s="222">
        <v>19.100000000000001</v>
      </c>
      <c r="E13" s="222">
        <v>7.21</v>
      </c>
      <c r="F13" s="222">
        <v>9.61</v>
      </c>
      <c r="G13" s="223">
        <f t="shared" si="1"/>
        <v>35.92</v>
      </c>
      <c r="H13" s="224">
        <f t="shared" si="2"/>
        <v>10008.400000000001</v>
      </c>
      <c r="I13" s="224">
        <f t="shared" si="3"/>
        <v>3778.04</v>
      </c>
      <c r="J13" s="224"/>
      <c r="K13" s="222">
        <f t="shared" si="4"/>
        <v>20.198250000000005</v>
      </c>
      <c r="L13" s="222">
        <f t="shared" si="5"/>
        <v>7.624575000000001</v>
      </c>
      <c r="M13" s="222">
        <f t="shared" si="6"/>
        <v>10.162575</v>
      </c>
      <c r="N13" s="553">
        <f t="shared" si="7"/>
        <v>881.99025000000029</v>
      </c>
      <c r="O13" s="553">
        <f t="shared" si="8"/>
        <v>332.93977500000005</v>
      </c>
      <c r="P13" s="553"/>
    </row>
    <row r="14" spans="1:18" ht="15.75">
      <c r="A14" s="220" t="s">
        <v>779</v>
      </c>
      <c r="B14" s="221">
        <v>100</v>
      </c>
      <c r="C14" s="217">
        <v>48</v>
      </c>
      <c r="D14" s="222">
        <v>24.41</v>
      </c>
      <c r="E14" s="222">
        <v>7.21</v>
      </c>
      <c r="F14" s="222">
        <v>9.61</v>
      </c>
      <c r="G14" s="223">
        <f t="shared" si="1"/>
        <v>41.230000000000004</v>
      </c>
      <c r="H14" s="224">
        <f t="shared" si="2"/>
        <v>1171.68</v>
      </c>
      <c r="I14" s="224">
        <f t="shared" si="3"/>
        <v>346.08</v>
      </c>
      <c r="J14" s="224"/>
      <c r="K14" s="222">
        <f t="shared" si="4"/>
        <v>25.813575000000004</v>
      </c>
      <c r="L14" s="222">
        <f t="shared" si="5"/>
        <v>7.624575000000001</v>
      </c>
      <c r="M14" s="222">
        <f t="shared" si="6"/>
        <v>10.162575</v>
      </c>
      <c r="N14" s="553">
        <f t="shared" si="7"/>
        <v>103.25430000000001</v>
      </c>
      <c r="O14" s="553">
        <f t="shared" si="8"/>
        <v>30.498300000000004</v>
      </c>
      <c r="P14" s="553"/>
    </row>
    <row r="15" spans="1:18" ht="15.75">
      <c r="A15" s="220" t="s">
        <v>780</v>
      </c>
      <c r="B15" s="221">
        <v>100</v>
      </c>
      <c r="C15" s="217">
        <v>12</v>
      </c>
      <c r="D15" s="222">
        <v>30.12</v>
      </c>
      <c r="E15" s="222">
        <v>7.21</v>
      </c>
      <c r="F15" s="222">
        <v>9.61</v>
      </c>
      <c r="G15" s="223">
        <f t="shared" si="1"/>
        <v>46.94</v>
      </c>
      <c r="H15" s="224">
        <f t="shared" si="2"/>
        <v>361.44</v>
      </c>
      <c r="I15" s="224">
        <f t="shared" si="3"/>
        <v>86.52</v>
      </c>
      <c r="J15" s="224"/>
      <c r="K15" s="222">
        <f t="shared" si="4"/>
        <v>31.851900000000004</v>
      </c>
      <c r="L15" s="222">
        <f t="shared" si="5"/>
        <v>7.624575000000001</v>
      </c>
      <c r="M15" s="222">
        <f t="shared" si="6"/>
        <v>10.162575</v>
      </c>
      <c r="N15" s="553">
        <f t="shared" si="7"/>
        <v>31.851900000000004</v>
      </c>
      <c r="O15" s="553">
        <f t="shared" si="8"/>
        <v>7.624575000000001</v>
      </c>
      <c r="P15" s="553"/>
    </row>
    <row r="16" spans="1:18" ht="15.75">
      <c r="A16" s="220" t="s">
        <v>781</v>
      </c>
      <c r="B16" s="221">
        <v>100</v>
      </c>
      <c r="C16" s="217"/>
      <c r="D16" s="222">
        <v>35.83</v>
      </c>
      <c r="E16" s="222">
        <v>7.21</v>
      </c>
      <c r="F16" s="222">
        <v>9.61</v>
      </c>
      <c r="G16" s="223">
        <f t="shared" si="1"/>
        <v>52.65</v>
      </c>
      <c r="H16" s="224">
        <f t="shared" si="2"/>
        <v>0</v>
      </c>
      <c r="I16" s="224">
        <f t="shared" si="3"/>
        <v>0</v>
      </c>
      <c r="J16" s="224"/>
      <c r="K16" s="222">
        <f t="shared" si="4"/>
        <v>37.890225000000001</v>
      </c>
      <c r="L16" s="222">
        <f t="shared" si="5"/>
        <v>7.624575000000001</v>
      </c>
      <c r="M16" s="222">
        <f t="shared" si="6"/>
        <v>10.162575</v>
      </c>
      <c r="N16" s="553"/>
      <c r="O16" s="553"/>
      <c r="P16" s="553"/>
    </row>
    <row r="17" spans="1:16" ht="15.75">
      <c r="A17" s="220" t="s">
        <v>782</v>
      </c>
      <c r="B17" s="221">
        <v>100</v>
      </c>
      <c r="C17" s="217"/>
      <c r="D17" s="222">
        <v>39.229999999999997</v>
      </c>
      <c r="E17" s="222">
        <v>7.21</v>
      </c>
      <c r="F17" s="222">
        <v>9.61</v>
      </c>
      <c r="G17" s="223">
        <f t="shared" si="1"/>
        <v>56.05</v>
      </c>
      <c r="H17" s="224">
        <f t="shared" si="2"/>
        <v>0</v>
      </c>
      <c r="I17" s="224">
        <f t="shared" si="3"/>
        <v>0</v>
      </c>
      <c r="J17" s="224"/>
      <c r="K17" s="222">
        <f t="shared" si="4"/>
        <v>41.485725000000002</v>
      </c>
      <c r="L17" s="222">
        <f t="shared" si="5"/>
        <v>7.624575000000001</v>
      </c>
      <c r="M17" s="222">
        <f t="shared" si="6"/>
        <v>10.162575</v>
      </c>
      <c r="N17" s="553"/>
      <c r="O17" s="553"/>
      <c r="P17" s="553"/>
    </row>
    <row r="18" spans="1:16" ht="15.75">
      <c r="A18" s="220" t="s">
        <v>783</v>
      </c>
      <c r="B18" s="221">
        <v>100</v>
      </c>
      <c r="C18" s="217"/>
      <c r="D18" s="222"/>
      <c r="E18" s="222">
        <v>8.59</v>
      </c>
      <c r="F18" s="222">
        <v>9.61</v>
      </c>
      <c r="G18" s="223">
        <f t="shared" si="1"/>
        <v>18.2</v>
      </c>
      <c r="H18" s="224">
        <f t="shared" si="2"/>
        <v>0</v>
      </c>
      <c r="I18" s="224">
        <f t="shared" si="3"/>
        <v>0</v>
      </c>
      <c r="J18" s="224"/>
      <c r="K18" s="222">
        <f t="shared" si="4"/>
        <v>0</v>
      </c>
      <c r="L18" s="222">
        <f t="shared" si="5"/>
        <v>9.0839250000000007</v>
      </c>
      <c r="M18" s="222">
        <f t="shared" si="6"/>
        <v>10.162575</v>
      </c>
      <c r="N18" s="553"/>
      <c r="O18" s="553"/>
      <c r="P18" s="553"/>
    </row>
    <row r="19" spans="1:16" ht="15.75">
      <c r="A19" s="220" t="s">
        <v>784</v>
      </c>
      <c r="B19" s="221">
        <v>100</v>
      </c>
      <c r="C19" s="217">
        <v>493</v>
      </c>
      <c r="D19" s="222">
        <v>10.8</v>
      </c>
      <c r="E19" s="222">
        <v>7.21</v>
      </c>
      <c r="F19" s="222">
        <v>9.61</v>
      </c>
      <c r="G19" s="223">
        <f t="shared" si="1"/>
        <v>27.62</v>
      </c>
      <c r="H19" s="224">
        <f t="shared" si="2"/>
        <v>5324.4000000000005</v>
      </c>
      <c r="I19" s="224">
        <f t="shared" si="3"/>
        <v>3554.53</v>
      </c>
      <c r="J19" s="224"/>
      <c r="K19" s="222">
        <f t="shared" si="4"/>
        <v>11.421000000000001</v>
      </c>
      <c r="L19" s="222">
        <f t="shared" si="5"/>
        <v>7.624575000000001</v>
      </c>
      <c r="M19" s="222">
        <f t="shared" si="6"/>
        <v>10.162575</v>
      </c>
      <c r="N19" s="553">
        <f t="shared" si="7"/>
        <v>469.21275000000009</v>
      </c>
      <c r="O19" s="553">
        <f t="shared" si="8"/>
        <v>313.24295625000008</v>
      </c>
      <c r="P19" s="553"/>
    </row>
    <row r="20" spans="1:16" ht="15.75">
      <c r="A20" s="220" t="s">
        <v>785</v>
      </c>
      <c r="B20" s="221">
        <v>100</v>
      </c>
      <c r="C20" s="217">
        <v>2255</v>
      </c>
      <c r="D20" s="222">
        <f>22.54-7.21</f>
        <v>15.329999999999998</v>
      </c>
      <c r="E20" s="222">
        <v>7.21</v>
      </c>
      <c r="F20" s="222">
        <v>9.61</v>
      </c>
      <c r="G20" s="223">
        <f t="shared" si="1"/>
        <v>32.15</v>
      </c>
      <c r="H20" s="224">
        <f t="shared" si="2"/>
        <v>34569.149999999994</v>
      </c>
      <c r="I20" s="224">
        <f t="shared" si="3"/>
        <v>16258.55</v>
      </c>
      <c r="J20" s="224"/>
      <c r="K20" s="222">
        <f t="shared" si="4"/>
        <v>16.211475</v>
      </c>
      <c r="L20" s="222">
        <f t="shared" si="5"/>
        <v>7.624575000000001</v>
      </c>
      <c r="M20" s="222">
        <f t="shared" si="6"/>
        <v>10.162575</v>
      </c>
      <c r="N20" s="553">
        <f t="shared" si="7"/>
        <v>3046.4063437500004</v>
      </c>
      <c r="O20" s="553">
        <f t="shared" si="8"/>
        <v>1432.7847187500001</v>
      </c>
      <c r="P20" s="553"/>
    </row>
    <row r="21" spans="1:16" ht="15.75">
      <c r="A21" s="220" t="s">
        <v>922</v>
      </c>
      <c r="B21" s="221">
        <v>100</v>
      </c>
      <c r="C21" s="217">
        <v>54</v>
      </c>
      <c r="D21" s="222">
        <v>22.83</v>
      </c>
      <c r="E21" s="222">
        <v>7.21</v>
      </c>
      <c r="F21" s="222">
        <v>9.61</v>
      </c>
      <c r="G21" s="223">
        <f t="shared" ref="G21" si="9">SUM(D21:F21)</f>
        <v>39.65</v>
      </c>
      <c r="H21" s="224">
        <f t="shared" si="2"/>
        <v>1232.82</v>
      </c>
      <c r="I21" s="224">
        <f t="shared" si="3"/>
        <v>389.34</v>
      </c>
      <c r="J21" s="224"/>
      <c r="K21" s="222">
        <f t="shared" si="4"/>
        <v>24.142725000000002</v>
      </c>
      <c r="L21" s="222">
        <f t="shared" si="5"/>
        <v>7.624575000000001</v>
      </c>
      <c r="M21" s="222">
        <f t="shared" si="6"/>
        <v>10.162575</v>
      </c>
      <c r="N21" s="553">
        <f t="shared" si="7"/>
        <v>108.64226250000002</v>
      </c>
      <c r="O21" s="553">
        <f t="shared" si="8"/>
        <v>34.310587500000004</v>
      </c>
      <c r="P21" s="553"/>
    </row>
    <row r="22" spans="1:16" ht="15.75">
      <c r="A22" s="220" t="s">
        <v>787</v>
      </c>
      <c r="B22" s="221">
        <v>100</v>
      </c>
      <c r="C22" s="217">
        <v>1445</v>
      </c>
      <c r="D22" s="222">
        <f>26.11-7.21</f>
        <v>18.899999999999999</v>
      </c>
      <c r="E22" s="222">
        <v>7.21</v>
      </c>
      <c r="F22" s="222">
        <v>9.61</v>
      </c>
      <c r="G22" s="223">
        <f t="shared" si="1"/>
        <v>35.72</v>
      </c>
      <c r="H22" s="224">
        <f t="shared" si="2"/>
        <v>27310.499999999996</v>
      </c>
      <c r="I22" s="224">
        <f t="shared" si="3"/>
        <v>10418.450000000001</v>
      </c>
      <c r="J22" s="224"/>
      <c r="K22" s="222">
        <f t="shared" si="4"/>
        <v>19.986750000000001</v>
      </c>
      <c r="L22" s="222">
        <f t="shared" si="5"/>
        <v>7.624575000000001</v>
      </c>
      <c r="M22" s="222">
        <f t="shared" si="6"/>
        <v>10.162575</v>
      </c>
      <c r="N22" s="553">
        <f t="shared" si="7"/>
        <v>2406.7378125</v>
      </c>
      <c r="O22" s="553">
        <f t="shared" si="8"/>
        <v>918.12590625000018</v>
      </c>
      <c r="P22" s="553"/>
    </row>
    <row r="23" spans="1:16" ht="15.75">
      <c r="A23" s="220" t="s">
        <v>923</v>
      </c>
      <c r="B23" s="221">
        <v>100</v>
      </c>
      <c r="C23" s="217">
        <v>6</v>
      </c>
      <c r="D23" s="222">
        <v>28.95</v>
      </c>
      <c r="E23" s="222">
        <v>7.21</v>
      </c>
      <c r="F23" s="222">
        <v>9.61</v>
      </c>
      <c r="G23" s="223">
        <f t="shared" ref="G23" si="10">SUM(D23:F23)</f>
        <v>45.769999999999996</v>
      </c>
      <c r="H23" s="224">
        <f t="shared" si="2"/>
        <v>173.7</v>
      </c>
      <c r="I23" s="224">
        <f t="shared" si="3"/>
        <v>43.26</v>
      </c>
      <c r="J23" s="224"/>
      <c r="K23" s="222">
        <f t="shared" si="4"/>
        <v>30.614625000000004</v>
      </c>
      <c r="L23" s="222">
        <f t="shared" si="5"/>
        <v>7.624575000000001</v>
      </c>
      <c r="M23" s="222">
        <f t="shared" si="6"/>
        <v>10.162575</v>
      </c>
      <c r="N23" s="553">
        <f t="shared" si="7"/>
        <v>15.307312500000002</v>
      </c>
      <c r="O23" s="553">
        <f t="shared" si="8"/>
        <v>3.8122875000000005</v>
      </c>
      <c r="P23" s="553"/>
    </row>
    <row r="24" spans="1:16" ht="15.75">
      <c r="A24" s="220" t="s">
        <v>788</v>
      </c>
      <c r="B24" s="221">
        <v>100</v>
      </c>
      <c r="C24" s="217">
        <v>1235</v>
      </c>
      <c r="D24" s="222">
        <f>29.14-7.21</f>
        <v>21.93</v>
      </c>
      <c r="E24" s="222">
        <v>7.21</v>
      </c>
      <c r="F24" s="222">
        <v>9.61</v>
      </c>
      <c r="G24" s="223">
        <f t="shared" si="1"/>
        <v>38.75</v>
      </c>
      <c r="H24" s="224">
        <f t="shared" si="2"/>
        <v>27083.55</v>
      </c>
      <c r="I24" s="224">
        <f t="shared" si="3"/>
        <v>8904.35</v>
      </c>
      <c r="J24" s="224"/>
      <c r="K24" s="222">
        <f t="shared" si="4"/>
        <v>23.190975000000002</v>
      </c>
      <c r="L24" s="222">
        <f t="shared" si="5"/>
        <v>7.624575000000001</v>
      </c>
      <c r="M24" s="222">
        <f t="shared" si="6"/>
        <v>10.162575</v>
      </c>
      <c r="N24" s="553">
        <f t="shared" si="7"/>
        <v>2386.7378437500001</v>
      </c>
      <c r="O24" s="553">
        <f t="shared" si="8"/>
        <v>784.69584375000011</v>
      </c>
      <c r="P24" s="553"/>
    </row>
    <row r="25" spans="1:16" ht="15.75">
      <c r="A25" s="220" t="s">
        <v>924</v>
      </c>
      <c r="B25" s="221">
        <v>100</v>
      </c>
      <c r="C25" s="217">
        <v>24</v>
      </c>
      <c r="D25" s="222">
        <v>35.01</v>
      </c>
      <c r="E25" s="222">
        <v>7.21</v>
      </c>
      <c r="F25" s="222">
        <v>9.61</v>
      </c>
      <c r="G25" s="223">
        <f t="shared" ref="G25" si="11">SUM(D25:F25)</f>
        <v>51.83</v>
      </c>
      <c r="H25" s="224">
        <f t="shared" si="2"/>
        <v>840.24</v>
      </c>
      <c r="I25" s="224">
        <f t="shared" si="3"/>
        <v>173.04</v>
      </c>
      <c r="J25" s="224"/>
      <c r="K25" s="222">
        <f t="shared" si="4"/>
        <v>37.023074999999999</v>
      </c>
      <c r="L25" s="222">
        <f t="shared" si="5"/>
        <v>7.624575000000001</v>
      </c>
      <c r="M25" s="222">
        <f t="shared" si="6"/>
        <v>10.162575</v>
      </c>
      <c r="N25" s="553">
        <f t="shared" si="7"/>
        <v>74.046149999999997</v>
      </c>
      <c r="O25" s="553">
        <f t="shared" si="8"/>
        <v>15.249150000000002</v>
      </c>
      <c r="P25" s="553"/>
    </row>
    <row r="26" spans="1:16" ht="15.75">
      <c r="A26" s="220" t="s">
        <v>791</v>
      </c>
      <c r="B26" s="221">
        <v>100</v>
      </c>
      <c r="C26" s="217">
        <v>504</v>
      </c>
      <c r="D26" s="222">
        <f>34.79-7.21</f>
        <v>27.58</v>
      </c>
      <c r="E26" s="222">
        <v>7.21</v>
      </c>
      <c r="F26" s="222">
        <v>9.61</v>
      </c>
      <c r="G26" s="223">
        <f t="shared" si="1"/>
        <v>44.4</v>
      </c>
      <c r="H26" s="224">
        <f t="shared" si="2"/>
        <v>13900.32</v>
      </c>
      <c r="I26" s="224">
        <f t="shared" si="3"/>
        <v>3633.84</v>
      </c>
      <c r="J26" s="224"/>
      <c r="K26" s="222">
        <f t="shared" si="4"/>
        <v>29.165850000000002</v>
      </c>
      <c r="L26" s="222">
        <f t="shared" si="5"/>
        <v>7.624575000000001</v>
      </c>
      <c r="M26" s="222">
        <f t="shared" si="6"/>
        <v>10.162575</v>
      </c>
      <c r="N26" s="553">
        <f t="shared" si="7"/>
        <v>1224.9657</v>
      </c>
      <c r="O26" s="553">
        <f t="shared" si="8"/>
        <v>320.23215000000005</v>
      </c>
      <c r="P26" s="553"/>
    </row>
    <row r="27" spans="1:16" ht="15.75">
      <c r="A27" s="220" t="s">
        <v>925</v>
      </c>
      <c r="B27" s="221">
        <v>100</v>
      </c>
      <c r="C27" s="217">
        <v>12</v>
      </c>
      <c r="D27" s="222">
        <v>54.42</v>
      </c>
      <c r="E27" s="222">
        <v>7.21</v>
      </c>
      <c r="F27" s="222">
        <v>9.61</v>
      </c>
      <c r="G27" s="223">
        <f t="shared" ref="G27" si="12">SUM(D27:F27)</f>
        <v>71.240000000000009</v>
      </c>
      <c r="H27" s="224">
        <f t="shared" si="2"/>
        <v>653.04</v>
      </c>
      <c r="I27" s="224">
        <f t="shared" si="3"/>
        <v>86.52</v>
      </c>
      <c r="J27" s="224"/>
      <c r="K27" s="222">
        <f t="shared" si="4"/>
        <v>57.549150000000004</v>
      </c>
      <c r="L27" s="222">
        <f t="shared" si="5"/>
        <v>7.624575000000001</v>
      </c>
      <c r="M27" s="222">
        <f t="shared" si="6"/>
        <v>10.162575</v>
      </c>
      <c r="N27" s="553">
        <f t="shared" si="7"/>
        <v>57.549150000000004</v>
      </c>
      <c r="O27" s="553">
        <f t="shared" si="8"/>
        <v>7.624575000000001</v>
      </c>
      <c r="P27" s="553"/>
    </row>
    <row r="28" spans="1:16" ht="15.75">
      <c r="A28" s="220" t="s">
        <v>794</v>
      </c>
      <c r="B28" s="221">
        <v>100</v>
      </c>
      <c r="C28" s="217">
        <v>76</v>
      </c>
      <c r="D28" s="222">
        <v>5.21</v>
      </c>
      <c r="E28" s="222">
        <v>3.27</v>
      </c>
      <c r="F28" s="222">
        <v>9.61</v>
      </c>
      <c r="G28" s="223">
        <f t="shared" si="1"/>
        <v>18.09</v>
      </c>
      <c r="H28" s="224">
        <f t="shared" si="2"/>
        <v>395.96</v>
      </c>
      <c r="I28" s="224">
        <f t="shared" si="3"/>
        <v>248.52</v>
      </c>
      <c r="J28" s="224"/>
      <c r="K28" s="222">
        <f t="shared" si="4"/>
        <v>5.5095750000000008</v>
      </c>
      <c r="L28" s="222">
        <f t="shared" si="5"/>
        <v>3.4580250000000006</v>
      </c>
      <c r="M28" s="222">
        <f t="shared" si="6"/>
        <v>10.162575</v>
      </c>
      <c r="N28" s="553">
        <f t="shared" si="7"/>
        <v>34.893975000000005</v>
      </c>
      <c r="O28" s="553">
        <f t="shared" si="8"/>
        <v>21.900825000000001</v>
      </c>
      <c r="P28" s="553"/>
    </row>
    <row r="29" spans="1:16" ht="15.75">
      <c r="A29" s="220" t="s">
        <v>660</v>
      </c>
      <c r="B29" s="221">
        <v>100</v>
      </c>
      <c r="C29" s="217">
        <v>7251</v>
      </c>
      <c r="D29" s="222">
        <v>0</v>
      </c>
      <c r="E29" s="222"/>
      <c r="F29" s="222">
        <v>9.61</v>
      </c>
      <c r="G29" s="223"/>
      <c r="H29" s="224">
        <f t="shared" si="2"/>
        <v>0</v>
      </c>
      <c r="I29" s="224"/>
      <c r="J29" s="224">
        <f>+F29*C29</f>
        <v>69682.11</v>
      </c>
      <c r="K29" s="222">
        <f t="shared" si="4"/>
        <v>0</v>
      </c>
      <c r="L29" s="222">
        <f t="shared" si="5"/>
        <v>0</v>
      </c>
      <c r="M29" s="222">
        <f t="shared" si="6"/>
        <v>10.162575</v>
      </c>
      <c r="N29" s="553"/>
      <c r="O29" s="553"/>
      <c r="P29" s="553">
        <f t="shared" ref="P29" si="13">+M29*C29/12</f>
        <v>6140.7359437500008</v>
      </c>
    </row>
    <row r="30" spans="1:16" ht="15.75">
      <c r="A30" s="220" t="s">
        <v>795</v>
      </c>
      <c r="B30" s="221">
        <v>100</v>
      </c>
      <c r="C30" s="217">
        <v>1728</v>
      </c>
      <c r="D30" s="222">
        <v>4.24</v>
      </c>
      <c r="E30" s="222"/>
      <c r="F30" s="222"/>
      <c r="G30" s="223">
        <f t="shared" si="1"/>
        <v>4.24</v>
      </c>
      <c r="H30" s="224">
        <f t="shared" si="2"/>
        <v>7326.72</v>
      </c>
      <c r="I30" s="224"/>
      <c r="J30" s="224"/>
      <c r="K30" s="222">
        <f t="shared" si="4"/>
        <v>4.4838000000000005</v>
      </c>
      <c r="L30" s="222">
        <f t="shared" si="5"/>
        <v>0</v>
      </c>
      <c r="M30" s="222">
        <f t="shared" si="6"/>
        <v>0</v>
      </c>
      <c r="N30" s="553">
        <f t="shared" si="7"/>
        <v>645.66720000000009</v>
      </c>
      <c r="O30" s="553"/>
      <c r="P30" s="553"/>
    </row>
    <row r="31" spans="1:16" ht="15.75">
      <c r="A31" s="220" t="s">
        <v>797</v>
      </c>
      <c r="B31" s="221">
        <v>50</v>
      </c>
      <c r="C31" s="217">
        <v>5</v>
      </c>
      <c r="D31" s="222">
        <v>10</v>
      </c>
      <c r="E31" s="222"/>
      <c r="F31" s="222"/>
      <c r="G31" s="223">
        <f t="shared" si="1"/>
        <v>10</v>
      </c>
      <c r="H31" s="224">
        <f t="shared" si="2"/>
        <v>50</v>
      </c>
      <c r="I31" s="224"/>
      <c r="J31" s="224"/>
      <c r="K31" s="222">
        <f t="shared" si="4"/>
        <v>10.575000000000001</v>
      </c>
      <c r="L31" s="222">
        <f t="shared" si="5"/>
        <v>0</v>
      </c>
      <c r="M31" s="222">
        <f t="shared" si="6"/>
        <v>0</v>
      </c>
      <c r="N31" s="553">
        <f t="shared" si="7"/>
        <v>4.4062500000000009</v>
      </c>
      <c r="O31" s="553"/>
      <c r="P31" s="553"/>
    </row>
    <row r="32" spans="1:16" ht="15.75">
      <c r="A32" s="220" t="s">
        <v>926</v>
      </c>
      <c r="B32" s="221">
        <v>51</v>
      </c>
      <c r="C32" s="217">
        <v>10</v>
      </c>
      <c r="D32" s="222">
        <v>5</v>
      </c>
      <c r="E32" s="222"/>
      <c r="F32" s="222"/>
      <c r="G32" s="223">
        <f t="shared" si="1"/>
        <v>5</v>
      </c>
      <c r="H32" s="224">
        <f t="shared" si="2"/>
        <v>50</v>
      </c>
      <c r="I32" s="224"/>
      <c r="J32" s="224"/>
      <c r="K32" s="222">
        <f t="shared" si="4"/>
        <v>5.2875000000000005</v>
      </c>
      <c r="L32" s="222">
        <f t="shared" si="5"/>
        <v>0</v>
      </c>
      <c r="M32" s="222">
        <f t="shared" si="6"/>
        <v>0</v>
      </c>
      <c r="N32" s="553">
        <f t="shared" si="7"/>
        <v>4.4062500000000009</v>
      </c>
      <c r="O32" s="553"/>
      <c r="P32" s="553"/>
    </row>
    <row r="33" spans="1:16" ht="15.75">
      <c r="A33" s="220" t="s">
        <v>799</v>
      </c>
      <c r="B33" s="221">
        <v>80</v>
      </c>
      <c r="C33" s="225"/>
      <c r="D33" s="222">
        <v>1.66</v>
      </c>
      <c r="E33" s="222"/>
      <c r="F33" s="222"/>
      <c r="G33" s="223">
        <f t="shared" si="1"/>
        <v>1.66</v>
      </c>
      <c r="H33" s="226">
        <f t="shared" si="2"/>
        <v>0</v>
      </c>
      <c r="I33" s="226"/>
      <c r="J33" s="226"/>
      <c r="K33" s="222">
        <f t="shared" si="4"/>
        <v>1.7554500000000002</v>
      </c>
      <c r="L33" s="222">
        <f t="shared" si="5"/>
        <v>0</v>
      </c>
      <c r="M33" s="222">
        <f t="shared" si="6"/>
        <v>0</v>
      </c>
      <c r="N33" s="627"/>
      <c r="O33" s="627"/>
      <c r="P33" s="627"/>
    </row>
    <row r="34" spans="1:16">
      <c r="A34" s="220" t="s">
        <v>800</v>
      </c>
      <c r="B34" s="220"/>
      <c r="C34" s="217"/>
      <c r="D34" s="217"/>
      <c r="E34" s="217"/>
      <c r="F34" s="217"/>
      <c r="G34" s="227"/>
      <c r="H34" s="217">
        <f>SUM(H10:H33)</f>
        <v>185441.12999999998</v>
      </c>
      <c r="I34" s="217">
        <f t="shared" ref="I34:J34" si="14">SUM(I10:I33)</f>
        <v>78845.809999999983</v>
      </c>
      <c r="J34" s="217">
        <f t="shared" si="14"/>
        <v>69682.11</v>
      </c>
      <c r="K34" s="217"/>
      <c r="L34" s="202"/>
      <c r="M34" s="202"/>
      <c r="N34" s="217">
        <f t="shared" ref="N34:P34" si="15">SUM(N10:N33)</f>
        <v>16341.99958125</v>
      </c>
      <c r="O34" s="217">
        <f t="shared" si="15"/>
        <v>6948.2870062499996</v>
      </c>
      <c r="P34" s="217">
        <f t="shared" si="15"/>
        <v>6140.7359437500008</v>
      </c>
    </row>
    <row r="35" spans="1:16">
      <c r="A35" s="228"/>
      <c r="B35" s="228"/>
      <c r="C35" s="217"/>
      <c r="D35" s="227"/>
      <c r="E35" s="217"/>
      <c r="F35" s="217"/>
      <c r="G35" s="229"/>
      <c r="H35" s="217"/>
      <c r="I35" s="217"/>
      <c r="J35" s="217"/>
      <c r="K35" s="217"/>
      <c r="L35" s="202"/>
      <c r="M35" s="202"/>
    </row>
    <row r="36" spans="1:16">
      <c r="A36" s="228"/>
      <c r="B36" s="228"/>
      <c r="C36" s="217"/>
      <c r="D36" s="227"/>
      <c r="E36" s="217"/>
      <c r="F36" s="217"/>
      <c r="G36" s="229"/>
      <c r="H36" s="217"/>
      <c r="I36" s="217"/>
      <c r="J36" s="217"/>
      <c r="K36" s="217"/>
      <c r="L36" s="202"/>
      <c r="M36" s="202"/>
    </row>
    <row r="37" spans="1:16">
      <c r="A37" s="230" t="s">
        <v>927</v>
      </c>
      <c r="B37" s="230"/>
      <c r="C37" s="213"/>
      <c r="D37" s="215"/>
      <c r="E37" s="213"/>
      <c r="F37" s="213"/>
      <c r="G37" s="214"/>
      <c r="H37" s="213"/>
      <c r="I37" s="213"/>
      <c r="J37" s="213"/>
      <c r="K37" s="213"/>
      <c r="L37" s="216"/>
      <c r="M37" s="216"/>
    </row>
    <row r="38" spans="1:16">
      <c r="A38" s="217"/>
      <c r="B38" s="217"/>
      <c r="C38" s="217"/>
      <c r="D38" s="218"/>
      <c r="E38" s="218"/>
      <c r="F38" s="218"/>
      <c r="G38" s="218"/>
      <c r="H38" s="218"/>
      <c r="I38" s="218"/>
      <c r="J38" s="218"/>
      <c r="K38" s="217" t="s">
        <v>734</v>
      </c>
      <c r="L38" s="217" t="s">
        <v>734</v>
      </c>
      <c r="M38" s="217" t="s">
        <v>734</v>
      </c>
    </row>
    <row r="39" spans="1:16">
      <c r="A39" s="217"/>
      <c r="B39" s="218" t="s">
        <v>769</v>
      </c>
      <c r="C39" s="218" t="s">
        <v>770</v>
      </c>
      <c r="D39" s="218" t="s">
        <v>672</v>
      </c>
      <c r="E39" s="218" t="s">
        <v>668</v>
      </c>
      <c r="F39" s="218" t="s">
        <v>660</v>
      </c>
      <c r="G39" s="218" t="s">
        <v>648</v>
      </c>
      <c r="H39" s="218" t="s">
        <v>672</v>
      </c>
      <c r="I39" s="218" t="s">
        <v>668</v>
      </c>
      <c r="J39" s="218" t="s">
        <v>660</v>
      </c>
      <c r="K39" s="218" t="s">
        <v>672</v>
      </c>
      <c r="L39" s="218" t="s">
        <v>668</v>
      </c>
      <c r="M39" s="218" t="s">
        <v>660</v>
      </c>
    </row>
    <row r="40" spans="1:16">
      <c r="A40" s="219" t="s">
        <v>771</v>
      </c>
      <c r="B40" s="219" t="s">
        <v>772</v>
      </c>
      <c r="C40" s="219" t="s">
        <v>773</v>
      </c>
      <c r="D40" s="219" t="s">
        <v>774</v>
      </c>
      <c r="E40" s="219" t="s">
        <v>729</v>
      </c>
      <c r="F40" s="219" t="s">
        <v>729</v>
      </c>
      <c r="G40" s="219" t="s">
        <v>729</v>
      </c>
      <c r="H40" s="219" t="s">
        <v>1</v>
      </c>
      <c r="I40" s="219" t="s">
        <v>1</v>
      </c>
      <c r="J40" s="219" t="s">
        <v>1</v>
      </c>
      <c r="K40" s="219" t="s">
        <v>774</v>
      </c>
      <c r="L40" s="219" t="s">
        <v>774</v>
      </c>
      <c r="M40" s="219" t="s">
        <v>774</v>
      </c>
    </row>
    <row r="41" spans="1:16" ht="15.75">
      <c r="A41" s="220" t="s">
        <v>775</v>
      </c>
      <c r="B41" s="221">
        <v>100</v>
      </c>
      <c r="C41" s="217"/>
      <c r="D41" s="222">
        <v>8.89</v>
      </c>
      <c r="E41" s="222"/>
      <c r="F41" s="222">
        <v>9.61</v>
      </c>
      <c r="G41" s="223">
        <f>SUM(D41:F41)</f>
        <v>18.5</v>
      </c>
      <c r="H41" s="224">
        <f>D41*C41</f>
        <v>0</v>
      </c>
      <c r="I41" s="224">
        <f>C41*E41</f>
        <v>0</v>
      </c>
      <c r="J41" s="224"/>
      <c r="K41" s="222">
        <f t="shared" ref="K41:K64" si="16">+D41*$R$4</f>
        <v>9.4011750000000021</v>
      </c>
      <c r="L41" s="222"/>
      <c r="M41" s="222">
        <f t="shared" ref="M41:M64" si="17">+F41*$R$4</f>
        <v>10.162575</v>
      </c>
      <c r="N41" s="553">
        <f>+K41*C41/12</f>
        <v>0</v>
      </c>
      <c r="O41" s="553"/>
      <c r="P41" s="553"/>
    </row>
    <row r="42" spans="1:16" ht="15.75">
      <c r="A42" s="220" t="s">
        <v>776</v>
      </c>
      <c r="B42" s="221">
        <v>100</v>
      </c>
      <c r="C42" s="217">
        <v>12</v>
      </c>
      <c r="D42" s="222">
        <v>6.72</v>
      </c>
      <c r="E42" s="222"/>
      <c r="F42" s="222">
        <v>9.61</v>
      </c>
      <c r="G42" s="223">
        <f t="shared" ref="G42:G59" si="18">SUM(D42:F42)</f>
        <v>16.329999999999998</v>
      </c>
      <c r="H42" s="224">
        <f t="shared" ref="H42:H64" si="19">D42*C42</f>
        <v>80.64</v>
      </c>
      <c r="I42" s="224">
        <f t="shared" ref="I42:I59" si="20">C42*E42</f>
        <v>0</v>
      </c>
      <c r="J42" s="224"/>
      <c r="K42" s="222">
        <f t="shared" si="16"/>
        <v>7.1064000000000007</v>
      </c>
      <c r="L42" s="222"/>
      <c r="M42" s="222">
        <f t="shared" si="17"/>
        <v>10.162575</v>
      </c>
      <c r="N42" s="553">
        <f t="shared" ref="N42:N64" si="21">+K42*C42/12</f>
        <v>7.1064000000000007</v>
      </c>
      <c r="O42" s="553"/>
      <c r="P42" s="553"/>
    </row>
    <row r="43" spans="1:16" ht="15.75">
      <c r="A43" s="220" t="s">
        <v>777</v>
      </c>
      <c r="B43" s="221">
        <v>100</v>
      </c>
      <c r="C43" s="217">
        <v>162</v>
      </c>
      <c r="D43" s="222">
        <v>13.29</v>
      </c>
      <c r="E43" s="222"/>
      <c r="F43" s="222">
        <v>9.61</v>
      </c>
      <c r="G43" s="223">
        <f t="shared" si="18"/>
        <v>22.9</v>
      </c>
      <c r="H43" s="224">
        <f t="shared" si="19"/>
        <v>2152.98</v>
      </c>
      <c r="I43" s="224">
        <f t="shared" si="20"/>
        <v>0</v>
      </c>
      <c r="J43" s="224"/>
      <c r="K43" s="222">
        <f t="shared" si="16"/>
        <v>14.054175000000001</v>
      </c>
      <c r="L43" s="222"/>
      <c r="M43" s="222">
        <f t="shared" si="17"/>
        <v>10.162575</v>
      </c>
      <c r="N43" s="553">
        <f t="shared" si="21"/>
        <v>189.73136250000002</v>
      </c>
      <c r="O43" s="553"/>
      <c r="P43" s="553"/>
    </row>
    <row r="44" spans="1:16" ht="15.75">
      <c r="A44" s="220" t="s">
        <v>778</v>
      </c>
      <c r="B44" s="221">
        <v>100</v>
      </c>
      <c r="C44" s="217">
        <v>76</v>
      </c>
      <c r="D44" s="222">
        <v>19.100000000000001</v>
      </c>
      <c r="E44" s="222"/>
      <c r="F44" s="222">
        <v>9.61</v>
      </c>
      <c r="G44" s="223">
        <f t="shared" si="18"/>
        <v>28.71</v>
      </c>
      <c r="H44" s="224">
        <f t="shared" si="19"/>
        <v>1451.6000000000001</v>
      </c>
      <c r="I44" s="224">
        <f t="shared" si="20"/>
        <v>0</v>
      </c>
      <c r="J44" s="224"/>
      <c r="K44" s="222">
        <f t="shared" si="16"/>
        <v>20.198250000000005</v>
      </c>
      <c r="L44" s="222"/>
      <c r="M44" s="222">
        <f t="shared" si="17"/>
        <v>10.162575</v>
      </c>
      <c r="N44" s="553">
        <f t="shared" si="21"/>
        <v>127.92225000000003</v>
      </c>
      <c r="O44" s="553"/>
      <c r="P44" s="553"/>
    </row>
    <row r="45" spans="1:16" ht="15.75">
      <c r="A45" s="220" t="s">
        <v>779</v>
      </c>
      <c r="B45" s="221">
        <v>100</v>
      </c>
      <c r="C45" s="217">
        <v>24</v>
      </c>
      <c r="D45" s="222">
        <v>24.41</v>
      </c>
      <c r="E45" s="222"/>
      <c r="F45" s="222">
        <v>9.61</v>
      </c>
      <c r="G45" s="223">
        <f t="shared" si="18"/>
        <v>34.019999999999996</v>
      </c>
      <c r="H45" s="224">
        <f t="shared" si="19"/>
        <v>585.84</v>
      </c>
      <c r="I45" s="224">
        <f t="shared" si="20"/>
        <v>0</v>
      </c>
      <c r="J45" s="224"/>
      <c r="K45" s="222">
        <f t="shared" si="16"/>
        <v>25.813575000000004</v>
      </c>
      <c r="L45" s="222"/>
      <c r="M45" s="222">
        <f t="shared" si="17"/>
        <v>10.162575</v>
      </c>
      <c r="N45" s="553">
        <f t="shared" si="21"/>
        <v>51.627150000000007</v>
      </c>
      <c r="O45" s="553"/>
      <c r="P45" s="553"/>
    </row>
    <row r="46" spans="1:16" ht="15.75">
      <c r="A46" s="220" t="s">
        <v>780</v>
      </c>
      <c r="B46" s="221">
        <v>100</v>
      </c>
      <c r="C46" s="217"/>
      <c r="D46" s="222">
        <v>30.12</v>
      </c>
      <c r="E46" s="222"/>
      <c r="F46" s="222">
        <v>9.61</v>
      </c>
      <c r="G46" s="223">
        <f t="shared" si="18"/>
        <v>39.730000000000004</v>
      </c>
      <c r="H46" s="224">
        <f t="shared" si="19"/>
        <v>0</v>
      </c>
      <c r="I46" s="224">
        <f t="shared" si="20"/>
        <v>0</v>
      </c>
      <c r="J46" s="224"/>
      <c r="K46" s="222">
        <f t="shared" si="16"/>
        <v>31.851900000000004</v>
      </c>
      <c r="L46" s="222"/>
      <c r="M46" s="222">
        <f t="shared" si="17"/>
        <v>10.162575</v>
      </c>
      <c r="N46" s="553">
        <f t="shared" si="21"/>
        <v>0</v>
      </c>
      <c r="O46" s="553"/>
      <c r="P46" s="553"/>
    </row>
    <row r="47" spans="1:16" ht="15.75">
      <c r="A47" s="220" t="s">
        <v>781</v>
      </c>
      <c r="B47" s="221">
        <v>100</v>
      </c>
      <c r="C47" s="217"/>
      <c r="D47" s="222">
        <v>35.83</v>
      </c>
      <c r="E47" s="222"/>
      <c r="F47" s="222">
        <v>9.61</v>
      </c>
      <c r="G47" s="223">
        <f t="shared" si="18"/>
        <v>45.44</v>
      </c>
      <c r="H47" s="224">
        <f t="shared" si="19"/>
        <v>0</v>
      </c>
      <c r="I47" s="224">
        <f t="shared" si="20"/>
        <v>0</v>
      </c>
      <c r="J47" s="224"/>
      <c r="K47" s="222">
        <f t="shared" si="16"/>
        <v>37.890225000000001</v>
      </c>
      <c r="L47" s="222"/>
      <c r="M47" s="222">
        <f t="shared" si="17"/>
        <v>10.162575</v>
      </c>
      <c r="N47" s="553">
        <f t="shared" si="21"/>
        <v>0</v>
      </c>
      <c r="O47" s="553"/>
      <c r="P47" s="553"/>
    </row>
    <row r="48" spans="1:16" ht="15.75">
      <c r="A48" s="220" t="s">
        <v>782</v>
      </c>
      <c r="B48" s="221">
        <v>100</v>
      </c>
      <c r="C48" s="217"/>
      <c r="D48" s="222">
        <v>39.229999999999997</v>
      </c>
      <c r="E48" s="222"/>
      <c r="F48" s="222">
        <v>9.61</v>
      </c>
      <c r="G48" s="223">
        <f t="shared" si="18"/>
        <v>48.839999999999996</v>
      </c>
      <c r="H48" s="224">
        <f t="shared" si="19"/>
        <v>0</v>
      </c>
      <c r="I48" s="224">
        <f t="shared" si="20"/>
        <v>0</v>
      </c>
      <c r="J48" s="224"/>
      <c r="K48" s="222">
        <f t="shared" si="16"/>
        <v>41.485725000000002</v>
      </c>
      <c r="L48" s="222"/>
      <c r="M48" s="222">
        <f t="shared" si="17"/>
        <v>10.162575</v>
      </c>
      <c r="N48" s="553">
        <f t="shared" si="21"/>
        <v>0</v>
      </c>
      <c r="O48" s="553"/>
      <c r="P48" s="553"/>
    </row>
    <row r="49" spans="1:16" ht="15.75">
      <c r="A49" s="220" t="s">
        <v>783</v>
      </c>
      <c r="B49" s="221">
        <v>100</v>
      </c>
      <c r="C49" s="217"/>
      <c r="D49" s="222"/>
      <c r="E49" s="222"/>
      <c r="F49" s="222">
        <v>9.61</v>
      </c>
      <c r="G49" s="223">
        <f t="shared" si="18"/>
        <v>9.61</v>
      </c>
      <c r="H49" s="224">
        <f t="shared" si="19"/>
        <v>0</v>
      </c>
      <c r="I49" s="224">
        <f t="shared" si="20"/>
        <v>0</v>
      </c>
      <c r="J49" s="224"/>
      <c r="K49" s="222">
        <f t="shared" si="16"/>
        <v>0</v>
      </c>
      <c r="L49" s="222"/>
      <c r="M49" s="222">
        <f t="shared" si="17"/>
        <v>10.162575</v>
      </c>
      <c r="N49" s="553">
        <f t="shared" si="21"/>
        <v>0</v>
      </c>
      <c r="O49" s="553"/>
      <c r="P49" s="553"/>
    </row>
    <row r="50" spans="1:16" ht="15.75">
      <c r="A50" s="220" t="s">
        <v>784</v>
      </c>
      <c r="B50" s="221">
        <v>100</v>
      </c>
      <c r="C50" s="217"/>
      <c r="D50" s="222">
        <v>10.8</v>
      </c>
      <c r="E50" s="222"/>
      <c r="F50" s="222">
        <v>9.61</v>
      </c>
      <c r="G50" s="223">
        <f t="shared" si="18"/>
        <v>20.41</v>
      </c>
      <c r="H50" s="224">
        <f t="shared" si="19"/>
        <v>0</v>
      </c>
      <c r="I50" s="224">
        <f t="shared" si="20"/>
        <v>0</v>
      </c>
      <c r="J50" s="224"/>
      <c r="K50" s="222">
        <f t="shared" si="16"/>
        <v>11.421000000000001</v>
      </c>
      <c r="L50" s="222"/>
      <c r="M50" s="222">
        <f t="shared" si="17"/>
        <v>10.162575</v>
      </c>
      <c r="N50" s="553">
        <f t="shared" si="21"/>
        <v>0</v>
      </c>
      <c r="O50" s="553"/>
      <c r="P50" s="553"/>
    </row>
    <row r="51" spans="1:16" ht="15.75">
      <c r="A51" s="220" t="s">
        <v>785</v>
      </c>
      <c r="B51" s="221">
        <v>100</v>
      </c>
      <c r="C51" s="217"/>
      <c r="D51" s="222">
        <f>22.54-7.21</f>
        <v>15.329999999999998</v>
      </c>
      <c r="E51" s="222"/>
      <c r="F51" s="222">
        <v>9.61</v>
      </c>
      <c r="G51" s="223">
        <f t="shared" si="18"/>
        <v>24.939999999999998</v>
      </c>
      <c r="H51" s="224">
        <f t="shared" si="19"/>
        <v>0</v>
      </c>
      <c r="I51" s="224">
        <f t="shared" si="20"/>
        <v>0</v>
      </c>
      <c r="J51" s="224"/>
      <c r="K51" s="222">
        <f t="shared" si="16"/>
        <v>16.211475</v>
      </c>
      <c r="L51" s="222"/>
      <c r="M51" s="222">
        <f t="shared" si="17"/>
        <v>10.162575</v>
      </c>
      <c r="N51" s="553">
        <f t="shared" si="21"/>
        <v>0</v>
      </c>
      <c r="O51" s="553"/>
      <c r="P51" s="553"/>
    </row>
    <row r="52" spans="1:16" ht="15.75">
      <c r="A52" s="220" t="s">
        <v>922</v>
      </c>
      <c r="B52" s="221">
        <v>100</v>
      </c>
      <c r="C52" s="217"/>
      <c r="D52" s="222">
        <v>22.83</v>
      </c>
      <c r="E52" s="222"/>
      <c r="F52" s="222">
        <v>9.61</v>
      </c>
      <c r="G52" s="223">
        <f t="shared" si="18"/>
        <v>32.44</v>
      </c>
      <c r="H52" s="224">
        <f t="shared" si="19"/>
        <v>0</v>
      </c>
      <c r="I52" s="224">
        <f t="shared" si="20"/>
        <v>0</v>
      </c>
      <c r="J52" s="224"/>
      <c r="K52" s="222">
        <f t="shared" si="16"/>
        <v>24.142725000000002</v>
      </c>
      <c r="L52" s="222"/>
      <c r="M52" s="222">
        <f t="shared" si="17"/>
        <v>10.162575</v>
      </c>
      <c r="N52" s="553">
        <f t="shared" si="21"/>
        <v>0</v>
      </c>
      <c r="O52" s="553"/>
      <c r="P52" s="553"/>
    </row>
    <row r="53" spans="1:16" ht="15.75">
      <c r="A53" s="220" t="s">
        <v>787</v>
      </c>
      <c r="B53" s="221">
        <v>100</v>
      </c>
      <c r="C53" s="217"/>
      <c r="D53" s="222">
        <f>26.11-7.21</f>
        <v>18.899999999999999</v>
      </c>
      <c r="E53" s="222"/>
      <c r="F53" s="222">
        <v>9.61</v>
      </c>
      <c r="G53" s="223">
        <f t="shared" si="18"/>
        <v>28.509999999999998</v>
      </c>
      <c r="H53" s="224">
        <f t="shared" si="19"/>
        <v>0</v>
      </c>
      <c r="I53" s="224">
        <f t="shared" si="20"/>
        <v>0</v>
      </c>
      <c r="J53" s="224"/>
      <c r="K53" s="222">
        <f t="shared" si="16"/>
        <v>19.986750000000001</v>
      </c>
      <c r="L53" s="222"/>
      <c r="M53" s="222">
        <f t="shared" si="17"/>
        <v>10.162575</v>
      </c>
      <c r="N53" s="553">
        <f t="shared" si="21"/>
        <v>0</v>
      </c>
      <c r="O53" s="553"/>
      <c r="P53" s="553"/>
    </row>
    <row r="54" spans="1:16" ht="15.75">
      <c r="A54" s="220" t="s">
        <v>923</v>
      </c>
      <c r="B54" s="221">
        <v>100</v>
      </c>
      <c r="C54" s="217"/>
      <c r="D54" s="222">
        <v>28.95</v>
      </c>
      <c r="E54" s="222"/>
      <c r="F54" s="222">
        <v>9.61</v>
      </c>
      <c r="G54" s="223">
        <f t="shared" si="18"/>
        <v>38.56</v>
      </c>
      <c r="H54" s="224">
        <f t="shared" si="19"/>
        <v>0</v>
      </c>
      <c r="I54" s="224">
        <f t="shared" si="20"/>
        <v>0</v>
      </c>
      <c r="J54" s="224"/>
      <c r="K54" s="222">
        <f t="shared" si="16"/>
        <v>30.614625000000004</v>
      </c>
      <c r="L54" s="222"/>
      <c r="M54" s="222">
        <f t="shared" si="17"/>
        <v>10.162575</v>
      </c>
      <c r="N54" s="553">
        <f t="shared" si="21"/>
        <v>0</v>
      </c>
      <c r="O54" s="553"/>
      <c r="P54" s="553"/>
    </row>
    <row r="55" spans="1:16" ht="15.75">
      <c r="A55" s="220" t="s">
        <v>788</v>
      </c>
      <c r="B55" s="221">
        <v>100</v>
      </c>
      <c r="C55" s="217"/>
      <c r="D55" s="222">
        <f>29.14-7.21</f>
        <v>21.93</v>
      </c>
      <c r="E55" s="222"/>
      <c r="F55" s="222">
        <v>9.61</v>
      </c>
      <c r="G55" s="223">
        <f t="shared" si="18"/>
        <v>31.54</v>
      </c>
      <c r="H55" s="224">
        <f t="shared" si="19"/>
        <v>0</v>
      </c>
      <c r="I55" s="224">
        <f t="shared" si="20"/>
        <v>0</v>
      </c>
      <c r="J55" s="224"/>
      <c r="K55" s="222">
        <f t="shared" si="16"/>
        <v>23.190975000000002</v>
      </c>
      <c r="L55" s="222"/>
      <c r="M55" s="222">
        <f t="shared" si="17"/>
        <v>10.162575</v>
      </c>
      <c r="N55" s="553">
        <f t="shared" si="21"/>
        <v>0</v>
      </c>
      <c r="O55" s="553"/>
      <c r="P55" s="553"/>
    </row>
    <row r="56" spans="1:16" ht="15.75">
      <c r="A56" s="220" t="s">
        <v>924</v>
      </c>
      <c r="B56" s="221">
        <v>100</v>
      </c>
      <c r="C56" s="217"/>
      <c r="D56" s="222">
        <v>35.01</v>
      </c>
      <c r="E56" s="222"/>
      <c r="F56" s="222">
        <v>9.61</v>
      </c>
      <c r="G56" s="223">
        <f t="shared" si="18"/>
        <v>44.62</v>
      </c>
      <c r="H56" s="224">
        <f t="shared" si="19"/>
        <v>0</v>
      </c>
      <c r="I56" s="224">
        <f t="shared" si="20"/>
        <v>0</v>
      </c>
      <c r="J56" s="224"/>
      <c r="K56" s="222">
        <f t="shared" si="16"/>
        <v>37.023074999999999</v>
      </c>
      <c r="L56" s="222"/>
      <c r="M56" s="222">
        <f t="shared" si="17"/>
        <v>10.162575</v>
      </c>
      <c r="N56" s="553">
        <f t="shared" si="21"/>
        <v>0</v>
      </c>
      <c r="O56" s="553"/>
      <c r="P56" s="553"/>
    </row>
    <row r="57" spans="1:16" ht="15.75">
      <c r="A57" s="220" t="s">
        <v>791</v>
      </c>
      <c r="B57" s="221">
        <v>100</v>
      </c>
      <c r="C57" s="217"/>
      <c r="D57" s="222">
        <f>34.79-7.21</f>
        <v>27.58</v>
      </c>
      <c r="E57" s="222"/>
      <c r="F57" s="222">
        <v>9.61</v>
      </c>
      <c r="G57" s="223">
        <f t="shared" si="18"/>
        <v>37.19</v>
      </c>
      <c r="H57" s="224">
        <f t="shared" si="19"/>
        <v>0</v>
      </c>
      <c r="I57" s="224">
        <f t="shared" si="20"/>
        <v>0</v>
      </c>
      <c r="J57" s="224"/>
      <c r="K57" s="222">
        <f t="shared" si="16"/>
        <v>29.165850000000002</v>
      </c>
      <c r="L57" s="222"/>
      <c r="M57" s="222">
        <f t="shared" si="17"/>
        <v>10.162575</v>
      </c>
      <c r="N57" s="553">
        <f t="shared" si="21"/>
        <v>0</v>
      </c>
      <c r="O57" s="553"/>
      <c r="P57" s="553"/>
    </row>
    <row r="58" spans="1:16" ht="15.75">
      <c r="A58" s="220" t="s">
        <v>925</v>
      </c>
      <c r="B58" s="221">
        <v>100</v>
      </c>
      <c r="C58" s="217"/>
      <c r="D58" s="222">
        <v>54.42</v>
      </c>
      <c r="E58" s="222"/>
      <c r="F58" s="222">
        <v>9.61</v>
      </c>
      <c r="G58" s="223">
        <f t="shared" si="18"/>
        <v>64.03</v>
      </c>
      <c r="H58" s="224">
        <f t="shared" si="19"/>
        <v>0</v>
      </c>
      <c r="I58" s="224">
        <f t="shared" si="20"/>
        <v>0</v>
      </c>
      <c r="J58" s="224"/>
      <c r="K58" s="222">
        <f t="shared" si="16"/>
        <v>57.549150000000004</v>
      </c>
      <c r="L58" s="222"/>
      <c r="M58" s="222">
        <f t="shared" si="17"/>
        <v>10.162575</v>
      </c>
      <c r="N58" s="553">
        <f t="shared" si="21"/>
        <v>0</v>
      </c>
      <c r="O58" s="553"/>
      <c r="P58" s="553"/>
    </row>
    <row r="59" spans="1:16" ht="15.75">
      <c r="A59" s="220" t="s">
        <v>928</v>
      </c>
      <c r="B59" s="221">
        <v>100</v>
      </c>
      <c r="C59" s="217">
        <v>12</v>
      </c>
      <c r="D59" s="222">
        <v>6.72</v>
      </c>
      <c r="E59" s="222"/>
      <c r="F59" s="222">
        <v>9.61</v>
      </c>
      <c r="G59" s="223">
        <f t="shared" si="18"/>
        <v>16.329999999999998</v>
      </c>
      <c r="H59" s="224">
        <f t="shared" si="19"/>
        <v>80.64</v>
      </c>
      <c r="I59" s="224">
        <f t="shared" si="20"/>
        <v>0</v>
      </c>
      <c r="J59" s="224"/>
      <c r="K59" s="222">
        <f t="shared" si="16"/>
        <v>7.1064000000000007</v>
      </c>
      <c r="L59" s="222"/>
      <c r="M59" s="222">
        <f t="shared" si="17"/>
        <v>10.162575</v>
      </c>
      <c r="N59" s="553">
        <f t="shared" si="21"/>
        <v>7.1064000000000007</v>
      </c>
      <c r="O59" s="553"/>
      <c r="P59" s="553"/>
    </row>
    <row r="60" spans="1:16" ht="15.75">
      <c r="A60" s="220" t="s">
        <v>660</v>
      </c>
      <c r="B60" s="221">
        <v>100</v>
      </c>
      <c r="C60" s="217"/>
      <c r="D60" s="222">
        <v>0</v>
      </c>
      <c r="E60" s="222"/>
      <c r="F60" s="222">
        <v>9.61</v>
      </c>
      <c r="G60" s="223"/>
      <c r="H60" s="224">
        <f t="shared" si="19"/>
        <v>0</v>
      </c>
      <c r="I60" s="224"/>
      <c r="J60" s="224">
        <f>+F60*C60</f>
        <v>0</v>
      </c>
      <c r="K60" s="222">
        <f t="shared" si="16"/>
        <v>0</v>
      </c>
      <c r="L60" s="222"/>
      <c r="M60" s="222">
        <f t="shared" si="17"/>
        <v>10.162575</v>
      </c>
      <c r="N60" s="553">
        <f t="shared" si="21"/>
        <v>0</v>
      </c>
      <c r="O60" s="553"/>
      <c r="P60" s="553"/>
    </row>
    <row r="61" spans="1:16" ht="15.75">
      <c r="A61" s="220" t="s">
        <v>795</v>
      </c>
      <c r="B61" s="221">
        <v>100</v>
      </c>
      <c r="C61" s="217"/>
      <c r="D61" s="222">
        <v>4.24</v>
      </c>
      <c r="E61" s="222"/>
      <c r="F61" s="222"/>
      <c r="G61" s="223">
        <f t="shared" ref="G61:G64" si="22">SUM(D61:F61)</f>
        <v>4.24</v>
      </c>
      <c r="H61" s="224">
        <f t="shared" si="19"/>
        <v>0</v>
      </c>
      <c r="I61" s="224"/>
      <c r="J61" s="224"/>
      <c r="K61" s="222">
        <f t="shared" si="16"/>
        <v>4.4838000000000005</v>
      </c>
      <c r="L61" s="222"/>
      <c r="M61" s="222">
        <f t="shared" si="17"/>
        <v>0</v>
      </c>
      <c r="N61" s="553">
        <f t="shared" si="21"/>
        <v>0</v>
      </c>
      <c r="O61" s="553"/>
      <c r="P61" s="553"/>
    </row>
    <row r="62" spans="1:16" ht="15.75">
      <c r="A62" s="220" t="s">
        <v>797</v>
      </c>
      <c r="B62" s="221">
        <v>50</v>
      </c>
      <c r="C62" s="217"/>
      <c r="D62" s="222">
        <v>10</v>
      </c>
      <c r="E62" s="222"/>
      <c r="F62" s="222"/>
      <c r="G62" s="223">
        <f t="shared" si="22"/>
        <v>10</v>
      </c>
      <c r="H62" s="224">
        <f t="shared" si="19"/>
        <v>0</v>
      </c>
      <c r="I62" s="224"/>
      <c r="J62" s="224"/>
      <c r="K62" s="222">
        <f t="shared" si="16"/>
        <v>10.575000000000001</v>
      </c>
      <c r="L62" s="222"/>
      <c r="M62" s="222">
        <f t="shared" si="17"/>
        <v>0</v>
      </c>
      <c r="N62" s="553">
        <f t="shared" si="21"/>
        <v>0</v>
      </c>
      <c r="O62" s="553"/>
      <c r="P62" s="553"/>
    </row>
    <row r="63" spans="1:16" ht="15.75">
      <c r="A63" s="220" t="s">
        <v>926</v>
      </c>
      <c r="B63" s="221">
        <v>51</v>
      </c>
      <c r="C63" s="217"/>
      <c r="D63" s="222">
        <v>5</v>
      </c>
      <c r="E63" s="222"/>
      <c r="F63" s="222"/>
      <c r="G63" s="223">
        <f t="shared" si="22"/>
        <v>5</v>
      </c>
      <c r="H63" s="224">
        <f t="shared" si="19"/>
        <v>0</v>
      </c>
      <c r="I63" s="224"/>
      <c r="J63" s="224"/>
      <c r="K63" s="222">
        <f t="shared" si="16"/>
        <v>5.2875000000000005</v>
      </c>
      <c r="L63" s="222"/>
      <c r="M63" s="222">
        <f t="shared" si="17"/>
        <v>0</v>
      </c>
      <c r="N63" s="553">
        <f t="shared" si="21"/>
        <v>0</v>
      </c>
      <c r="O63" s="553"/>
      <c r="P63" s="553"/>
    </row>
    <row r="64" spans="1:16" ht="15.75">
      <c r="A64" s="220" t="s">
        <v>799</v>
      </c>
      <c r="B64" s="221">
        <v>80</v>
      </c>
      <c r="C64" s="225"/>
      <c r="D64" s="222">
        <v>1.66</v>
      </c>
      <c r="E64" s="222"/>
      <c r="F64" s="222"/>
      <c r="G64" s="223">
        <f t="shared" si="22"/>
        <v>1.66</v>
      </c>
      <c r="H64" s="226">
        <f t="shared" si="19"/>
        <v>0</v>
      </c>
      <c r="I64" s="226"/>
      <c r="J64" s="226"/>
      <c r="K64" s="222">
        <f t="shared" si="16"/>
        <v>1.7554500000000002</v>
      </c>
      <c r="L64" s="222"/>
      <c r="M64" s="222">
        <f t="shared" si="17"/>
        <v>0</v>
      </c>
      <c r="N64" s="627">
        <f t="shared" si="21"/>
        <v>0</v>
      </c>
      <c r="O64" s="627"/>
      <c r="P64" s="627"/>
    </row>
    <row r="65" spans="1:16" ht="15.75">
      <c r="A65" s="220" t="s">
        <v>800</v>
      </c>
      <c r="B65" s="220"/>
      <c r="C65" s="217"/>
      <c r="D65" s="217"/>
      <c r="E65" s="217"/>
      <c r="F65" s="217"/>
      <c r="G65" s="227"/>
      <c r="H65" s="217">
        <f>SUM(H41:H64)</f>
        <v>4351.7000000000007</v>
      </c>
      <c r="I65" s="217">
        <f t="shared" ref="I65:J65" si="23">SUM(I41:I64)</f>
        <v>0</v>
      </c>
      <c r="J65" s="217">
        <f t="shared" si="23"/>
        <v>0</v>
      </c>
      <c r="K65" s="217"/>
      <c r="L65" s="202"/>
      <c r="M65" s="202"/>
      <c r="N65" s="841">
        <f>SUM(N41:N64)</f>
        <v>383.49356250000011</v>
      </c>
      <c r="O65" s="841">
        <f t="shared" ref="O65:P65" si="24">SUM(O41:O64)</f>
        <v>0</v>
      </c>
      <c r="P65" s="841">
        <f t="shared" si="24"/>
        <v>0</v>
      </c>
    </row>
    <row r="66" spans="1:16" ht="15.75">
      <c r="A66" s="202"/>
      <c r="B66" s="202"/>
      <c r="C66" s="202"/>
      <c r="D66" s="202"/>
      <c r="E66" s="202"/>
      <c r="F66" s="202"/>
      <c r="G66" s="202"/>
      <c r="H66" s="202"/>
      <c r="I66" s="202"/>
      <c r="J66" s="202"/>
      <c r="K66" s="202"/>
      <c r="L66" s="202"/>
      <c r="M66" s="202"/>
      <c r="N66" s="841"/>
      <c r="O66" s="841"/>
      <c r="P66" s="841"/>
    </row>
    <row r="67" spans="1:16" ht="15.75">
      <c r="A67" s="202"/>
      <c r="B67" s="202"/>
      <c r="C67" s="202"/>
      <c r="D67" s="202"/>
      <c r="E67" s="202"/>
      <c r="F67" s="202"/>
      <c r="G67" s="202"/>
      <c r="H67" s="202"/>
      <c r="I67" s="202"/>
      <c r="J67" s="202"/>
      <c r="K67" s="202"/>
      <c r="L67" s="202"/>
      <c r="M67" s="202"/>
      <c r="N67" s="841"/>
      <c r="O67" s="841"/>
      <c r="P67" s="841"/>
    </row>
    <row r="68" spans="1:16" ht="15.75">
      <c r="A68" s="202"/>
      <c r="B68" s="202"/>
      <c r="C68" s="202"/>
      <c r="D68" s="202"/>
      <c r="E68" s="202"/>
      <c r="F68" s="202"/>
      <c r="G68" s="202"/>
      <c r="H68" s="209"/>
      <c r="I68" s="202"/>
      <c r="J68" s="202"/>
      <c r="K68" s="202"/>
      <c r="L68" s="202"/>
      <c r="M68" s="202"/>
      <c r="N68" s="841"/>
      <c r="O68" s="841"/>
      <c r="P68" s="841"/>
    </row>
    <row r="69" spans="1:16" ht="15.75">
      <c r="A69" s="202"/>
      <c r="B69" s="202"/>
      <c r="C69" s="202"/>
      <c r="D69" s="202"/>
      <c r="E69" s="202"/>
      <c r="F69" s="202"/>
      <c r="G69" s="202"/>
      <c r="H69" s="202" t="s">
        <v>672</v>
      </c>
      <c r="I69" s="202" t="s">
        <v>668</v>
      </c>
      <c r="J69" s="202" t="s">
        <v>712</v>
      </c>
      <c r="K69" s="202"/>
      <c r="L69" s="202"/>
      <c r="M69" s="202"/>
      <c r="N69" s="841"/>
      <c r="O69" s="841"/>
      <c r="P69" s="841"/>
    </row>
    <row r="70" spans="1:16">
      <c r="A70" s="202" t="s">
        <v>802</v>
      </c>
      <c r="B70" s="202"/>
      <c r="C70" s="202"/>
      <c r="D70" s="202"/>
      <c r="E70" s="202"/>
      <c r="F70" s="202"/>
      <c r="G70" s="202"/>
      <c r="H70" s="203">
        <f>+H34+H65</f>
        <v>189792.83</v>
      </c>
      <c r="I70" s="203">
        <f>+I34+I65</f>
        <v>78845.809999999983</v>
      </c>
      <c r="J70" s="203">
        <f>+J34+J65</f>
        <v>69682.11</v>
      </c>
      <c r="K70" s="202"/>
      <c r="L70" s="202"/>
      <c r="M70" s="202"/>
      <c r="N70" s="203">
        <f>+N34+N65</f>
        <v>16725.493143750002</v>
      </c>
      <c r="O70" s="203">
        <f>+O34+O65</f>
        <v>6948.2870062499996</v>
      </c>
      <c r="P70" s="203">
        <f>+P34+P65</f>
        <v>6140.7359437500008</v>
      </c>
    </row>
    <row r="71" spans="1:16" ht="15.75">
      <c r="N71" s="841"/>
      <c r="O71" s="841"/>
      <c r="P71" s="841"/>
    </row>
    <row r="72" spans="1:16" ht="15.75">
      <c r="N72" s="841"/>
      <c r="O72" s="841"/>
      <c r="P72" s="841"/>
    </row>
    <row r="73" spans="1:16" ht="15.75">
      <c r="N73" s="841"/>
      <c r="O73" s="841"/>
      <c r="P73" s="841"/>
    </row>
    <row r="74" spans="1:16" ht="15.75">
      <c r="N74" s="841"/>
      <c r="O74" s="841"/>
      <c r="P74" s="841"/>
    </row>
    <row r="75" spans="1:16" ht="15.75">
      <c r="N75" s="841"/>
      <c r="O75" s="841"/>
      <c r="P75" s="841"/>
    </row>
    <row r="76" spans="1:16" ht="15.75">
      <c r="N76" s="841"/>
      <c r="O76" s="841"/>
      <c r="P76" s="841"/>
    </row>
    <row r="77" spans="1:16" ht="15.75">
      <c r="N77" s="841"/>
      <c r="O77" s="841"/>
      <c r="P77" s="841"/>
    </row>
    <row r="78" spans="1:16" ht="15.75">
      <c r="N78" s="841"/>
      <c r="O78" s="841"/>
      <c r="P78" s="841"/>
    </row>
    <row r="79" spans="1:16" ht="15.75">
      <c r="N79" s="841"/>
      <c r="O79" s="841"/>
      <c r="P79" s="841"/>
    </row>
    <row r="80" spans="1:16" ht="15.75">
      <c r="N80" s="841"/>
      <c r="O80" s="841"/>
      <c r="P80" s="841"/>
    </row>
    <row r="81" spans="14:16" ht="15.75">
      <c r="N81" s="841"/>
      <c r="O81" s="841"/>
      <c r="P81" s="841"/>
    </row>
  </sheetData>
  <pageMargins left="0.2" right="0.2" top="0.75" bottom="0.75" header="0.3" footer="0.3"/>
  <pageSetup scale="76" fitToHeight="0" orientation="landscape" r:id="rId1"/>
  <headerFooter>
    <oddFooter>&amp;C&amp;A&amp;RPage &amp;P of &amp;N</oddFooter>
  </headerFooter>
  <rowBreaks count="1" manualBreakCount="1">
    <brk id="36" max="1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65CF-490E-4BBB-844E-42D4F210B5C8}">
  <sheetPr>
    <pageSetUpPr fitToPage="1"/>
  </sheetPr>
  <dimension ref="A1:R117"/>
  <sheetViews>
    <sheetView workbookViewId="0">
      <selection activeCell="A80" sqref="A80"/>
    </sheetView>
  </sheetViews>
  <sheetFormatPr defaultRowHeight="15"/>
  <cols>
    <col min="1" max="1" width="22.44140625" customWidth="1"/>
    <col min="2" max="2" width="10.77734375" customWidth="1"/>
    <col min="3" max="3" width="15.44140625" customWidth="1"/>
    <col min="5" max="5" width="10.5546875" bestFit="1" customWidth="1"/>
    <col min="6" max="6" width="8.88671875" bestFit="1" customWidth="1"/>
    <col min="7" max="7" width="10.33203125" customWidth="1"/>
    <col min="8" max="8" width="9.44140625" bestFit="1" customWidth="1"/>
    <col min="9" max="9" width="10.33203125" bestFit="1" customWidth="1"/>
  </cols>
  <sheetData>
    <row r="1" spans="1:18">
      <c r="A1" s="212" t="s">
        <v>16</v>
      </c>
      <c r="B1" s="216"/>
      <c r="C1" s="216"/>
      <c r="D1" s="216"/>
      <c r="E1" s="216"/>
      <c r="F1" s="216"/>
      <c r="G1" s="216"/>
      <c r="H1" s="216"/>
      <c r="I1" s="202"/>
    </row>
    <row r="2" spans="1:18">
      <c r="A2" s="212" t="s">
        <v>929</v>
      </c>
      <c r="B2" s="216"/>
      <c r="C2" s="216"/>
      <c r="D2" s="216"/>
      <c r="E2" s="216"/>
      <c r="F2" s="216"/>
      <c r="G2" s="216"/>
      <c r="H2" s="216"/>
      <c r="I2" s="202"/>
    </row>
    <row r="3" spans="1:18">
      <c r="A3" s="212" t="s">
        <v>930</v>
      </c>
      <c r="B3" s="216"/>
      <c r="C3" s="216"/>
      <c r="D3" s="216"/>
      <c r="E3" s="216"/>
      <c r="F3" s="216"/>
      <c r="G3" s="216"/>
      <c r="H3" s="216"/>
      <c r="I3" s="202"/>
    </row>
    <row r="4" spans="1:18" ht="15.75">
      <c r="A4" s="202"/>
      <c r="B4" s="202"/>
      <c r="C4" s="202"/>
      <c r="D4" s="202"/>
      <c r="E4" s="202"/>
      <c r="F4" s="202"/>
      <c r="G4" s="202"/>
      <c r="H4" s="202"/>
      <c r="I4" s="202"/>
      <c r="Q4" s="89" t="s">
        <v>1567</v>
      </c>
      <c r="R4" s="579">
        <v>1.0575000000000001</v>
      </c>
    </row>
    <row r="5" spans="1:18">
      <c r="A5" s="220"/>
      <c r="B5" s="220"/>
      <c r="C5" s="231"/>
      <c r="D5" s="217"/>
      <c r="E5" s="217"/>
      <c r="F5" s="217"/>
      <c r="G5" s="217"/>
      <c r="H5" s="217"/>
      <c r="I5" s="217"/>
    </row>
    <row r="6" spans="1:18">
      <c r="A6" s="217"/>
      <c r="B6" s="218" t="s">
        <v>769</v>
      </c>
      <c r="C6" s="218"/>
      <c r="D6" s="218" t="s">
        <v>804</v>
      </c>
      <c r="E6" s="218" t="s">
        <v>804</v>
      </c>
      <c r="F6" s="218" t="s">
        <v>734</v>
      </c>
      <c r="G6" s="218" t="s">
        <v>734</v>
      </c>
      <c r="H6" s="218"/>
      <c r="I6" s="217"/>
      <c r="L6" s="636" t="s">
        <v>1355</v>
      </c>
    </row>
    <row r="7" spans="1:18">
      <c r="A7" s="219" t="s">
        <v>771</v>
      </c>
      <c r="B7" s="219" t="s">
        <v>772</v>
      </c>
      <c r="C7" s="219" t="s">
        <v>1354</v>
      </c>
      <c r="D7" s="219" t="s">
        <v>774</v>
      </c>
      <c r="E7" s="219" t="s">
        <v>1</v>
      </c>
      <c r="F7" s="219" t="s">
        <v>774</v>
      </c>
      <c r="G7" s="219" t="s">
        <v>1</v>
      </c>
      <c r="H7" s="219" t="s">
        <v>805</v>
      </c>
      <c r="I7" s="217"/>
      <c r="L7" s="637" t="s">
        <v>773</v>
      </c>
    </row>
    <row r="8" spans="1:18">
      <c r="A8" s="220" t="s">
        <v>931</v>
      </c>
      <c r="B8" s="221">
        <v>245</v>
      </c>
      <c r="C8" s="217"/>
      <c r="D8" s="222">
        <v>2.59</v>
      </c>
      <c r="E8" s="217">
        <f t="shared" ref="E8:E56" si="0">D8*C8</f>
        <v>0</v>
      </c>
      <c r="F8" s="222">
        <f>+D8*$R$4</f>
        <v>2.7389250000000001</v>
      </c>
      <c r="G8" s="217">
        <f>C8*F8/12</f>
        <v>0</v>
      </c>
      <c r="H8" s="232"/>
      <c r="I8" s="232"/>
    </row>
    <row r="9" spans="1:18" ht="15.75">
      <c r="A9" s="220" t="s">
        <v>807</v>
      </c>
      <c r="B9" s="221">
        <v>245</v>
      </c>
      <c r="C9" s="217">
        <v>106</v>
      </c>
      <c r="D9" s="222">
        <v>16.41</v>
      </c>
      <c r="E9" s="217">
        <f t="shared" si="0"/>
        <v>1739.46</v>
      </c>
      <c r="F9" s="222">
        <f t="shared" ref="F9:F60" si="1">+D9*$R$4</f>
        <v>17.353575000000003</v>
      </c>
      <c r="G9" s="217">
        <f t="shared" ref="G9:G60" si="2">C9*F9/12</f>
        <v>153.28991250000004</v>
      </c>
      <c r="H9" s="232"/>
      <c r="I9" s="217"/>
      <c r="L9" s="638">
        <f>+C9/12</f>
        <v>8.8333333333333339</v>
      </c>
    </row>
    <row r="10" spans="1:18" ht="15.75">
      <c r="A10" s="220" t="s">
        <v>808</v>
      </c>
      <c r="B10" s="221">
        <v>245</v>
      </c>
      <c r="C10" s="217">
        <v>24</v>
      </c>
      <c r="D10" s="222">
        <f>16.41+5.51</f>
        <v>21.92</v>
      </c>
      <c r="E10" s="217">
        <f t="shared" si="0"/>
        <v>526.08000000000004</v>
      </c>
      <c r="F10" s="222">
        <f t="shared" si="1"/>
        <v>23.180400000000006</v>
      </c>
      <c r="G10" s="217">
        <f t="shared" si="2"/>
        <v>46.360800000000012</v>
      </c>
      <c r="H10" s="232"/>
      <c r="I10" s="222"/>
      <c r="L10" s="638">
        <f t="shared" ref="L10:L60" si="3">+C10/12</f>
        <v>2</v>
      </c>
    </row>
    <row r="11" spans="1:18" ht="15.75">
      <c r="A11" s="220" t="s">
        <v>809</v>
      </c>
      <c r="B11" s="221">
        <v>245</v>
      </c>
      <c r="C11" s="217"/>
      <c r="D11" s="222">
        <f>16.41+(5.51*2)</f>
        <v>27.43</v>
      </c>
      <c r="E11" s="217">
        <f t="shared" si="0"/>
        <v>0</v>
      </c>
      <c r="F11" s="222">
        <f t="shared" si="1"/>
        <v>29.007225000000002</v>
      </c>
      <c r="G11" s="217">
        <f t="shared" si="2"/>
        <v>0</v>
      </c>
      <c r="H11" s="232"/>
      <c r="I11" s="222"/>
      <c r="L11" s="638"/>
    </row>
    <row r="12" spans="1:18" ht="15.75">
      <c r="A12" s="220" t="s">
        <v>810</v>
      </c>
      <c r="B12" s="221">
        <v>245</v>
      </c>
      <c r="C12" s="217"/>
      <c r="D12" s="222">
        <f>16.41+(5.51*3)</f>
        <v>32.94</v>
      </c>
      <c r="E12" s="217">
        <f t="shared" si="0"/>
        <v>0</v>
      </c>
      <c r="F12" s="222">
        <f t="shared" si="1"/>
        <v>34.834049999999998</v>
      </c>
      <c r="G12" s="217">
        <f t="shared" si="2"/>
        <v>0</v>
      </c>
      <c r="H12" s="232"/>
      <c r="I12" s="222"/>
      <c r="L12" s="638"/>
    </row>
    <row r="13" spans="1:18" ht="15.75">
      <c r="A13" s="220" t="s">
        <v>811</v>
      </c>
      <c r="B13" s="221">
        <v>245</v>
      </c>
      <c r="C13" s="217"/>
      <c r="D13" s="222">
        <f>16.41+(5.51*4)</f>
        <v>38.450000000000003</v>
      </c>
      <c r="E13" s="217">
        <f t="shared" si="0"/>
        <v>0</v>
      </c>
      <c r="F13" s="222">
        <f t="shared" si="1"/>
        <v>40.660875000000004</v>
      </c>
      <c r="G13" s="217">
        <f t="shared" si="2"/>
        <v>0</v>
      </c>
      <c r="H13" s="232"/>
      <c r="I13" s="222"/>
      <c r="L13" s="638"/>
    </row>
    <row r="14" spans="1:18" ht="15.75">
      <c r="A14" s="220" t="s">
        <v>812</v>
      </c>
      <c r="B14" s="221">
        <v>245</v>
      </c>
      <c r="C14" s="217"/>
      <c r="D14" s="222">
        <f>16.41+(5.51*5)</f>
        <v>43.959999999999994</v>
      </c>
      <c r="E14" s="217">
        <f t="shared" si="0"/>
        <v>0</v>
      </c>
      <c r="F14" s="222">
        <f t="shared" si="1"/>
        <v>46.487699999999997</v>
      </c>
      <c r="G14" s="217">
        <f t="shared" si="2"/>
        <v>0</v>
      </c>
      <c r="H14" s="232"/>
      <c r="I14" s="222"/>
      <c r="L14" s="638"/>
    </row>
    <row r="15" spans="1:18" ht="15.75">
      <c r="A15" s="220" t="s">
        <v>813</v>
      </c>
      <c r="B15" s="221">
        <v>245</v>
      </c>
      <c r="C15" s="217"/>
      <c r="D15" s="222">
        <f>16.41+(5.51*6)</f>
        <v>49.47</v>
      </c>
      <c r="E15" s="217">
        <f t="shared" si="0"/>
        <v>0</v>
      </c>
      <c r="F15" s="222">
        <f t="shared" si="1"/>
        <v>52.314525000000003</v>
      </c>
      <c r="G15" s="217">
        <f t="shared" si="2"/>
        <v>0</v>
      </c>
      <c r="H15" s="232"/>
      <c r="I15" s="222"/>
      <c r="L15" s="638"/>
    </row>
    <row r="16" spans="1:18" ht="15.75">
      <c r="A16" s="220" t="s">
        <v>814</v>
      </c>
      <c r="B16" s="221">
        <v>245</v>
      </c>
      <c r="C16" s="217"/>
      <c r="D16" s="222">
        <f>16.41+(5.51*7)</f>
        <v>54.980000000000004</v>
      </c>
      <c r="E16" s="217">
        <f t="shared" si="0"/>
        <v>0</v>
      </c>
      <c r="F16" s="222">
        <f t="shared" si="1"/>
        <v>58.14135000000001</v>
      </c>
      <c r="G16" s="217">
        <f t="shared" si="2"/>
        <v>0</v>
      </c>
      <c r="H16" s="232"/>
      <c r="I16" s="222"/>
      <c r="L16" s="638"/>
    </row>
    <row r="17" spans="1:12" ht="15.75">
      <c r="A17" s="220" t="s">
        <v>815</v>
      </c>
      <c r="B17" s="221">
        <v>150</v>
      </c>
      <c r="C17" s="217">
        <v>1044</v>
      </c>
      <c r="D17" s="222">
        <v>21.04</v>
      </c>
      <c r="E17" s="217">
        <f t="shared" si="0"/>
        <v>21965.759999999998</v>
      </c>
      <c r="F17" s="222">
        <f t="shared" si="1"/>
        <v>22.2498</v>
      </c>
      <c r="G17" s="217">
        <f t="shared" si="2"/>
        <v>1935.7326</v>
      </c>
      <c r="H17" s="232"/>
      <c r="I17" s="222"/>
      <c r="L17" s="638">
        <f t="shared" si="3"/>
        <v>87</v>
      </c>
    </row>
    <row r="18" spans="1:12" ht="15.75">
      <c r="A18" s="220" t="s">
        <v>816</v>
      </c>
      <c r="B18" s="221">
        <v>240</v>
      </c>
      <c r="C18" s="217">
        <v>29</v>
      </c>
      <c r="D18" s="222">
        <f>32.56+(11.49*3.333)</f>
        <v>70.856170000000006</v>
      </c>
      <c r="E18" s="217">
        <f t="shared" si="0"/>
        <v>2054.8289300000001</v>
      </c>
      <c r="F18" s="222">
        <f t="shared" si="1"/>
        <v>74.930399775000012</v>
      </c>
      <c r="G18" s="217">
        <f t="shared" si="2"/>
        <v>181.08179945625002</v>
      </c>
      <c r="H18" s="217"/>
      <c r="I18" s="222"/>
      <c r="L18" s="638">
        <f t="shared" si="3"/>
        <v>2.4166666666666665</v>
      </c>
    </row>
    <row r="19" spans="1:12" ht="15.75">
      <c r="A19" s="220" t="s">
        <v>817</v>
      </c>
      <c r="B19" s="221">
        <v>240</v>
      </c>
      <c r="C19" s="217"/>
      <c r="D19" s="222">
        <f>32.56+11.49*7.666</f>
        <v>120.64234</v>
      </c>
      <c r="E19" s="217">
        <f t="shared" si="0"/>
        <v>0</v>
      </c>
      <c r="F19" s="222">
        <f t="shared" si="1"/>
        <v>127.57927455000002</v>
      </c>
      <c r="G19" s="217">
        <f t="shared" si="2"/>
        <v>0</v>
      </c>
      <c r="H19" s="217"/>
      <c r="I19" s="222"/>
      <c r="L19" s="638"/>
    </row>
    <row r="20" spans="1:12" ht="15.75">
      <c r="A20" s="220" t="s">
        <v>818</v>
      </c>
      <c r="B20" s="221">
        <v>240</v>
      </c>
      <c r="C20" s="217"/>
      <c r="D20" s="222">
        <f>32.56+11.49*11.999</f>
        <v>170.42851000000002</v>
      </c>
      <c r="E20" s="217">
        <f t="shared" si="0"/>
        <v>0</v>
      </c>
      <c r="F20" s="222">
        <f t="shared" si="1"/>
        <v>180.22814932500003</v>
      </c>
      <c r="G20" s="217">
        <f t="shared" si="2"/>
        <v>0</v>
      </c>
      <c r="H20" s="217"/>
      <c r="I20" s="222"/>
      <c r="L20" s="638"/>
    </row>
    <row r="21" spans="1:12" ht="15.75">
      <c r="A21" s="231" t="s">
        <v>819</v>
      </c>
      <c r="B21" s="221">
        <v>240</v>
      </c>
      <c r="C21" s="217"/>
      <c r="D21" s="222">
        <f>32.56+11.49*20.665</f>
        <v>270.00085000000001</v>
      </c>
      <c r="E21" s="217">
        <f t="shared" si="0"/>
        <v>0</v>
      </c>
      <c r="F21" s="222">
        <f t="shared" si="1"/>
        <v>285.52589887500005</v>
      </c>
      <c r="G21" s="217">
        <f t="shared" si="2"/>
        <v>0</v>
      </c>
      <c r="H21" s="217"/>
      <c r="I21" s="222"/>
      <c r="L21" s="638"/>
    </row>
    <row r="22" spans="1:12" ht="15.75">
      <c r="A22" s="220" t="s">
        <v>820</v>
      </c>
      <c r="B22" s="221">
        <v>240</v>
      </c>
      <c r="C22" s="217">
        <v>17</v>
      </c>
      <c r="D22" s="222">
        <f>45.07+22.81*3.333</f>
        <v>121.09573</v>
      </c>
      <c r="E22" s="217">
        <f t="shared" si="0"/>
        <v>2058.6274100000001</v>
      </c>
      <c r="F22" s="222">
        <f t="shared" si="1"/>
        <v>128.05873447500002</v>
      </c>
      <c r="G22" s="217">
        <f t="shared" si="2"/>
        <v>181.41654050625004</v>
      </c>
      <c r="H22" s="217"/>
      <c r="I22" s="222"/>
      <c r="L22" s="638">
        <f t="shared" si="3"/>
        <v>1.4166666666666667</v>
      </c>
    </row>
    <row r="23" spans="1:12" ht="15.75">
      <c r="A23" s="220" t="s">
        <v>821</v>
      </c>
      <c r="B23" s="221">
        <v>240</v>
      </c>
      <c r="C23" s="217"/>
      <c r="D23" s="222">
        <f>45.07+22.81*7.66</f>
        <v>219.79459999999997</v>
      </c>
      <c r="E23" s="217">
        <f t="shared" si="0"/>
        <v>0</v>
      </c>
      <c r="F23" s="222">
        <f t="shared" si="1"/>
        <v>232.43278949999998</v>
      </c>
      <c r="G23" s="217">
        <f t="shared" si="2"/>
        <v>0</v>
      </c>
      <c r="H23" s="217"/>
      <c r="I23" s="222"/>
      <c r="L23" s="638"/>
    </row>
    <row r="24" spans="1:12" ht="15.75">
      <c r="A24" s="220" t="s">
        <v>822</v>
      </c>
      <c r="B24" s="221">
        <v>240</v>
      </c>
      <c r="C24" s="217"/>
      <c r="D24" s="222">
        <f>45.07+22.81*11.999</f>
        <v>318.76718999999997</v>
      </c>
      <c r="E24" s="217">
        <f t="shared" si="0"/>
        <v>0</v>
      </c>
      <c r="F24" s="222">
        <f t="shared" si="1"/>
        <v>337.09630342500003</v>
      </c>
      <c r="G24" s="217">
        <f t="shared" si="2"/>
        <v>0</v>
      </c>
      <c r="H24" s="217"/>
      <c r="I24" s="222"/>
      <c r="L24" s="638"/>
    </row>
    <row r="25" spans="1:12" ht="15.75">
      <c r="A25" s="220" t="s">
        <v>823</v>
      </c>
      <c r="B25" s="221">
        <v>240</v>
      </c>
      <c r="C25" s="217">
        <v>12</v>
      </c>
      <c r="D25" s="222">
        <f>45.07+22.81*16.332</f>
        <v>417.60291999999998</v>
      </c>
      <c r="E25" s="217">
        <f t="shared" si="0"/>
        <v>5011.2350399999996</v>
      </c>
      <c r="F25" s="222">
        <f t="shared" si="1"/>
        <v>441.61508790000005</v>
      </c>
      <c r="G25" s="217">
        <f t="shared" si="2"/>
        <v>441.61508789999999</v>
      </c>
      <c r="H25" s="217"/>
      <c r="I25" s="222"/>
      <c r="L25" s="638">
        <f t="shared" si="3"/>
        <v>1</v>
      </c>
    </row>
    <row r="26" spans="1:12" ht="15.75">
      <c r="A26" s="220" t="s">
        <v>825</v>
      </c>
      <c r="B26" s="221">
        <v>240</v>
      </c>
      <c r="C26" s="217"/>
      <c r="D26" s="222">
        <f>45.07+22.81*24.998</f>
        <v>615.27438000000006</v>
      </c>
      <c r="E26" s="217">
        <f t="shared" si="0"/>
        <v>0</v>
      </c>
      <c r="F26" s="222">
        <f t="shared" si="1"/>
        <v>650.65265685000008</v>
      </c>
      <c r="G26" s="217">
        <f t="shared" si="2"/>
        <v>0</v>
      </c>
      <c r="H26" s="217"/>
      <c r="I26" s="222"/>
      <c r="L26" s="638"/>
    </row>
    <row r="27" spans="1:12" ht="15.75">
      <c r="A27" s="220" t="s">
        <v>826</v>
      </c>
      <c r="B27" s="221">
        <v>240</v>
      </c>
      <c r="C27" s="217"/>
      <c r="D27" s="222">
        <f>59.46+3.333*31.21</f>
        <v>163.48293000000001</v>
      </c>
      <c r="E27" s="217">
        <f t="shared" si="0"/>
        <v>0</v>
      </c>
      <c r="F27" s="222">
        <f t="shared" si="1"/>
        <v>172.88319847500003</v>
      </c>
      <c r="G27" s="217">
        <f t="shared" si="2"/>
        <v>0</v>
      </c>
      <c r="H27" s="217"/>
      <c r="I27" s="222"/>
      <c r="L27" s="638"/>
    </row>
    <row r="28" spans="1:12" ht="15.75">
      <c r="A28" s="220" t="s">
        <v>827</v>
      </c>
      <c r="B28" s="221">
        <v>240</v>
      </c>
      <c r="C28" s="217">
        <v>16</v>
      </c>
      <c r="D28" s="222">
        <f>59.46+7.666*31.21</f>
        <v>298.71586000000002</v>
      </c>
      <c r="E28" s="217">
        <f t="shared" si="0"/>
        <v>4779.4537600000003</v>
      </c>
      <c r="F28" s="222">
        <f t="shared" si="1"/>
        <v>315.89202195000007</v>
      </c>
      <c r="G28" s="217">
        <f t="shared" si="2"/>
        <v>421.18936260000009</v>
      </c>
      <c r="H28" s="217"/>
      <c r="I28" s="222"/>
      <c r="L28" s="638">
        <f t="shared" si="3"/>
        <v>1.3333333333333333</v>
      </c>
    </row>
    <row r="29" spans="1:12" ht="15.75">
      <c r="A29" s="220" t="s">
        <v>828</v>
      </c>
      <c r="B29" s="221">
        <v>240</v>
      </c>
      <c r="C29" s="217">
        <v>8</v>
      </c>
      <c r="D29" s="222">
        <f>59.46+11.999*31.21</f>
        <v>433.94879000000003</v>
      </c>
      <c r="E29" s="217">
        <f t="shared" si="0"/>
        <v>3471.5903200000002</v>
      </c>
      <c r="F29" s="222">
        <f t="shared" si="1"/>
        <v>458.90084542500006</v>
      </c>
      <c r="G29" s="217">
        <f t="shared" si="2"/>
        <v>305.93389695000002</v>
      </c>
      <c r="H29" s="217"/>
      <c r="I29" s="222"/>
      <c r="L29" s="638">
        <f t="shared" si="3"/>
        <v>0.66666666666666663</v>
      </c>
    </row>
    <row r="30" spans="1:12" ht="15.75">
      <c r="A30" s="220" t="s">
        <v>829</v>
      </c>
      <c r="B30" s="221">
        <v>240</v>
      </c>
      <c r="C30" s="217"/>
      <c r="D30" s="222">
        <f>59.46+16.332*31.21</f>
        <v>569.18172000000004</v>
      </c>
      <c r="E30" s="217">
        <f t="shared" si="0"/>
        <v>0</v>
      </c>
      <c r="F30" s="222">
        <f t="shared" si="1"/>
        <v>601.90966890000016</v>
      </c>
      <c r="G30" s="217">
        <f t="shared" si="2"/>
        <v>0</v>
      </c>
      <c r="H30" s="217"/>
      <c r="I30" s="222"/>
      <c r="L30" s="638"/>
    </row>
    <row r="31" spans="1:12" ht="15.75">
      <c r="A31" s="220" t="s">
        <v>830</v>
      </c>
      <c r="B31" s="221">
        <v>240</v>
      </c>
      <c r="C31" s="217"/>
      <c r="D31" s="222">
        <f>59.46+20.665*31.21</f>
        <v>704.41465000000005</v>
      </c>
      <c r="E31" s="217">
        <f t="shared" si="0"/>
        <v>0</v>
      </c>
      <c r="F31" s="222">
        <f t="shared" si="1"/>
        <v>744.91849237500014</v>
      </c>
      <c r="G31" s="217">
        <f t="shared" si="2"/>
        <v>0</v>
      </c>
      <c r="H31" s="217"/>
      <c r="I31" s="222"/>
      <c r="L31" s="638"/>
    </row>
    <row r="32" spans="1:12" ht="15.75">
      <c r="A32" s="220" t="s">
        <v>831</v>
      </c>
      <c r="B32" s="221">
        <v>240</v>
      </c>
      <c r="C32" s="217"/>
      <c r="D32" s="222">
        <f>59.46+24.998*31.21</f>
        <v>839.64758000000006</v>
      </c>
      <c r="E32" s="217">
        <f t="shared" si="0"/>
        <v>0</v>
      </c>
      <c r="F32" s="222">
        <f t="shared" si="1"/>
        <v>887.92731585000013</v>
      </c>
      <c r="G32" s="217">
        <f t="shared" si="2"/>
        <v>0</v>
      </c>
      <c r="H32" s="217"/>
      <c r="I32" s="222"/>
      <c r="L32" s="638"/>
    </row>
    <row r="33" spans="1:12" ht="15.75">
      <c r="A33" s="220" t="s">
        <v>832</v>
      </c>
      <c r="B33" s="221">
        <v>240</v>
      </c>
      <c r="C33" s="217"/>
      <c r="D33" s="233">
        <f>66.48+44.47*3.333</f>
        <v>214.69851</v>
      </c>
      <c r="E33" s="217">
        <f t="shared" si="0"/>
        <v>0</v>
      </c>
      <c r="F33" s="222">
        <f t="shared" si="1"/>
        <v>227.04367432500001</v>
      </c>
      <c r="G33" s="217">
        <f t="shared" si="2"/>
        <v>0</v>
      </c>
      <c r="H33" s="217"/>
      <c r="I33" s="222"/>
      <c r="L33" s="638"/>
    </row>
    <row r="34" spans="1:12" ht="15.75">
      <c r="A34" s="220" t="s">
        <v>833</v>
      </c>
      <c r="B34" s="221">
        <v>240</v>
      </c>
      <c r="C34" s="217"/>
      <c r="D34" s="233">
        <f>66.48+44.47*7.666</f>
        <v>407.38702000000001</v>
      </c>
      <c r="E34" s="217">
        <f t="shared" si="0"/>
        <v>0</v>
      </c>
      <c r="F34" s="222">
        <f t="shared" si="1"/>
        <v>430.81177365000008</v>
      </c>
      <c r="G34" s="217">
        <f t="shared" si="2"/>
        <v>0</v>
      </c>
      <c r="H34" s="217"/>
      <c r="I34" s="222"/>
      <c r="L34" s="638"/>
    </row>
    <row r="35" spans="1:12" ht="15.75">
      <c r="A35" s="220" t="s">
        <v>834</v>
      </c>
      <c r="B35" s="221">
        <v>240</v>
      </c>
      <c r="C35" s="217"/>
      <c r="D35" s="233">
        <f>66.48+44.47*11.999</f>
        <v>600.07553000000007</v>
      </c>
      <c r="E35" s="217">
        <f t="shared" si="0"/>
        <v>0</v>
      </c>
      <c r="F35" s="222">
        <f t="shared" si="1"/>
        <v>634.57987297500017</v>
      </c>
      <c r="G35" s="217">
        <f t="shared" si="2"/>
        <v>0</v>
      </c>
      <c r="H35" s="217"/>
      <c r="I35" s="222"/>
      <c r="L35" s="638"/>
    </row>
    <row r="36" spans="1:12" ht="15.75">
      <c r="A36" s="220" t="s">
        <v>835</v>
      </c>
      <c r="B36" s="221">
        <v>240</v>
      </c>
      <c r="C36" s="217"/>
      <c r="D36" s="233">
        <f>66.48+44.47*16.332</f>
        <v>792.76404000000002</v>
      </c>
      <c r="E36" s="217">
        <f t="shared" si="0"/>
        <v>0</v>
      </c>
      <c r="F36" s="222">
        <f t="shared" si="1"/>
        <v>838.34797230000015</v>
      </c>
      <c r="G36" s="217">
        <f t="shared" si="2"/>
        <v>0</v>
      </c>
      <c r="H36" s="217"/>
      <c r="I36" s="222"/>
      <c r="L36" s="638"/>
    </row>
    <row r="37" spans="1:12" ht="15.75">
      <c r="A37" s="220" t="s">
        <v>836</v>
      </c>
      <c r="B37" s="221">
        <v>240</v>
      </c>
      <c r="C37" s="217">
        <v>4</v>
      </c>
      <c r="D37" s="233">
        <f>88.65+59.19*3.333</f>
        <v>285.93027000000001</v>
      </c>
      <c r="E37" s="217">
        <f t="shared" si="0"/>
        <v>1143.72108</v>
      </c>
      <c r="F37" s="222">
        <f t="shared" si="1"/>
        <v>302.37126052500003</v>
      </c>
      <c r="G37" s="217">
        <f t="shared" si="2"/>
        <v>100.79042017500001</v>
      </c>
      <c r="H37" s="217"/>
      <c r="I37" s="222"/>
      <c r="L37" s="638">
        <v>1</v>
      </c>
    </row>
    <row r="38" spans="1:12" ht="15.75">
      <c r="A38" s="220" t="s">
        <v>837</v>
      </c>
      <c r="B38" s="221">
        <v>240</v>
      </c>
      <c r="C38" s="217"/>
      <c r="D38" s="233">
        <f>88.65+59.19*7.666</f>
        <v>542.40053999999998</v>
      </c>
      <c r="E38" s="217">
        <f t="shared" si="0"/>
        <v>0</v>
      </c>
      <c r="F38" s="222">
        <f t="shared" si="1"/>
        <v>573.58857105000004</v>
      </c>
      <c r="G38" s="217">
        <f t="shared" si="2"/>
        <v>0</v>
      </c>
      <c r="H38" s="217"/>
      <c r="I38" s="222"/>
      <c r="L38" s="638"/>
    </row>
    <row r="39" spans="1:12" ht="15.75">
      <c r="A39" s="220" t="s">
        <v>838</v>
      </c>
      <c r="B39" s="221">
        <v>240</v>
      </c>
      <c r="C39" s="217"/>
      <c r="D39" s="233">
        <f>88.65+59.19*11.999</f>
        <v>798.87081000000001</v>
      </c>
      <c r="E39" s="217">
        <f t="shared" si="0"/>
        <v>0</v>
      </c>
      <c r="F39" s="222">
        <f t="shared" si="1"/>
        <v>844.80588157500006</v>
      </c>
      <c r="G39" s="217">
        <f t="shared" si="2"/>
        <v>0</v>
      </c>
      <c r="H39" s="217"/>
      <c r="I39" s="222"/>
      <c r="L39" s="638"/>
    </row>
    <row r="40" spans="1:12" ht="15.75">
      <c r="A40" s="220" t="s">
        <v>839</v>
      </c>
      <c r="B40" s="221">
        <v>240</v>
      </c>
      <c r="C40" s="217"/>
      <c r="D40" s="233">
        <f>88.65+59.19*16.332</f>
        <v>1055.3410800000001</v>
      </c>
      <c r="E40" s="217">
        <f t="shared" si="0"/>
        <v>0</v>
      </c>
      <c r="F40" s="222">
        <f t="shared" si="1"/>
        <v>1116.0231921000002</v>
      </c>
      <c r="G40" s="217">
        <f t="shared" si="2"/>
        <v>0</v>
      </c>
      <c r="H40" s="217"/>
      <c r="I40" s="222"/>
      <c r="L40" s="638"/>
    </row>
    <row r="41" spans="1:12" ht="15.75">
      <c r="A41" s="231" t="s">
        <v>840</v>
      </c>
      <c r="B41" s="221">
        <v>240</v>
      </c>
      <c r="C41" s="217"/>
      <c r="D41" s="233">
        <f>88.65+59.19*20.665</f>
        <v>1311.8113499999999</v>
      </c>
      <c r="E41" s="217">
        <f t="shared" si="0"/>
        <v>0</v>
      </c>
      <c r="F41" s="222">
        <f t="shared" si="1"/>
        <v>1387.2405026250001</v>
      </c>
      <c r="G41" s="217">
        <f t="shared" si="2"/>
        <v>0</v>
      </c>
      <c r="H41" s="217"/>
      <c r="I41" s="222"/>
      <c r="L41" s="638"/>
    </row>
    <row r="42" spans="1:12" ht="15.75">
      <c r="A42" s="220" t="s">
        <v>841</v>
      </c>
      <c r="B42" s="221">
        <v>240</v>
      </c>
      <c r="C42" s="217">
        <v>20</v>
      </c>
      <c r="D42" s="233">
        <f>117.43+77.43*3.333</f>
        <v>375.50419000000005</v>
      </c>
      <c r="E42" s="217">
        <f t="shared" si="0"/>
        <v>7510.0838000000012</v>
      </c>
      <c r="F42" s="222">
        <f t="shared" si="1"/>
        <v>397.09568092500007</v>
      </c>
      <c r="G42" s="217">
        <f t="shared" si="2"/>
        <v>661.82613487500009</v>
      </c>
      <c r="H42" s="217"/>
      <c r="I42" s="222"/>
      <c r="L42" s="638">
        <f t="shared" si="3"/>
        <v>1.6666666666666667</v>
      </c>
    </row>
    <row r="43" spans="1:12" ht="15.75">
      <c r="A43" s="220" t="s">
        <v>842</v>
      </c>
      <c r="B43" s="221">
        <v>240</v>
      </c>
      <c r="C43" s="217">
        <v>1</v>
      </c>
      <c r="D43" s="233">
        <f>117.43+77.43*7.66</f>
        <v>710.54380000000015</v>
      </c>
      <c r="E43" s="217">
        <f t="shared" si="0"/>
        <v>710.54380000000015</v>
      </c>
      <c r="F43" s="222">
        <f t="shared" si="1"/>
        <v>751.4000685000002</v>
      </c>
      <c r="G43" s="217">
        <f t="shared" si="2"/>
        <v>62.616672375000014</v>
      </c>
      <c r="H43" s="217"/>
      <c r="I43" s="222"/>
      <c r="L43" s="638">
        <v>1</v>
      </c>
    </row>
    <row r="44" spans="1:12" ht="15.75">
      <c r="A44" s="220" t="s">
        <v>843</v>
      </c>
      <c r="B44" s="221">
        <v>240</v>
      </c>
      <c r="C44" s="217"/>
      <c r="D44" s="233">
        <f>117.43+77.43*11.999</f>
        <v>1046.5125700000001</v>
      </c>
      <c r="E44" s="217">
        <f t="shared" si="0"/>
        <v>0</v>
      </c>
      <c r="F44" s="222">
        <f t="shared" si="1"/>
        <v>1106.6870427750002</v>
      </c>
      <c r="G44" s="217">
        <f t="shared" si="2"/>
        <v>0</v>
      </c>
      <c r="H44" s="217"/>
      <c r="I44" s="222"/>
      <c r="L44" s="638"/>
    </row>
    <row r="45" spans="1:12" ht="15.75">
      <c r="A45" s="220" t="s">
        <v>844</v>
      </c>
      <c r="B45" s="221">
        <v>240</v>
      </c>
      <c r="C45" s="217"/>
      <c r="D45" s="233">
        <f>117.43+77.43*20.665</f>
        <v>1717.5209500000001</v>
      </c>
      <c r="E45" s="217">
        <f t="shared" si="0"/>
        <v>0</v>
      </c>
      <c r="F45" s="222">
        <f t="shared" si="1"/>
        <v>1816.2784046250003</v>
      </c>
      <c r="G45" s="217">
        <f t="shared" si="2"/>
        <v>0</v>
      </c>
      <c r="H45" s="217"/>
      <c r="I45" s="222"/>
      <c r="L45" s="638"/>
    </row>
    <row r="46" spans="1:12" ht="15.75">
      <c r="A46" s="220" t="s">
        <v>845</v>
      </c>
      <c r="B46" s="221"/>
      <c r="C46" s="217">
        <v>12</v>
      </c>
      <c r="D46" s="222">
        <f>21.25-6.75</f>
        <v>14.5</v>
      </c>
      <c r="E46" s="217">
        <f t="shared" si="0"/>
        <v>174</v>
      </c>
      <c r="F46" s="222">
        <f t="shared" si="1"/>
        <v>15.333750000000002</v>
      </c>
      <c r="G46" s="217">
        <f t="shared" si="2"/>
        <v>15.333750000000002</v>
      </c>
      <c r="H46" s="217"/>
      <c r="I46" s="222"/>
      <c r="L46" s="638">
        <f t="shared" si="3"/>
        <v>1</v>
      </c>
    </row>
    <row r="47" spans="1:12" ht="15.75">
      <c r="A47" s="220" t="s">
        <v>846</v>
      </c>
      <c r="B47" s="221"/>
      <c r="C47" s="217">
        <v>24</v>
      </c>
      <c r="D47" s="222">
        <f>14.5*2</f>
        <v>29</v>
      </c>
      <c r="E47" s="217">
        <f t="shared" si="0"/>
        <v>696</v>
      </c>
      <c r="F47" s="222">
        <f t="shared" si="1"/>
        <v>30.667500000000004</v>
      </c>
      <c r="G47" s="217">
        <f t="shared" si="2"/>
        <v>61.335000000000008</v>
      </c>
      <c r="H47" s="217"/>
      <c r="I47" s="222"/>
      <c r="L47" s="638">
        <f t="shared" si="3"/>
        <v>2</v>
      </c>
    </row>
    <row r="48" spans="1:12" ht="15.75">
      <c r="A48" s="220" t="s">
        <v>847</v>
      </c>
      <c r="B48" s="221"/>
      <c r="C48" s="217"/>
      <c r="D48" s="222">
        <f>14.5*3</f>
        <v>43.5</v>
      </c>
      <c r="E48" s="217">
        <f t="shared" si="0"/>
        <v>0</v>
      </c>
      <c r="F48" s="222">
        <f t="shared" si="1"/>
        <v>46.001250000000006</v>
      </c>
      <c r="G48" s="217">
        <f t="shared" si="2"/>
        <v>0</v>
      </c>
      <c r="H48" s="217"/>
      <c r="I48" s="222"/>
      <c r="L48" s="638"/>
    </row>
    <row r="49" spans="1:12" ht="15.75">
      <c r="A49" s="220" t="s">
        <v>848</v>
      </c>
      <c r="B49" s="221"/>
      <c r="C49" s="217"/>
      <c r="D49" s="222">
        <f>+D46*4</f>
        <v>58</v>
      </c>
      <c r="E49" s="217">
        <f t="shared" si="0"/>
        <v>0</v>
      </c>
      <c r="F49" s="222">
        <f t="shared" si="1"/>
        <v>61.335000000000008</v>
      </c>
      <c r="G49" s="217">
        <f t="shared" si="2"/>
        <v>0</v>
      </c>
      <c r="H49" s="217"/>
      <c r="I49" s="222"/>
      <c r="L49" s="638"/>
    </row>
    <row r="50" spans="1:12" ht="15.75">
      <c r="A50" s="220" t="s">
        <v>849</v>
      </c>
      <c r="B50" s="221"/>
      <c r="C50" s="217"/>
      <c r="D50" s="222">
        <v>17.690000000000001</v>
      </c>
      <c r="E50" s="217">
        <f t="shared" si="0"/>
        <v>0</v>
      </c>
      <c r="F50" s="222">
        <f t="shared" si="1"/>
        <v>18.707175000000003</v>
      </c>
      <c r="G50" s="217">
        <f t="shared" si="2"/>
        <v>0</v>
      </c>
      <c r="H50" s="217"/>
      <c r="I50" s="222"/>
      <c r="L50" s="638"/>
    </row>
    <row r="51" spans="1:12" ht="15.75">
      <c r="A51" s="220" t="s">
        <v>850</v>
      </c>
      <c r="B51" s="221"/>
      <c r="C51" s="217"/>
      <c r="D51" s="222">
        <f>+D50*2</f>
        <v>35.380000000000003</v>
      </c>
      <c r="E51" s="217">
        <f t="shared" si="0"/>
        <v>0</v>
      </c>
      <c r="F51" s="222">
        <f t="shared" si="1"/>
        <v>37.414350000000006</v>
      </c>
      <c r="G51" s="217">
        <f t="shared" si="2"/>
        <v>0</v>
      </c>
      <c r="H51" s="217"/>
      <c r="I51" s="222"/>
      <c r="L51" s="638"/>
    </row>
    <row r="52" spans="1:12" ht="15.75">
      <c r="A52" s="220" t="s">
        <v>851</v>
      </c>
      <c r="B52" s="221"/>
      <c r="C52" s="217"/>
      <c r="D52" s="222">
        <f>17.69*3</f>
        <v>53.070000000000007</v>
      </c>
      <c r="E52" s="217">
        <f t="shared" si="0"/>
        <v>0</v>
      </c>
      <c r="F52" s="222">
        <f t="shared" si="1"/>
        <v>56.121525000000013</v>
      </c>
      <c r="G52" s="217">
        <f t="shared" si="2"/>
        <v>0</v>
      </c>
      <c r="H52" s="217"/>
      <c r="I52" s="222"/>
      <c r="L52" s="638"/>
    </row>
    <row r="53" spans="1:12" ht="15.75">
      <c r="A53" s="220" t="s">
        <v>852</v>
      </c>
      <c r="B53" s="221"/>
      <c r="C53" s="217"/>
      <c r="D53" s="222">
        <f>17.69*4</f>
        <v>70.760000000000005</v>
      </c>
      <c r="E53" s="217">
        <f t="shared" si="0"/>
        <v>0</v>
      </c>
      <c r="F53" s="222">
        <f t="shared" si="1"/>
        <v>74.828700000000012</v>
      </c>
      <c r="G53" s="217">
        <f t="shared" si="2"/>
        <v>0</v>
      </c>
      <c r="H53" s="217"/>
      <c r="I53" s="222"/>
      <c r="L53" s="638"/>
    </row>
    <row r="54" spans="1:12" ht="15.75">
      <c r="A54" s="220" t="s">
        <v>853</v>
      </c>
      <c r="B54" s="221"/>
      <c r="C54" s="217">
        <v>1</v>
      </c>
      <c r="D54" s="222">
        <f>27.77-6.75</f>
        <v>21.02</v>
      </c>
      <c r="E54" s="217">
        <f t="shared" si="0"/>
        <v>21.02</v>
      </c>
      <c r="F54" s="222">
        <f t="shared" si="1"/>
        <v>22.228650000000002</v>
      </c>
      <c r="G54" s="217">
        <f t="shared" si="2"/>
        <v>1.8523875000000001</v>
      </c>
      <c r="H54" s="217"/>
      <c r="I54" s="222"/>
      <c r="L54" s="638"/>
    </row>
    <row r="55" spans="1:12" ht="15.75">
      <c r="A55" s="220" t="s">
        <v>854</v>
      </c>
      <c r="B55" s="221"/>
      <c r="C55" s="217"/>
      <c r="D55" s="222">
        <f>21.02*2</f>
        <v>42.04</v>
      </c>
      <c r="E55" s="217">
        <f t="shared" si="0"/>
        <v>0</v>
      </c>
      <c r="F55" s="222">
        <f t="shared" si="1"/>
        <v>44.457300000000004</v>
      </c>
      <c r="G55" s="217">
        <f t="shared" si="2"/>
        <v>0</v>
      </c>
      <c r="H55" s="217"/>
      <c r="I55" s="222"/>
      <c r="L55" s="638"/>
    </row>
    <row r="56" spans="1:12" ht="15.75">
      <c r="A56" s="220" t="s">
        <v>855</v>
      </c>
      <c r="B56" s="221"/>
      <c r="C56" s="217"/>
      <c r="D56" s="222">
        <f>21.02*3</f>
        <v>63.06</v>
      </c>
      <c r="E56" s="217">
        <f t="shared" si="0"/>
        <v>0</v>
      </c>
      <c r="F56" s="222">
        <f t="shared" si="1"/>
        <v>66.685950000000005</v>
      </c>
      <c r="G56" s="217">
        <f t="shared" si="2"/>
        <v>0</v>
      </c>
      <c r="H56" s="217"/>
      <c r="I56" s="222"/>
      <c r="L56" s="638"/>
    </row>
    <row r="57" spans="1:12" ht="15.75">
      <c r="A57" s="220" t="s">
        <v>856</v>
      </c>
      <c r="B57" s="221"/>
      <c r="C57" s="217">
        <v>43</v>
      </c>
      <c r="D57" s="233">
        <f>32.57-6.75</f>
        <v>25.82</v>
      </c>
      <c r="E57" s="217">
        <f>D57*C57</f>
        <v>1110.26</v>
      </c>
      <c r="F57" s="222">
        <f t="shared" si="1"/>
        <v>27.304650000000002</v>
      </c>
      <c r="G57" s="217">
        <f t="shared" si="2"/>
        <v>97.841662499999998</v>
      </c>
      <c r="H57" s="232"/>
      <c r="I57" s="217"/>
      <c r="L57" s="638">
        <f t="shared" si="3"/>
        <v>3.5833333333333335</v>
      </c>
    </row>
    <row r="58" spans="1:12" ht="15.75">
      <c r="A58" s="220" t="s">
        <v>857</v>
      </c>
      <c r="B58" s="221"/>
      <c r="C58" s="217">
        <v>3</v>
      </c>
      <c r="D58" s="233">
        <f>25.82*2</f>
        <v>51.64</v>
      </c>
      <c r="E58" s="217">
        <f>D58*C58</f>
        <v>154.92000000000002</v>
      </c>
      <c r="F58" s="222">
        <f t="shared" si="1"/>
        <v>54.609300000000005</v>
      </c>
      <c r="G58" s="217">
        <f t="shared" si="2"/>
        <v>13.652324999999999</v>
      </c>
      <c r="H58" s="232"/>
      <c r="I58" s="217"/>
      <c r="L58" s="638">
        <v>1</v>
      </c>
    </row>
    <row r="59" spans="1:12" ht="15.75">
      <c r="A59" s="220" t="s">
        <v>858</v>
      </c>
      <c r="B59" s="221"/>
      <c r="C59" s="217"/>
      <c r="D59" s="233">
        <f>+D57*3</f>
        <v>77.460000000000008</v>
      </c>
      <c r="E59" s="217">
        <f>D59*C59</f>
        <v>0</v>
      </c>
      <c r="F59" s="222">
        <f t="shared" si="1"/>
        <v>81.913950000000014</v>
      </c>
      <c r="G59" s="217">
        <f t="shared" si="2"/>
        <v>0</v>
      </c>
      <c r="H59" s="232"/>
      <c r="I59" s="217"/>
      <c r="L59" s="638"/>
    </row>
    <row r="60" spans="1:12" ht="15.75">
      <c r="A60" s="220" t="s">
        <v>861</v>
      </c>
      <c r="B60" s="221"/>
      <c r="C60" s="217">
        <v>97</v>
      </c>
      <c r="D60" s="233">
        <v>9.61</v>
      </c>
      <c r="E60" s="225">
        <f>D60*C60</f>
        <v>932.17</v>
      </c>
      <c r="F60" s="222">
        <f t="shared" si="1"/>
        <v>10.162575</v>
      </c>
      <c r="G60" s="217">
        <f t="shared" si="2"/>
        <v>82.147481249999998</v>
      </c>
      <c r="H60" s="232"/>
      <c r="I60" s="217"/>
      <c r="L60" s="638">
        <f t="shared" si="3"/>
        <v>8.0833333333333339</v>
      </c>
    </row>
    <row r="61" spans="1:12" ht="15.75">
      <c r="A61" s="220" t="s">
        <v>863</v>
      </c>
      <c r="B61" s="221"/>
      <c r="C61" s="217"/>
      <c r="D61" s="234"/>
      <c r="E61" s="235">
        <f>SUM(E8:E59)</f>
        <v>53127.584139999999</v>
      </c>
      <c r="F61" s="222"/>
      <c r="G61" s="235">
        <f>SUM(G8:G59)</f>
        <v>4681.8683523375003</v>
      </c>
      <c r="H61" s="222"/>
      <c r="I61" s="217"/>
      <c r="L61" s="638"/>
    </row>
    <row r="62" spans="1:12">
      <c r="A62" s="220"/>
      <c r="B62" s="221"/>
      <c r="C62" s="217"/>
      <c r="D62" s="234"/>
      <c r="E62" s="202"/>
      <c r="F62" s="222"/>
      <c r="G62" s="217"/>
      <c r="H62" s="222"/>
      <c r="I62" s="217"/>
    </row>
    <row r="63" spans="1:12">
      <c r="A63" s="236" t="s">
        <v>864</v>
      </c>
      <c r="B63" s="221"/>
      <c r="C63" s="217"/>
      <c r="D63" s="234"/>
      <c r="E63" s="202"/>
      <c r="F63" s="222"/>
      <c r="G63" s="217"/>
      <c r="H63" s="222"/>
      <c r="I63" s="217"/>
    </row>
    <row r="64" spans="1:12" ht="15.75">
      <c r="A64" s="220" t="s">
        <v>865</v>
      </c>
      <c r="B64" s="221">
        <v>105</v>
      </c>
      <c r="C64" s="217">
        <v>24</v>
      </c>
      <c r="D64" s="234">
        <v>73.92</v>
      </c>
      <c r="E64" s="217">
        <f t="shared" ref="E64:E76" si="4">D64*C64</f>
        <v>1774.08</v>
      </c>
      <c r="F64" s="222">
        <f t="shared" ref="F64:F76" si="5">+D64*$R$4</f>
        <v>78.170400000000015</v>
      </c>
      <c r="G64" s="217">
        <f t="shared" ref="G64:G76" si="6">C64*F64/12</f>
        <v>156.34080000000003</v>
      </c>
      <c r="H64" s="222"/>
      <c r="I64" s="217"/>
      <c r="L64" s="638">
        <f t="shared" ref="L64" si="7">+C64/12</f>
        <v>2</v>
      </c>
    </row>
    <row r="65" spans="1:9">
      <c r="A65" s="220" t="s">
        <v>866</v>
      </c>
      <c r="B65" s="221">
        <v>105</v>
      </c>
      <c r="C65" s="217"/>
      <c r="D65" s="234">
        <f>ROUND(73.92+12.24*4.33,2)</f>
        <v>126.92</v>
      </c>
      <c r="E65" s="217">
        <f t="shared" si="4"/>
        <v>0</v>
      </c>
      <c r="F65" s="222">
        <f t="shared" si="5"/>
        <v>134.21790000000001</v>
      </c>
      <c r="G65" s="217">
        <f t="shared" si="6"/>
        <v>0</v>
      </c>
      <c r="H65" s="222"/>
      <c r="I65" s="217"/>
    </row>
    <row r="66" spans="1:9">
      <c r="A66" s="220" t="s">
        <v>867</v>
      </c>
      <c r="B66" s="221">
        <v>105</v>
      </c>
      <c r="C66" s="217"/>
      <c r="D66" s="234">
        <f>ROUND(73.92+12.24*8.66,2)</f>
        <v>179.92</v>
      </c>
      <c r="E66" s="217">
        <f t="shared" si="4"/>
        <v>0</v>
      </c>
      <c r="F66" s="222">
        <f t="shared" si="5"/>
        <v>190.2654</v>
      </c>
      <c r="G66" s="217">
        <f t="shared" si="6"/>
        <v>0</v>
      </c>
      <c r="H66" s="222"/>
      <c r="I66" s="217"/>
    </row>
    <row r="67" spans="1:9">
      <c r="A67" s="220" t="s">
        <v>868</v>
      </c>
      <c r="B67" s="221">
        <v>105</v>
      </c>
      <c r="C67" s="217"/>
      <c r="D67" s="234">
        <f>ROUND(73.92+12.24*17.332,2)</f>
        <v>286.06</v>
      </c>
      <c r="E67" s="217">
        <f t="shared" si="4"/>
        <v>0</v>
      </c>
      <c r="F67" s="222">
        <f t="shared" si="5"/>
        <v>302.50845000000004</v>
      </c>
      <c r="G67" s="217">
        <f t="shared" si="6"/>
        <v>0</v>
      </c>
      <c r="H67" s="222"/>
      <c r="I67" s="217"/>
    </row>
    <row r="68" spans="1:9">
      <c r="A68" s="220" t="s">
        <v>869</v>
      </c>
      <c r="B68" s="221">
        <v>105</v>
      </c>
      <c r="C68" s="217"/>
      <c r="D68" s="234">
        <f>127.46</f>
        <v>127.46</v>
      </c>
      <c r="E68" s="217">
        <f t="shared" si="4"/>
        <v>0</v>
      </c>
      <c r="F68" s="222">
        <f t="shared" si="5"/>
        <v>134.78895</v>
      </c>
      <c r="G68" s="217">
        <f t="shared" si="6"/>
        <v>0</v>
      </c>
      <c r="H68" s="222"/>
      <c r="I68" s="217"/>
    </row>
    <row r="69" spans="1:9">
      <c r="A69" s="220" t="s">
        <v>870</v>
      </c>
      <c r="B69" s="221">
        <v>105</v>
      </c>
      <c r="C69" s="217"/>
      <c r="D69" s="234">
        <f t="shared" ref="D69" si="8">127.46+(24.31*4.33)</f>
        <v>232.72229999999999</v>
      </c>
      <c r="E69" s="217">
        <f t="shared" si="4"/>
        <v>0</v>
      </c>
      <c r="F69" s="222">
        <f t="shared" si="5"/>
        <v>246.10383225000001</v>
      </c>
      <c r="G69" s="217">
        <f t="shared" si="6"/>
        <v>0</v>
      </c>
      <c r="H69" s="222"/>
      <c r="I69" s="217"/>
    </row>
    <row r="70" spans="1:9">
      <c r="A70" s="220" t="s">
        <v>871</v>
      </c>
      <c r="B70" s="221">
        <v>105</v>
      </c>
      <c r="C70" s="217"/>
      <c r="D70" s="234">
        <f>127.46+(24.31*8.66)</f>
        <v>337.9846</v>
      </c>
      <c r="E70" s="217">
        <f t="shared" si="4"/>
        <v>0</v>
      </c>
      <c r="F70" s="222">
        <f t="shared" si="5"/>
        <v>357.41871450000002</v>
      </c>
      <c r="G70" s="217">
        <f t="shared" si="6"/>
        <v>0</v>
      </c>
      <c r="H70" s="222"/>
      <c r="I70" s="217"/>
    </row>
    <row r="71" spans="1:9">
      <c r="A71" s="220" t="s">
        <v>872</v>
      </c>
      <c r="B71" s="221">
        <v>105</v>
      </c>
      <c r="C71" s="217"/>
      <c r="D71" s="234">
        <f>127.46+(24.31*12.99)</f>
        <v>443.24689999999998</v>
      </c>
      <c r="E71" s="217">
        <f t="shared" si="4"/>
        <v>0</v>
      </c>
      <c r="F71" s="222">
        <f t="shared" si="5"/>
        <v>468.73359675</v>
      </c>
      <c r="G71" s="217">
        <f t="shared" si="6"/>
        <v>0</v>
      </c>
      <c r="H71" s="222"/>
      <c r="I71" s="217"/>
    </row>
    <row r="72" spans="1:9">
      <c r="A72" s="220" t="s">
        <v>873</v>
      </c>
      <c r="B72" s="221">
        <v>105</v>
      </c>
      <c r="C72" s="217"/>
      <c r="D72" s="234">
        <v>173.02</v>
      </c>
      <c r="E72" s="217">
        <f t="shared" si="4"/>
        <v>0</v>
      </c>
      <c r="F72" s="222">
        <f t="shared" si="5"/>
        <v>182.96865000000003</v>
      </c>
      <c r="G72" s="217">
        <f t="shared" si="6"/>
        <v>0</v>
      </c>
      <c r="H72" s="222"/>
      <c r="I72" s="217"/>
    </row>
    <row r="73" spans="1:9">
      <c r="A73" s="220" t="s">
        <v>874</v>
      </c>
      <c r="B73" s="221">
        <v>105</v>
      </c>
      <c r="C73" s="217"/>
      <c r="D73" s="234">
        <f>173.02+(33.44*4.33)</f>
        <v>317.8152</v>
      </c>
      <c r="E73" s="217">
        <f t="shared" si="4"/>
        <v>0</v>
      </c>
      <c r="F73" s="222">
        <f t="shared" si="5"/>
        <v>336.08957400000003</v>
      </c>
      <c r="G73" s="217">
        <f t="shared" si="6"/>
        <v>0</v>
      </c>
      <c r="H73" s="222"/>
      <c r="I73" s="217"/>
    </row>
    <row r="74" spans="1:9">
      <c r="A74" s="220" t="s">
        <v>875</v>
      </c>
      <c r="B74" s="221">
        <v>105</v>
      </c>
      <c r="C74" s="217"/>
      <c r="D74" s="234">
        <f>173.02+(33.44*8.666)</f>
        <v>462.81104000000005</v>
      </c>
      <c r="E74" s="217">
        <f t="shared" si="4"/>
        <v>0</v>
      </c>
      <c r="F74" s="222">
        <f t="shared" si="5"/>
        <v>489.4226748000001</v>
      </c>
      <c r="G74" s="217">
        <f t="shared" si="6"/>
        <v>0</v>
      </c>
      <c r="H74" s="222"/>
      <c r="I74" s="217"/>
    </row>
    <row r="75" spans="1:9">
      <c r="A75" s="220" t="s">
        <v>876</v>
      </c>
      <c r="B75" s="221">
        <v>105</v>
      </c>
      <c r="C75" s="217"/>
      <c r="D75" s="234">
        <f>173.02+(33.44*12.999)</f>
        <v>607.70655999999997</v>
      </c>
      <c r="E75" s="217">
        <f t="shared" si="4"/>
        <v>0</v>
      </c>
      <c r="F75" s="222">
        <f t="shared" si="5"/>
        <v>642.64968720000002</v>
      </c>
      <c r="G75" s="217">
        <f t="shared" si="6"/>
        <v>0</v>
      </c>
      <c r="H75" s="222"/>
      <c r="I75" s="217"/>
    </row>
    <row r="76" spans="1:9">
      <c r="A76" s="220" t="s">
        <v>877</v>
      </c>
      <c r="B76" s="221">
        <v>105</v>
      </c>
      <c r="C76" s="217"/>
      <c r="D76" s="234">
        <f>173.02+(33.44*17.332)</f>
        <v>752.60208</v>
      </c>
      <c r="E76" s="217">
        <f t="shared" si="4"/>
        <v>0</v>
      </c>
      <c r="F76" s="222">
        <f t="shared" si="5"/>
        <v>795.87669960000005</v>
      </c>
      <c r="G76" s="217">
        <f t="shared" si="6"/>
        <v>0</v>
      </c>
      <c r="H76" s="222"/>
      <c r="I76" s="217"/>
    </row>
    <row r="77" spans="1:9">
      <c r="A77" s="220"/>
      <c r="B77" s="221"/>
      <c r="C77" s="217"/>
      <c r="D77" s="234"/>
      <c r="E77" s="248">
        <f>SUM(E64:E76)</f>
        <v>1774.08</v>
      </c>
      <c r="F77" s="222"/>
      <c r="G77" s="248">
        <f>SUM(G64:G76)</f>
        <v>156.34080000000003</v>
      </c>
      <c r="H77" s="222"/>
      <c r="I77" s="217"/>
    </row>
    <row r="78" spans="1:9">
      <c r="A78" s="217"/>
      <c r="B78" s="217"/>
      <c r="C78" s="217"/>
      <c r="D78" s="217"/>
      <c r="E78" s="217">
        <f>+E61+E77</f>
        <v>54901.664140000001</v>
      </c>
      <c r="F78" s="217"/>
      <c r="G78" s="217"/>
      <c r="H78" s="217"/>
      <c r="I78" s="222"/>
    </row>
    <row r="79" spans="1:9">
      <c r="A79" s="220"/>
      <c r="B79" s="220"/>
      <c r="C79" s="217"/>
      <c r="D79" s="217"/>
      <c r="E79" s="217"/>
      <c r="F79" s="217"/>
      <c r="G79" s="217"/>
      <c r="H79" s="217"/>
      <c r="I79" s="240"/>
    </row>
    <row r="80" spans="1:9">
      <c r="A80" s="217"/>
      <c r="B80" s="217"/>
      <c r="C80" s="218" t="s">
        <v>887</v>
      </c>
      <c r="D80" s="218" t="s">
        <v>804</v>
      </c>
      <c r="E80" s="218" t="s">
        <v>804</v>
      </c>
      <c r="F80" s="218" t="s">
        <v>734</v>
      </c>
      <c r="G80" s="218" t="s">
        <v>734</v>
      </c>
      <c r="H80" s="218"/>
      <c r="I80" s="240"/>
    </row>
    <row r="81" spans="1:9">
      <c r="A81" s="219" t="s">
        <v>771</v>
      </c>
      <c r="B81" s="219"/>
      <c r="C81" s="219" t="s">
        <v>773</v>
      </c>
      <c r="D81" s="219" t="s">
        <v>774</v>
      </c>
      <c r="E81" s="219" t="s">
        <v>1</v>
      </c>
      <c r="F81" s="219" t="s">
        <v>774</v>
      </c>
      <c r="G81" s="219" t="s">
        <v>1</v>
      </c>
      <c r="H81" s="219" t="s">
        <v>805</v>
      </c>
      <c r="I81" s="240"/>
    </row>
    <row r="82" spans="1:9">
      <c r="A82" s="220"/>
      <c r="B82" s="218" t="s">
        <v>769</v>
      </c>
      <c r="C82" s="217"/>
      <c r="D82" s="217"/>
      <c r="E82" s="217"/>
      <c r="F82" s="217"/>
      <c r="G82" s="217"/>
      <c r="H82" s="217"/>
      <c r="I82" s="240"/>
    </row>
    <row r="83" spans="1:9">
      <c r="A83" s="241" t="s">
        <v>888</v>
      </c>
      <c r="B83" s="219" t="s">
        <v>772</v>
      </c>
      <c r="C83" s="225"/>
      <c r="D83" s="222"/>
      <c r="E83" s="217"/>
      <c r="F83" s="222"/>
      <c r="G83" s="217"/>
      <c r="H83" s="217"/>
      <c r="I83" s="217"/>
    </row>
    <row r="84" spans="1:9">
      <c r="A84" s="220" t="s">
        <v>893</v>
      </c>
      <c r="B84" s="221">
        <v>260</v>
      </c>
      <c r="C84" s="217"/>
      <c r="D84" s="222">
        <v>0</v>
      </c>
      <c r="E84" s="217">
        <f>C84*D84</f>
        <v>0</v>
      </c>
      <c r="F84" s="222"/>
      <c r="G84" s="217">
        <f t="shared" ref="G84:G107" si="9">C84*F84/12</f>
        <v>0</v>
      </c>
      <c r="H84" s="232"/>
      <c r="I84" s="217"/>
    </row>
    <row r="85" spans="1:9">
      <c r="A85" s="220" t="s">
        <v>894</v>
      </c>
      <c r="B85" s="221">
        <v>260</v>
      </c>
      <c r="C85" s="217"/>
      <c r="D85" s="222">
        <v>74.31</v>
      </c>
      <c r="E85" s="217">
        <f t="shared" ref="E85:E107" si="10">C85*D85</f>
        <v>0</v>
      </c>
      <c r="F85" s="222">
        <f t="shared" ref="F85:F107" si="11">+D85*$R$4</f>
        <v>78.582825000000014</v>
      </c>
      <c r="G85" s="217">
        <f t="shared" si="9"/>
        <v>0</v>
      </c>
      <c r="H85" s="232"/>
      <c r="I85" s="217"/>
    </row>
    <row r="86" spans="1:9">
      <c r="A86" s="220" t="s">
        <v>895</v>
      </c>
      <c r="B86" s="221">
        <v>260</v>
      </c>
      <c r="C86" s="217"/>
      <c r="D86" s="222">
        <v>144.81</v>
      </c>
      <c r="E86" s="217">
        <f t="shared" si="10"/>
        <v>0</v>
      </c>
      <c r="F86" s="222">
        <f t="shared" si="11"/>
        <v>153.13657500000002</v>
      </c>
      <c r="G86" s="217">
        <f t="shared" si="9"/>
        <v>0</v>
      </c>
      <c r="H86" s="232"/>
      <c r="I86" s="217"/>
    </row>
    <row r="87" spans="1:9">
      <c r="A87" s="220" t="s">
        <v>896</v>
      </c>
      <c r="B87" s="221">
        <v>260</v>
      </c>
      <c r="C87" s="217">
        <v>17</v>
      </c>
      <c r="D87" s="222">
        <v>74.31</v>
      </c>
      <c r="E87" s="217">
        <f t="shared" si="10"/>
        <v>1263.27</v>
      </c>
      <c r="F87" s="222">
        <f t="shared" si="11"/>
        <v>78.582825000000014</v>
      </c>
      <c r="G87" s="217">
        <f t="shared" si="9"/>
        <v>111.32566875000002</v>
      </c>
      <c r="H87" s="232"/>
      <c r="I87" s="217"/>
    </row>
    <row r="88" spans="1:9">
      <c r="A88" s="220" t="s">
        <v>897</v>
      </c>
      <c r="B88" s="221">
        <v>260</v>
      </c>
      <c r="C88" s="217"/>
      <c r="D88" s="222">
        <v>157.07</v>
      </c>
      <c r="E88" s="217">
        <f t="shared" si="10"/>
        <v>0</v>
      </c>
      <c r="F88" s="222">
        <f t="shared" si="11"/>
        <v>166.10152500000001</v>
      </c>
      <c r="G88" s="217">
        <f t="shared" si="9"/>
        <v>0</v>
      </c>
      <c r="H88" s="232"/>
      <c r="I88" s="217"/>
    </row>
    <row r="89" spans="1:9">
      <c r="A89" s="220" t="s">
        <v>898</v>
      </c>
      <c r="B89" s="221">
        <v>260</v>
      </c>
      <c r="C89" s="217"/>
      <c r="D89" s="222">
        <v>78.930000000000007</v>
      </c>
      <c r="E89" s="217">
        <f t="shared" si="10"/>
        <v>0</v>
      </c>
      <c r="F89" s="222">
        <f t="shared" si="11"/>
        <v>83.468475000000012</v>
      </c>
      <c r="G89" s="217">
        <f t="shared" si="9"/>
        <v>0</v>
      </c>
      <c r="H89" s="232"/>
      <c r="I89" s="217"/>
    </row>
    <row r="90" spans="1:9">
      <c r="A90" s="220" t="s">
        <v>899</v>
      </c>
      <c r="B90" s="221">
        <v>260</v>
      </c>
      <c r="C90" s="217"/>
      <c r="D90" s="222">
        <v>169.81</v>
      </c>
      <c r="E90" s="217">
        <f t="shared" si="10"/>
        <v>0</v>
      </c>
      <c r="F90" s="222">
        <f t="shared" si="11"/>
        <v>179.57407500000002</v>
      </c>
      <c r="G90" s="217">
        <f t="shared" si="9"/>
        <v>0</v>
      </c>
      <c r="H90" s="232"/>
      <c r="I90" s="217"/>
    </row>
    <row r="91" spans="1:9">
      <c r="A91" s="220" t="s">
        <v>900</v>
      </c>
      <c r="B91" s="221">
        <v>260</v>
      </c>
      <c r="C91" s="217"/>
      <c r="D91" s="222">
        <v>84.48</v>
      </c>
      <c r="E91" s="217">
        <f t="shared" si="10"/>
        <v>0</v>
      </c>
      <c r="F91" s="222">
        <f t="shared" si="11"/>
        <v>89.337600000000009</v>
      </c>
      <c r="G91" s="217">
        <f t="shared" si="9"/>
        <v>0</v>
      </c>
      <c r="H91" s="232"/>
      <c r="I91" s="217"/>
    </row>
    <row r="92" spans="1:9">
      <c r="A92" s="220" t="s">
        <v>901</v>
      </c>
      <c r="B92" s="221">
        <v>260</v>
      </c>
      <c r="C92" s="217"/>
      <c r="D92" s="222">
        <v>188.95</v>
      </c>
      <c r="E92" s="217">
        <f t="shared" si="10"/>
        <v>0</v>
      </c>
      <c r="F92" s="222">
        <f t="shared" si="11"/>
        <v>199.81462500000001</v>
      </c>
      <c r="G92" s="217">
        <f t="shared" si="9"/>
        <v>0</v>
      </c>
      <c r="H92" s="232"/>
      <c r="I92" s="217"/>
    </row>
    <row r="93" spans="1:9">
      <c r="A93" s="220" t="s">
        <v>902</v>
      </c>
      <c r="B93" s="221">
        <v>260</v>
      </c>
      <c r="C93" s="217">
        <v>31</v>
      </c>
      <c r="D93" s="222">
        <v>93.84</v>
      </c>
      <c r="E93" s="217">
        <f t="shared" si="10"/>
        <v>2909.04</v>
      </c>
      <c r="F93" s="222">
        <f t="shared" si="11"/>
        <v>99.235800000000012</v>
      </c>
      <c r="G93" s="217">
        <f t="shared" si="9"/>
        <v>256.35915000000006</v>
      </c>
      <c r="H93" s="232"/>
      <c r="I93" s="217"/>
    </row>
    <row r="94" spans="1:9">
      <c r="A94" s="220" t="s">
        <v>903</v>
      </c>
      <c r="B94" s="221">
        <v>260</v>
      </c>
      <c r="C94" s="217"/>
      <c r="D94" s="222">
        <v>206.77</v>
      </c>
      <c r="E94" s="217">
        <f t="shared" si="10"/>
        <v>0</v>
      </c>
      <c r="F94" s="222">
        <f t="shared" si="11"/>
        <v>218.65927500000004</v>
      </c>
      <c r="G94" s="217">
        <f t="shared" si="9"/>
        <v>0</v>
      </c>
      <c r="H94" s="232"/>
      <c r="I94" s="217"/>
    </row>
    <row r="95" spans="1:9">
      <c r="A95" s="220" t="s">
        <v>904</v>
      </c>
      <c r="B95" s="221">
        <v>260</v>
      </c>
      <c r="C95" s="217"/>
      <c r="D95" s="222">
        <v>96.91</v>
      </c>
      <c r="E95" s="217">
        <f t="shared" si="10"/>
        <v>0</v>
      </c>
      <c r="F95" s="222">
        <f t="shared" si="11"/>
        <v>102.482325</v>
      </c>
      <c r="G95" s="217">
        <f t="shared" si="9"/>
        <v>0</v>
      </c>
      <c r="H95" s="232"/>
      <c r="I95" s="217"/>
    </row>
    <row r="96" spans="1:9">
      <c r="A96" s="220" t="s">
        <v>905</v>
      </c>
      <c r="B96" s="221">
        <v>275</v>
      </c>
      <c r="C96" s="217">
        <v>52</v>
      </c>
      <c r="D96" s="222">
        <v>114.87</v>
      </c>
      <c r="E96" s="217">
        <f t="shared" si="10"/>
        <v>5973.24</v>
      </c>
      <c r="F96" s="222">
        <f t="shared" si="11"/>
        <v>121.47502500000002</v>
      </c>
      <c r="G96" s="217">
        <f t="shared" si="9"/>
        <v>526.39177500000005</v>
      </c>
      <c r="H96" s="232"/>
      <c r="I96" s="217"/>
    </row>
    <row r="97" spans="1:9">
      <c r="A97" s="220" t="s">
        <v>906</v>
      </c>
      <c r="B97" s="221">
        <v>275</v>
      </c>
      <c r="C97" s="217"/>
      <c r="D97" s="222">
        <v>136.97</v>
      </c>
      <c r="E97" s="217">
        <f t="shared" si="10"/>
        <v>0</v>
      </c>
      <c r="F97" s="222">
        <f t="shared" si="11"/>
        <v>144.845775</v>
      </c>
      <c r="G97" s="217">
        <f t="shared" si="9"/>
        <v>0</v>
      </c>
      <c r="H97" s="232"/>
      <c r="I97" s="217"/>
    </row>
    <row r="98" spans="1:9">
      <c r="A98" s="220" t="s">
        <v>907</v>
      </c>
      <c r="B98" s="221">
        <v>260</v>
      </c>
      <c r="C98" s="217">
        <v>14</v>
      </c>
      <c r="D98" s="222">
        <v>3.45</v>
      </c>
      <c r="E98" s="217">
        <f t="shared" si="10"/>
        <v>48.300000000000004</v>
      </c>
      <c r="F98" s="222">
        <f t="shared" si="11"/>
        <v>3.6483750000000006</v>
      </c>
      <c r="G98" s="217">
        <f t="shared" si="9"/>
        <v>4.2564375000000005</v>
      </c>
      <c r="H98" s="232"/>
      <c r="I98" s="217"/>
    </row>
    <row r="99" spans="1:9">
      <c r="A99" s="220" t="s">
        <v>908</v>
      </c>
      <c r="B99" s="221">
        <v>260</v>
      </c>
      <c r="C99" s="217">
        <v>9</v>
      </c>
      <c r="D99" s="222">
        <v>5.05</v>
      </c>
      <c r="E99" s="217">
        <f t="shared" si="10"/>
        <v>45.449999999999996</v>
      </c>
      <c r="F99" s="222">
        <f t="shared" si="11"/>
        <v>5.3403750000000008</v>
      </c>
      <c r="G99" s="217">
        <f t="shared" si="9"/>
        <v>4.0052812500000003</v>
      </c>
      <c r="H99" s="232"/>
      <c r="I99" s="222"/>
    </row>
    <row r="100" spans="1:9">
      <c r="A100" s="220" t="s">
        <v>909</v>
      </c>
      <c r="B100" s="221">
        <v>260</v>
      </c>
      <c r="C100" s="217"/>
      <c r="D100" s="222">
        <v>5.94</v>
      </c>
      <c r="E100" s="217">
        <f t="shared" si="10"/>
        <v>0</v>
      </c>
      <c r="F100" s="222">
        <f t="shared" si="11"/>
        <v>6.2815500000000011</v>
      </c>
      <c r="G100" s="217">
        <f t="shared" si="9"/>
        <v>0</v>
      </c>
      <c r="H100" s="232"/>
      <c r="I100" s="217"/>
    </row>
    <row r="101" spans="1:9">
      <c r="A101" s="220" t="s">
        <v>910</v>
      </c>
      <c r="B101" s="221">
        <v>260</v>
      </c>
      <c r="C101" s="217"/>
      <c r="D101" s="222">
        <v>86.24</v>
      </c>
      <c r="E101" s="217">
        <f t="shared" si="10"/>
        <v>0</v>
      </c>
      <c r="F101" s="222">
        <f t="shared" si="11"/>
        <v>91.198800000000006</v>
      </c>
      <c r="G101" s="217">
        <f t="shared" si="9"/>
        <v>0</v>
      </c>
      <c r="H101" s="232"/>
      <c r="I101" s="217"/>
    </row>
    <row r="102" spans="1:9">
      <c r="A102" s="220" t="s">
        <v>911</v>
      </c>
      <c r="B102" s="221">
        <v>260</v>
      </c>
      <c r="C102" s="222"/>
      <c r="D102" s="222">
        <v>108.48</v>
      </c>
      <c r="E102" s="217">
        <f t="shared" si="10"/>
        <v>0</v>
      </c>
      <c r="F102" s="222">
        <f t="shared" si="11"/>
        <v>114.71760000000002</v>
      </c>
      <c r="G102" s="217">
        <f t="shared" si="9"/>
        <v>0</v>
      </c>
      <c r="H102" s="232"/>
      <c r="I102" s="217"/>
    </row>
    <row r="103" spans="1:9">
      <c r="A103" s="220" t="s">
        <v>912</v>
      </c>
      <c r="B103" s="221">
        <v>260</v>
      </c>
      <c r="C103" s="217"/>
      <c r="D103" s="222">
        <v>126.42</v>
      </c>
      <c r="E103" s="217">
        <f t="shared" si="10"/>
        <v>0</v>
      </c>
      <c r="F103" s="222">
        <f t="shared" si="11"/>
        <v>133.68915000000001</v>
      </c>
      <c r="G103" s="217">
        <f t="shared" si="9"/>
        <v>0</v>
      </c>
      <c r="H103" s="232"/>
      <c r="I103" s="217"/>
    </row>
    <row r="104" spans="1:9">
      <c r="A104" s="220" t="s">
        <v>913</v>
      </c>
      <c r="B104" s="221">
        <v>260</v>
      </c>
      <c r="C104" s="217"/>
      <c r="D104" s="222">
        <v>148.65</v>
      </c>
      <c r="E104" s="217">
        <f t="shared" si="10"/>
        <v>0</v>
      </c>
      <c r="F104" s="222">
        <f t="shared" si="11"/>
        <v>157.19737500000002</v>
      </c>
      <c r="G104" s="217">
        <f t="shared" si="9"/>
        <v>0</v>
      </c>
      <c r="H104" s="232"/>
      <c r="I104" s="217"/>
    </row>
    <row r="105" spans="1:9">
      <c r="A105" s="220" t="s">
        <v>914</v>
      </c>
      <c r="B105" s="221" t="s">
        <v>915</v>
      </c>
      <c r="C105" s="217"/>
      <c r="D105" s="222">
        <v>4.9400000000000004</v>
      </c>
      <c r="E105" s="217">
        <f>C105*D105</f>
        <v>0</v>
      </c>
      <c r="F105" s="222">
        <f t="shared" si="11"/>
        <v>5.224050000000001</v>
      </c>
      <c r="G105" s="217">
        <f t="shared" si="9"/>
        <v>0</v>
      </c>
      <c r="H105" s="232"/>
      <c r="I105" s="217"/>
    </row>
    <row r="106" spans="1:9">
      <c r="A106" s="220" t="s">
        <v>916</v>
      </c>
      <c r="B106" s="221">
        <v>260</v>
      </c>
      <c r="C106" s="217">
        <v>30</v>
      </c>
      <c r="D106" s="222">
        <v>26.71</v>
      </c>
      <c r="E106" s="217">
        <f t="shared" si="10"/>
        <v>801.30000000000007</v>
      </c>
      <c r="F106" s="222">
        <f t="shared" si="11"/>
        <v>28.245825000000004</v>
      </c>
      <c r="G106" s="217">
        <f t="shared" si="9"/>
        <v>70.614562500000005</v>
      </c>
      <c r="H106" s="232"/>
      <c r="I106" s="217"/>
    </row>
    <row r="107" spans="1:9">
      <c r="A107" s="220" t="s">
        <v>917</v>
      </c>
      <c r="B107" s="221">
        <v>160</v>
      </c>
      <c r="C107" s="225"/>
      <c r="D107" s="245">
        <v>78.459999999999994</v>
      </c>
      <c r="E107" s="225">
        <f t="shared" si="10"/>
        <v>0</v>
      </c>
      <c r="F107" s="245">
        <f t="shared" si="11"/>
        <v>82.971450000000004</v>
      </c>
      <c r="G107" s="217">
        <f t="shared" si="9"/>
        <v>0</v>
      </c>
      <c r="H107" s="232"/>
      <c r="I107" s="217"/>
    </row>
    <row r="108" spans="1:9">
      <c r="A108" s="217"/>
      <c r="B108" s="217"/>
      <c r="C108" s="217"/>
      <c r="D108" s="217"/>
      <c r="E108" s="246">
        <f>SUM(E84:E107)</f>
        <v>11040.599999999999</v>
      </c>
      <c r="F108" s="217"/>
      <c r="G108" s="842">
        <f>SUM(G84:G107)</f>
        <v>972.95287500000018</v>
      </c>
      <c r="H108" s="247"/>
      <c r="I108" s="217"/>
    </row>
    <row r="109" spans="1:9">
      <c r="A109" s="220" t="s">
        <v>918</v>
      </c>
      <c r="B109" s="220"/>
      <c r="C109" s="217"/>
      <c r="D109" s="217"/>
      <c r="E109" s="217">
        <f>+E61+E77+E108</f>
        <v>65942.264139999999</v>
      </c>
      <c r="F109" s="217"/>
      <c r="G109" s="217">
        <f>G108*12</f>
        <v>11675.434500000003</v>
      </c>
      <c r="H109" s="217"/>
      <c r="I109" s="217"/>
    </row>
    <row r="110" spans="1:9">
      <c r="A110" s="220"/>
      <c r="B110" s="220"/>
      <c r="C110" s="217"/>
      <c r="D110" s="222"/>
      <c r="E110" s="217"/>
      <c r="F110" s="222"/>
      <c r="G110" s="217"/>
      <c r="H110" s="232"/>
      <c r="I110" s="217"/>
    </row>
    <row r="111" spans="1:9">
      <c r="A111" s="220" t="s">
        <v>417</v>
      </c>
      <c r="B111" s="220"/>
      <c r="C111" s="217"/>
      <c r="D111" s="222"/>
      <c r="E111" s="239"/>
      <c r="F111" s="222"/>
      <c r="G111" s="238"/>
      <c r="H111" s="232"/>
      <c r="I111" s="217"/>
    </row>
    <row r="112" spans="1:9">
      <c r="A112" s="220" t="s">
        <v>626</v>
      </c>
      <c r="B112" s="220"/>
      <c r="C112" s="217"/>
      <c r="D112" s="222"/>
      <c r="E112" s="217">
        <f>+'[3]Monthly P&amp;L  - QB'!AH6</f>
        <v>0</v>
      </c>
      <c r="F112" s="222"/>
      <c r="G112" s="217"/>
      <c r="H112" s="232"/>
      <c r="I112" s="217"/>
    </row>
    <row r="113" spans="1:9">
      <c r="A113" s="220" t="s">
        <v>932</v>
      </c>
      <c r="B113" s="220"/>
      <c r="C113" s="217"/>
      <c r="D113" s="222"/>
      <c r="E113" s="217">
        <f>+'[3]Monthly P&amp;L  - QB'!AH11</f>
        <v>0</v>
      </c>
      <c r="F113" s="222"/>
      <c r="G113" s="217"/>
      <c r="H113" s="232"/>
      <c r="I113" s="217"/>
    </row>
    <row r="114" spans="1:9">
      <c r="A114" s="220" t="s">
        <v>755</v>
      </c>
      <c r="B114" s="220"/>
      <c r="C114" s="217"/>
      <c r="D114" s="222"/>
      <c r="E114" s="217">
        <f>+'[3]Monthly P&amp;L  - QB'!AH7</f>
        <v>0</v>
      </c>
      <c r="F114" s="222"/>
      <c r="G114" s="217"/>
      <c r="H114" s="232"/>
      <c r="I114" s="217"/>
    </row>
    <row r="115" spans="1:9">
      <c r="A115" s="217"/>
      <c r="B115" s="217"/>
      <c r="C115" s="217"/>
      <c r="D115" s="217"/>
      <c r="E115" s="217">
        <f>SUM(E112:E114)</f>
        <v>0</v>
      </c>
      <c r="F115" s="217"/>
      <c r="G115" s="217"/>
      <c r="H115" s="217"/>
      <c r="I115" s="217"/>
    </row>
    <row r="116" spans="1:9">
      <c r="A116" s="220"/>
      <c r="B116" s="220"/>
      <c r="C116" s="217"/>
      <c r="D116" s="222"/>
      <c r="E116" s="217"/>
      <c r="F116" s="222"/>
      <c r="G116" s="217"/>
      <c r="H116" s="217"/>
      <c r="I116" s="217"/>
    </row>
    <row r="117" spans="1:9">
      <c r="A117" s="220"/>
      <c r="B117" s="220"/>
      <c r="C117" s="217"/>
      <c r="D117" s="222"/>
      <c r="E117" s="232">
        <f>+E115/E109</f>
        <v>0</v>
      </c>
      <c r="F117" s="222"/>
      <c r="G117" s="217"/>
      <c r="H117" s="232"/>
      <c r="I117" s="217"/>
    </row>
  </sheetData>
  <pageMargins left="0.25" right="0.25" top="0.75" bottom="0.75" header="0.3" footer="0.3"/>
  <pageSetup scale="98" fitToHeight="0" orientation="portrait" r:id="rId1"/>
  <rowBreaks count="1" manualBreakCount="1">
    <brk id="79"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5968-1FAD-49BE-8E34-82659456729F}">
  <dimension ref="A1:H37"/>
  <sheetViews>
    <sheetView workbookViewId="0">
      <selection activeCell="D15" sqref="D15"/>
    </sheetView>
  </sheetViews>
  <sheetFormatPr defaultRowHeight="15"/>
  <cols>
    <col min="1" max="1" width="22.44140625" customWidth="1"/>
    <col min="2" max="2" width="10.77734375" customWidth="1"/>
    <col min="3" max="3" width="15.44140625" customWidth="1"/>
  </cols>
  <sheetData>
    <row r="1" spans="1:8">
      <c r="A1" s="212" t="s">
        <v>16</v>
      </c>
      <c r="B1" s="216"/>
      <c r="C1" s="216"/>
      <c r="D1" s="216"/>
      <c r="E1" s="216"/>
      <c r="F1" s="216"/>
      <c r="G1" s="216"/>
      <c r="H1" s="216"/>
    </row>
    <row r="2" spans="1:8">
      <c r="A2" s="212" t="s">
        <v>1269</v>
      </c>
      <c r="B2" s="216"/>
      <c r="C2" s="216"/>
      <c r="D2" s="216"/>
      <c r="E2" s="216"/>
      <c r="F2" s="216"/>
      <c r="G2" s="216"/>
      <c r="H2" s="216"/>
    </row>
    <row r="3" spans="1:8">
      <c r="A3" s="212" t="s">
        <v>744</v>
      </c>
      <c r="B3" s="216"/>
      <c r="C3" s="216"/>
      <c r="D3" s="216"/>
      <c r="E3" s="216"/>
      <c r="F3" s="216"/>
      <c r="G3" s="216"/>
      <c r="H3" s="216"/>
    </row>
    <row r="7" spans="1:8" ht="15.75">
      <c r="C7" s="516" t="s">
        <v>1384</v>
      </c>
      <c r="D7" s="516" t="s">
        <v>1357</v>
      </c>
    </row>
    <row r="8" spans="1:8" ht="15.75">
      <c r="A8" s="220" t="s">
        <v>1268</v>
      </c>
      <c r="B8" s="221"/>
      <c r="C8" s="217">
        <f>118+75+499+12+90+14+4+95+14+12+24+23+35+978+15+1065+36+24+12+830+12+130+620+24+96+30+1647+173+72+252+2500+173+6+51+20+12</f>
        <v>9793</v>
      </c>
      <c r="D8" s="638">
        <f>+C8/12</f>
        <v>816.08333333333337</v>
      </c>
      <c r="E8" s="89"/>
    </row>
    <row r="9" spans="1:8" ht="15.75">
      <c r="A9" s="220" t="s">
        <v>816</v>
      </c>
      <c r="B9" s="221"/>
      <c r="C9" s="217">
        <f>149+24+172+19+57+69+12+2176+260+4+40</f>
        <v>2982</v>
      </c>
      <c r="D9" s="638">
        <f t="shared" ref="D9:D14" si="0">+C9/12</f>
        <v>248.5</v>
      </c>
      <c r="E9" s="89"/>
    </row>
    <row r="10" spans="1:8" ht="15.75">
      <c r="A10" s="220" t="s">
        <v>820</v>
      </c>
      <c r="B10" s="221"/>
      <c r="C10" s="217">
        <f>24+20+128+12+29+153+48+1293+12+120+2+12</f>
        <v>1853</v>
      </c>
      <c r="D10" s="638">
        <f t="shared" si="0"/>
        <v>154.41666666666666</v>
      </c>
      <c r="E10" s="89"/>
    </row>
    <row r="11" spans="1:8" ht="15.75">
      <c r="A11" s="220" t="s">
        <v>826</v>
      </c>
      <c r="B11" s="221"/>
      <c r="C11" s="217">
        <f>12+24+193+24+397+78+48+1616+66+12+55</f>
        <v>2525</v>
      </c>
      <c r="D11" s="638">
        <f t="shared" si="0"/>
        <v>210.41666666666666</v>
      </c>
      <c r="E11" s="89"/>
    </row>
    <row r="12" spans="1:8" ht="15.75">
      <c r="A12" s="220" t="s">
        <v>832</v>
      </c>
      <c r="B12" s="221"/>
      <c r="C12" s="217">
        <f>18+205+3</f>
        <v>226</v>
      </c>
      <c r="D12" s="638">
        <f t="shared" si="0"/>
        <v>18.833333333333332</v>
      </c>
      <c r="E12" s="89"/>
    </row>
    <row r="13" spans="1:8" ht="15.75">
      <c r="A13" s="220" t="s">
        <v>836</v>
      </c>
      <c r="B13" s="221"/>
      <c r="C13" s="217">
        <f>25+6+110+8</f>
        <v>149</v>
      </c>
      <c r="D13" s="638">
        <f t="shared" si="0"/>
        <v>12.416666666666666</v>
      </c>
      <c r="E13" s="89"/>
    </row>
    <row r="14" spans="1:8" ht="15.75">
      <c r="A14" s="220" t="s">
        <v>841</v>
      </c>
      <c r="B14" s="221"/>
      <c r="C14" s="217">
        <f>1+36+183+12</f>
        <v>232</v>
      </c>
      <c r="D14" s="638">
        <f t="shared" si="0"/>
        <v>19.333333333333332</v>
      </c>
      <c r="E14" s="89"/>
    </row>
    <row r="15" spans="1:8" ht="15.75">
      <c r="A15" s="220"/>
      <c r="B15" s="221"/>
      <c r="C15" s="217"/>
      <c r="D15" s="638">
        <f>SUM(D8:D14)</f>
        <v>1480.0000000000002</v>
      </c>
      <c r="E15" s="89"/>
    </row>
    <row r="16" spans="1:8" ht="15.75">
      <c r="A16" s="242" t="s">
        <v>888</v>
      </c>
      <c r="B16" s="577"/>
      <c r="C16" s="244">
        <f>1+3+324+767+116+35+22</f>
        <v>1268</v>
      </c>
      <c r="D16" s="89"/>
      <c r="E16" s="89"/>
    </row>
    <row r="17" spans="4:5" ht="15.75">
      <c r="D17" s="89"/>
      <c r="E17" s="89"/>
    </row>
    <row r="18" spans="4:5" ht="15.75">
      <c r="D18" s="89"/>
      <c r="E18" s="89"/>
    </row>
    <row r="19" spans="4:5" ht="15.75">
      <c r="D19" s="89"/>
      <c r="E19" s="89"/>
    </row>
    <row r="20" spans="4:5" ht="15.75">
      <c r="D20" s="89"/>
      <c r="E20" s="89"/>
    </row>
    <row r="21" spans="4:5" ht="15.75">
      <c r="D21" s="89"/>
      <c r="E21" s="89"/>
    </row>
    <row r="22" spans="4:5" ht="15.75">
      <c r="D22" s="89"/>
      <c r="E22" s="89"/>
    </row>
    <row r="23" spans="4:5" ht="15.75">
      <c r="D23" s="89"/>
      <c r="E23" s="89"/>
    </row>
    <row r="24" spans="4:5" ht="15.75">
      <c r="D24" s="89"/>
      <c r="E24" s="89"/>
    </row>
    <row r="25" spans="4:5" ht="15.75">
      <c r="D25" s="89"/>
      <c r="E25" s="89"/>
    </row>
    <row r="26" spans="4:5" ht="15.75">
      <c r="D26" s="89"/>
      <c r="E26" s="89"/>
    </row>
    <row r="27" spans="4:5" ht="15.75">
      <c r="D27" s="89"/>
      <c r="E27" s="89"/>
    </row>
    <row r="28" spans="4:5" ht="15.75">
      <c r="D28" s="89"/>
      <c r="E28" s="89"/>
    </row>
    <row r="29" spans="4:5" ht="15.75">
      <c r="D29" s="89"/>
      <c r="E29" s="89"/>
    </row>
    <row r="30" spans="4:5" ht="15.75">
      <c r="D30" s="89"/>
      <c r="E30" s="89"/>
    </row>
    <row r="31" spans="4:5" ht="15.75">
      <c r="D31" s="89"/>
      <c r="E31" s="89"/>
    </row>
    <row r="32" spans="4:5" ht="15.75">
      <c r="D32" s="89"/>
      <c r="E32" s="89"/>
    </row>
    <row r="33" spans="4:5" ht="15.75">
      <c r="D33" s="89"/>
      <c r="E33" s="89"/>
    </row>
    <row r="34" spans="4:5" ht="15.75">
      <c r="D34" s="89"/>
      <c r="E34" s="89"/>
    </row>
    <row r="35" spans="4:5" ht="15.75">
      <c r="D35" s="89"/>
      <c r="E35" s="89"/>
    </row>
    <row r="36" spans="4:5" ht="15.75">
      <c r="D36" s="89"/>
      <c r="E36" s="89"/>
    </row>
    <row r="37" spans="4:5" ht="15.75">
      <c r="D37" s="89"/>
      <c r="E37" s="8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FACC8-53D7-48C0-8396-5472A26D2DC9}">
  <dimension ref="A1:S124"/>
  <sheetViews>
    <sheetView workbookViewId="0">
      <selection activeCell="F11" sqref="F11"/>
    </sheetView>
  </sheetViews>
  <sheetFormatPr defaultRowHeight="15"/>
  <cols>
    <col min="4" max="4" width="9.6640625" customWidth="1"/>
    <col min="5" max="5" width="11.109375" bestFit="1" customWidth="1"/>
    <col min="6" max="6" width="11.21875" bestFit="1" customWidth="1"/>
  </cols>
  <sheetData>
    <row r="1" spans="1:19" ht="15.75">
      <c r="A1" s="655" t="s">
        <v>16</v>
      </c>
      <c r="B1" s="297"/>
      <c r="C1" s="297"/>
      <c r="D1" s="297"/>
      <c r="E1" s="297"/>
      <c r="F1" s="297"/>
      <c r="G1" s="297"/>
      <c r="H1" s="297"/>
      <c r="I1" s="297"/>
      <c r="J1" s="297"/>
      <c r="K1" s="297"/>
      <c r="L1" s="89"/>
      <c r="M1" s="89"/>
      <c r="N1" s="89"/>
      <c r="O1" s="89"/>
      <c r="P1" s="89"/>
      <c r="Q1" s="89"/>
      <c r="R1" s="89"/>
      <c r="S1" s="89"/>
    </row>
    <row r="2" spans="1:19" ht="15.75">
      <c r="A2" s="655" t="s">
        <v>1270</v>
      </c>
      <c r="B2" s="297"/>
      <c r="C2" s="297"/>
      <c r="D2" s="297"/>
      <c r="E2" s="297"/>
      <c r="F2" s="297"/>
      <c r="G2" s="297"/>
      <c r="H2" s="297"/>
      <c r="I2" s="297"/>
      <c r="J2" s="297"/>
      <c r="K2" s="297"/>
      <c r="L2" s="89"/>
      <c r="M2" s="89"/>
      <c r="N2" s="89"/>
      <c r="O2" s="89"/>
      <c r="P2" s="89"/>
      <c r="Q2" s="89"/>
      <c r="R2" s="89"/>
      <c r="S2" s="89"/>
    </row>
    <row r="3" spans="1:19" ht="15.75">
      <c r="A3" s="655" t="s">
        <v>744</v>
      </c>
      <c r="B3" s="297"/>
      <c r="C3" s="297"/>
      <c r="D3" s="297"/>
      <c r="E3" s="297"/>
      <c r="F3" s="297"/>
      <c r="G3" s="297"/>
      <c r="H3" s="297"/>
      <c r="I3" s="297"/>
      <c r="J3" s="297"/>
      <c r="K3" s="297"/>
      <c r="L3" s="89"/>
      <c r="M3" s="89"/>
      <c r="N3" s="89"/>
      <c r="O3" s="89"/>
      <c r="P3" s="89"/>
      <c r="Q3" s="89"/>
      <c r="R3" s="89"/>
      <c r="S3" s="89"/>
    </row>
    <row r="4" spans="1:19" ht="15.75">
      <c r="A4" s="126"/>
      <c r="B4" s="126"/>
      <c r="C4" s="126"/>
      <c r="D4" s="126"/>
      <c r="E4" s="126"/>
      <c r="F4" s="126"/>
      <c r="G4" s="126"/>
      <c r="H4" s="126"/>
      <c r="I4" s="126"/>
      <c r="J4" s="126"/>
      <c r="K4" s="126"/>
      <c r="L4" s="89"/>
      <c r="M4" s="89"/>
      <c r="N4" s="89"/>
      <c r="O4" s="89"/>
      <c r="P4" s="89"/>
      <c r="Q4" s="89"/>
      <c r="R4" s="89"/>
      <c r="S4" s="89"/>
    </row>
    <row r="5" spans="1:19" ht="15.75">
      <c r="A5" s="89"/>
      <c r="B5" s="579"/>
      <c r="C5" s="579"/>
      <c r="D5" s="579"/>
      <c r="E5" s="579"/>
      <c r="F5" s="579"/>
      <c r="G5" s="579"/>
      <c r="H5" s="579"/>
      <c r="I5" s="579"/>
      <c r="J5" s="579"/>
      <c r="K5" s="89"/>
      <c r="L5" s="89"/>
      <c r="M5" s="89"/>
      <c r="N5" s="89"/>
      <c r="O5" s="89"/>
      <c r="P5" s="89"/>
      <c r="Q5" s="89"/>
      <c r="R5" s="89"/>
      <c r="S5" s="89"/>
    </row>
    <row r="6" spans="1:19" ht="15.75">
      <c r="K6" s="89"/>
      <c r="L6" s="89"/>
      <c r="M6" s="89"/>
      <c r="N6" s="89"/>
      <c r="O6" s="89"/>
      <c r="P6" s="89"/>
      <c r="Q6" s="89"/>
      <c r="R6" s="89"/>
      <c r="S6" s="89"/>
    </row>
    <row r="7" spans="1:19" ht="15.75">
      <c r="A7" s="89"/>
      <c r="B7" s="89"/>
      <c r="C7" s="89"/>
      <c r="D7" s="89"/>
      <c r="E7" s="89"/>
      <c r="F7" s="89"/>
      <c r="G7" s="89"/>
      <c r="H7" s="89"/>
      <c r="I7" s="89"/>
      <c r="J7" s="89"/>
      <c r="K7" s="89"/>
      <c r="L7" s="89"/>
      <c r="M7" s="89"/>
      <c r="N7" s="89"/>
      <c r="O7" s="89"/>
      <c r="P7" s="89"/>
      <c r="Q7" s="89"/>
      <c r="R7" s="89"/>
      <c r="S7" s="89"/>
    </row>
    <row r="8" spans="1:19" ht="15.75">
      <c r="A8" s="89"/>
      <c r="B8" s="654" t="s">
        <v>1383</v>
      </c>
      <c r="C8" s="89" t="s">
        <v>662</v>
      </c>
      <c r="D8" s="89" t="s">
        <v>1166</v>
      </c>
      <c r="E8" s="89"/>
      <c r="F8" s="89"/>
      <c r="H8" s="89"/>
      <c r="I8" s="89"/>
      <c r="J8" s="89"/>
      <c r="K8" s="89"/>
      <c r="L8" s="89"/>
      <c r="M8" s="89"/>
      <c r="N8" s="89"/>
      <c r="O8" s="89"/>
      <c r="P8" s="89"/>
      <c r="Q8" s="89"/>
      <c r="R8" s="89"/>
      <c r="S8" s="89"/>
    </row>
    <row r="9" spans="1:19" ht="15.75">
      <c r="A9" s="297" t="s">
        <v>660</v>
      </c>
      <c r="B9" s="126" t="s">
        <v>990</v>
      </c>
      <c r="C9" s="126" t="s">
        <v>990</v>
      </c>
      <c r="D9" s="89"/>
      <c r="E9" s="89"/>
      <c r="F9" s="89" t="s">
        <v>512</v>
      </c>
      <c r="H9" s="89"/>
      <c r="I9" s="89"/>
      <c r="J9" s="89"/>
      <c r="K9" s="89"/>
      <c r="L9" s="89"/>
      <c r="M9" s="89"/>
      <c r="N9" s="89"/>
      <c r="O9" s="89"/>
      <c r="P9" s="89"/>
      <c r="Q9" s="89"/>
      <c r="R9" s="89"/>
      <c r="S9" s="89"/>
    </row>
    <row r="10" spans="1:19" ht="15.75">
      <c r="A10" s="89"/>
      <c r="B10" s="89"/>
      <c r="C10" s="89"/>
      <c r="D10" s="89"/>
      <c r="E10" s="89"/>
      <c r="F10" s="89"/>
      <c r="H10" s="89"/>
      <c r="I10" s="89"/>
      <c r="J10" s="89"/>
      <c r="K10" s="89"/>
      <c r="L10" s="89"/>
      <c r="M10" s="89"/>
      <c r="N10" s="89"/>
      <c r="O10" s="89"/>
      <c r="P10" s="89"/>
      <c r="Q10" s="89"/>
      <c r="R10" s="89"/>
      <c r="S10" s="89"/>
    </row>
    <row r="11" spans="1:19" ht="15.75">
      <c r="A11" s="578">
        <v>10866</v>
      </c>
      <c r="B11" s="578">
        <v>16741</v>
      </c>
      <c r="C11" s="578">
        <v>721</v>
      </c>
      <c r="D11" s="578">
        <v>974</v>
      </c>
      <c r="E11" s="578"/>
      <c r="F11" s="578">
        <v>20782</v>
      </c>
      <c r="H11" s="578"/>
      <c r="I11" s="89"/>
      <c r="J11" s="578"/>
      <c r="K11" s="89"/>
      <c r="L11" s="89"/>
      <c r="M11" s="89"/>
      <c r="N11" s="89"/>
      <c r="O11" s="89"/>
      <c r="P11" s="89"/>
      <c r="Q11" s="89"/>
      <c r="R11" s="89"/>
      <c r="S11" s="89"/>
    </row>
    <row r="12" spans="1:19" ht="15.75">
      <c r="A12" s="579">
        <f>A11/12/$F$11</f>
        <v>4.3571359830622651E-2</v>
      </c>
      <c r="B12" s="579">
        <f>B11/12/$F$11</f>
        <v>6.7129406858499344E-2</v>
      </c>
      <c r="C12" s="579">
        <f>C11/$F$11</f>
        <v>3.4693484746415169E-2</v>
      </c>
      <c r="D12" s="579">
        <f>D11/$F$11</f>
        <v>4.6867481474352803E-2</v>
      </c>
      <c r="E12" s="89"/>
      <c r="F12" s="579">
        <f>1-D12-C12-B12-A12</f>
        <v>0.80773826709010998</v>
      </c>
      <c r="H12" s="89"/>
      <c r="I12" s="89"/>
      <c r="J12" s="89"/>
      <c r="K12" s="89"/>
      <c r="L12" s="89"/>
      <c r="M12" s="89"/>
      <c r="N12" s="89"/>
      <c r="O12" s="89"/>
      <c r="P12" s="89"/>
      <c r="Q12" s="89"/>
      <c r="R12" s="89"/>
      <c r="S12" s="89"/>
    </row>
    <row r="13" spans="1:19" ht="15.75">
      <c r="A13" s="89"/>
      <c r="B13" s="89"/>
      <c r="C13" s="89"/>
      <c r="D13" s="89"/>
      <c r="E13" s="89"/>
      <c r="F13" s="89"/>
      <c r="G13" s="89"/>
      <c r="H13" s="89"/>
      <c r="I13" s="89"/>
      <c r="J13" s="89"/>
      <c r="K13" s="89"/>
      <c r="L13" s="89"/>
      <c r="M13" s="89"/>
      <c r="N13" s="89"/>
      <c r="O13" s="89"/>
      <c r="P13" s="89"/>
      <c r="Q13" s="89"/>
      <c r="R13" s="89"/>
      <c r="S13" s="89"/>
    </row>
    <row r="14" spans="1:19" ht="15.75">
      <c r="A14" s="89"/>
      <c r="B14" s="89"/>
      <c r="C14" s="89"/>
      <c r="D14" s="89"/>
      <c r="E14" s="89"/>
      <c r="F14" s="89"/>
      <c r="G14" s="89"/>
      <c r="H14" s="89"/>
      <c r="I14" s="89"/>
      <c r="J14" s="89"/>
      <c r="K14" s="89"/>
      <c r="L14" s="89"/>
      <c r="M14" s="89"/>
      <c r="N14" s="89"/>
      <c r="O14" s="89"/>
      <c r="P14" s="89"/>
      <c r="Q14" s="89"/>
      <c r="R14" s="89"/>
      <c r="S14" s="89"/>
    </row>
    <row r="15" spans="1:19" ht="15.75">
      <c r="A15" s="89"/>
      <c r="B15" s="89"/>
      <c r="C15" s="89"/>
      <c r="D15" s="89"/>
      <c r="E15" s="89"/>
      <c r="F15" s="89"/>
      <c r="G15" s="89"/>
      <c r="H15" s="89"/>
      <c r="I15" s="89"/>
      <c r="J15" s="89"/>
      <c r="K15" s="89"/>
      <c r="L15" s="89"/>
      <c r="M15" s="89"/>
      <c r="N15" s="89"/>
      <c r="O15" s="89"/>
      <c r="P15" s="89"/>
      <c r="Q15" s="89"/>
      <c r="R15" s="89"/>
      <c r="S15" s="89"/>
    </row>
    <row r="16" spans="1:19" ht="15.75">
      <c r="A16" s="89"/>
      <c r="B16" s="89"/>
      <c r="C16" s="89"/>
      <c r="D16" s="89"/>
      <c r="E16" s="89"/>
      <c r="F16" s="89"/>
      <c r="G16" s="89"/>
      <c r="H16" s="89"/>
      <c r="I16" s="89"/>
      <c r="J16" s="89"/>
      <c r="K16" s="89"/>
      <c r="L16" s="89"/>
      <c r="M16" s="89"/>
      <c r="N16" s="89"/>
      <c r="O16" s="89"/>
      <c r="P16" s="89"/>
      <c r="Q16" s="89"/>
      <c r="R16" s="89"/>
      <c r="S16" s="89"/>
    </row>
    <row r="17" spans="1:19" ht="15.75">
      <c r="A17" s="89"/>
      <c r="B17" s="89"/>
      <c r="C17" s="89"/>
      <c r="D17" s="89"/>
      <c r="E17" s="89"/>
      <c r="F17" s="89"/>
      <c r="G17" s="89"/>
      <c r="H17" s="89"/>
      <c r="I17" s="89"/>
      <c r="J17" s="89"/>
      <c r="K17" s="89"/>
      <c r="L17" s="89"/>
      <c r="M17" s="89"/>
      <c r="N17" s="89"/>
      <c r="O17" s="89"/>
      <c r="P17" s="89"/>
      <c r="Q17" s="89"/>
      <c r="R17" s="89"/>
      <c r="S17" s="89"/>
    </row>
    <row r="18" spans="1:19" ht="15.75">
      <c r="A18" s="89"/>
      <c r="B18" s="89"/>
      <c r="C18" s="89"/>
      <c r="D18" s="89"/>
      <c r="E18" s="89"/>
      <c r="F18" s="89"/>
      <c r="G18" s="89"/>
      <c r="H18" s="89"/>
      <c r="I18" s="89"/>
      <c r="J18" s="89"/>
      <c r="K18" s="89"/>
      <c r="L18" s="89"/>
      <c r="M18" s="89"/>
      <c r="N18" s="89"/>
      <c r="O18" s="89"/>
      <c r="P18" s="89"/>
      <c r="Q18" s="89"/>
      <c r="R18" s="89"/>
      <c r="S18" s="89"/>
    </row>
    <row r="19" spans="1:19" ht="15.75">
      <c r="A19" s="89"/>
      <c r="B19" s="89"/>
      <c r="C19" s="89"/>
      <c r="D19" s="89"/>
      <c r="E19" s="89"/>
      <c r="F19" s="89"/>
      <c r="G19" s="89"/>
      <c r="H19" s="89"/>
      <c r="I19" s="89"/>
      <c r="J19" s="89"/>
      <c r="K19" s="89"/>
      <c r="L19" s="89"/>
      <c r="M19" s="89"/>
      <c r="N19" s="89"/>
      <c r="O19" s="89"/>
      <c r="P19" s="89"/>
      <c r="Q19" s="89"/>
      <c r="R19" s="89"/>
      <c r="S19" s="89"/>
    </row>
    <row r="20" spans="1:19" ht="15.75">
      <c r="A20" s="89"/>
      <c r="B20" s="89"/>
      <c r="C20" s="89"/>
      <c r="D20" s="89"/>
      <c r="E20" s="89"/>
      <c r="F20" s="89"/>
      <c r="G20" s="89"/>
      <c r="H20" s="89"/>
      <c r="I20" s="89"/>
      <c r="J20" s="89"/>
      <c r="K20" s="89"/>
      <c r="L20" s="89"/>
      <c r="M20" s="89"/>
      <c r="N20" s="89"/>
      <c r="O20" s="89"/>
      <c r="P20" s="89"/>
      <c r="Q20" s="89"/>
      <c r="R20" s="89"/>
      <c r="S20" s="89"/>
    </row>
    <row r="21" spans="1:19" ht="15.75">
      <c r="A21" s="89"/>
      <c r="B21" s="89"/>
      <c r="C21" s="89"/>
      <c r="D21" s="89"/>
      <c r="E21" s="89"/>
      <c r="F21" s="89"/>
      <c r="G21" s="89"/>
      <c r="H21" s="89"/>
      <c r="I21" s="89"/>
      <c r="J21" s="89"/>
      <c r="K21" s="89"/>
      <c r="L21" s="89"/>
      <c r="M21" s="89"/>
      <c r="N21" s="89"/>
      <c r="O21" s="89"/>
      <c r="P21" s="89"/>
      <c r="Q21" s="89"/>
      <c r="R21" s="89"/>
      <c r="S21" s="89"/>
    </row>
    <row r="22" spans="1:19" ht="15.75">
      <c r="A22" s="89"/>
      <c r="B22" s="89"/>
      <c r="C22" s="89"/>
      <c r="D22" s="89"/>
      <c r="E22" s="89"/>
      <c r="F22" s="89"/>
      <c r="G22" s="89"/>
      <c r="H22" s="89"/>
      <c r="I22" s="89"/>
      <c r="J22" s="89"/>
      <c r="K22" s="89"/>
      <c r="L22" s="89"/>
      <c r="M22" s="89"/>
      <c r="N22" s="89"/>
      <c r="O22" s="89"/>
      <c r="P22" s="89"/>
      <c r="Q22" s="89"/>
      <c r="R22" s="89"/>
      <c r="S22" s="89"/>
    </row>
    <row r="23" spans="1:19" ht="15.75">
      <c r="A23" s="89"/>
      <c r="B23" s="89"/>
      <c r="C23" s="89"/>
      <c r="D23" s="89"/>
      <c r="E23" s="89"/>
      <c r="F23" s="89"/>
      <c r="G23" s="89"/>
      <c r="H23" s="89"/>
      <c r="I23" s="89"/>
      <c r="J23" s="89"/>
      <c r="K23" s="89"/>
      <c r="L23" s="89"/>
      <c r="M23" s="89"/>
      <c r="N23" s="89"/>
      <c r="O23" s="89"/>
      <c r="P23" s="89"/>
      <c r="Q23" s="89"/>
      <c r="R23" s="89"/>
      <c r="S23" s="89"/>
    </row>
    <row r="24" spans="1:19" ht="15.75">
      <c r="A24" s="89"/>
      <c r="B24" s="89"/>
      <c r="C24" s="89"/>
      <c r="D24" s="89"/>
      <c r="E24" s="89"/>
      <c r="F24" s="89"/>
      <c r="G24" s="89"/>
      <c r="H24" s="89"/>
      <c r="I24" s="89"/>
      <c r="J24" s="89"/>
      <c r="K24" s="89"/>
      <c r="L24" s="89"/>
      <c r="M24" s="89"/>
      <c r="N24" s="89"/>
      <c r="O24" s="89"/>
      <c r="P24" s="89"/>
      <c r="Q24" s="89"/>
      <c r="R24" s="89"/>
      <c r="S24" s="89"/>
    </row>
    <row r="25" spans="1:19" ht="15.75">
      <c r="A25" s="89"/>
      <c r="B25" s="89"/>
      <c r="C25" s="89"/>
      <c r="D25" s="89"/>
      <c r="E25" s="89"/>
      <c r="F25" s="89"/>
      <c r="G25" s="89"/>
      <c r="H25" s="89"/>
      <c r="I25" s="89"/>
      <c r="J25" s="89"/>
      <c r="K25" s="89"/>
      <c r="L25" s="89"/>
      <c r="M25" s="89"/>
      <c r="N25" s="89"/>
      <c r="O25" s="89"/>
      <c r="P25" s="89"/>
      <c r="Q25" s="89"/>
      <c r="R25" s="89"/>
      <c r="S25" s="89"/>
    </row>
    <row r="26" spans="1:19" ht="15.75">
      <c r="A26" s="89"/>
      <c r="B26" s="89"/>
      <c r="C26" s="89"/>
      <c r="D26" s="89"/>
      <c r="E26" s="89"/>
      <c r="F26" s="89"/>
      <c r="G26" s="89"/>
      <c r="H26" s="89"/>
      <c r="I26" s="89"/>
      <c r="J26" s="89"/>
      <c r="K26" s="89"/>
      <c r="L26" s="89"/>
      <c r="M26" s="89"/>
      <c r="N26" s="89"/>
      <c r="O26" s="89"/>
      <c r="P26" s="89"/>
      <c r="Q26" s="89"/>
      <c r="R26" s="89"/>
      <c r="S26" s="89"/>
    </row>
    <row r="27" spans="1:19" ht="15.75">
      <c r="A27" s="89"/>
      <c r="B27" s="89"/>
      <c r="C27" s="89"/>
      <c r="D27" s="89"/>
      <c r="E27" s="89"/>
      <c r="F27" s="89"/>
      <c r="G27" s="89"/>
      <c r="H27" s="89"/>
      <c r="I27" s="89"/>
      <c r="J27" s="89"/>
      <c r="K27" s="89"/>
      <c r="L27" s="89"/>
      <c r="M27" s="89"/>
      <c r="N27" s="89"/>
      <c r="O27" s="89"/>
      <c r="P27" s="89"/>
      <c r="Q27" s="89"/>
      <c r="R27" s="89"/>
      <c r="S27" s="89"/>
    </row>
    <row r="28" spans="1:19" ht="15.75">
      <c r="A28" s="89"/>
      <c r="B28" s="89"/>
      <c r="C28" s="89"/>
      <c r="D28" s="89"/>
      <c r="E28" s="89"/>
      <c r="F28" s="89"/>
      <c r="G28" s="89"/>
      <c r="H28" s="89"/>
      <c r="I28" s="89"/>
      <c r="J28" s="89"/>
      <c r="K28" s="89"/>
      <c r="L28" s="89"/>
      <c r="M28" s="89"/>
      <c r="N28" s="89"/>
      <c r="O28" s="89"/>
      <c r="P28" s="89"/>
      <c r="Q28" s="89"/>
      <c r="R28" s="89"/>
      <c r="S28" s="89"/>
    </row>
    <row r="29" spans="1:19" ht="15.75">
      <c r="A29" s="89"/>
      <c r="B29" s="89"/>
      <c r="C29" s="89"/>
      <c r="D29" s="89"/>
      <c r="E29" s="89"/>
      <c r="F29" s="89"/>
      <c r="G29" s="89"/>
      <c r="H29" s="89"/>
      <c r="I29" s="89"/>
      <c r="J29" s="89"/>
      <c r="K29" s="89"/>
      <c r="L29" s="89"/>
      <c r="M29" s="89"/>
      <c r="N29" s="89"/>
      <c r="O29" s="89"/>
      <c r="P29" s="89"/>
      <c r="Q29" s="89"/>
      <c r="R29" s="89"/>
      <c r="S29" s="89"/>
    </row>
    <row r="30" spans="1:19" ht="15.75">
      <c r="A30" s="89"/>
      <c r="B30" s="89"/>
      <c r="C30" s="89"/>
      <c r="D30" s="89"/>
      <c r="E30" s="89"/>
      <c r="F30" s="89"/>
      <c r="G30" s="89"/>
      <c r="H30" s="89"/>
      <c r="I30" s="89"/>
      <c r="J30" s="89"/>
      <c r="K30" s="89"/>
      <c r="L30" s="89"/>
      <c r="M30" s="89"/>
      <c r="N30" s="89"/>
      <c r="O30" s="89"/>
      <c r="P30" s="89"/>
      <c r="Q30" s="89"/>
      <c r="R30" s="89"/>
      <c r="S30" s="89"/>
    </row>
    <row r="31" spans="1:19" ht="15.75">
      <c r="A31" s="89"/>
      <c r="B31" s="89"/>
      <c r="C31" s="89"/>
      <c r="D31" s="89"/>
      <c r="E31" s="89"/>
      <c r="F31" s="89"/>
      <c r="G31" s="89"/>
      <c r="H31" s="89"/>
      <c r="I31" s="89"/>
      <c r="J31" s="89"/>
      <c r="K31" s="89"/>
      <c r="L31" s="89"/>
      <c r="M31" s="89"/>
      <c r="N31" s="89"/>
      <c r="O31" s="89"/>
      <c r="P31" s="89"/>
      <c r="Q31" s="89"/>
      <c r="R31" s="89"/>
      <c r="S31" s="89"/>
    </row>
    <row r="32" spans="1:19" ht="15.75">
      <c r="A32" s="89"/>
      <c r="B32" s="89"/>
      <c r="C32" s="89"/>
      <c r="D32" s="89"/>
      <c r="E32" s="89"/>
      <c r="F32" s="89"/>
      <c r="G32" s="89"/>
      <c r="H32" s="89"/>
      <c r="I32" s="89"/>
      <c r="J32" s="89"/>
      <c r="K32" s="89"/>
      <c r="L32" s="89"/>
      <c r="M32" s="89"/>
      <c r="N32" s="89"/>
      <c r="O32" s="89"/>
      <c r="P32" s="89"/>
      <c r="Q32" s="89"/>
      <c r="R32" s="89"/>
      <c r="S32" s="89"/>
    </row>
    <row r="33" spans="1:19" ht="15.75">
      <c r="A33" s="89"/>
      <c r="B33" s="89"/>
      <c r="C33" s="89"/>
      <c r="D33" s="89"/>
      <c r="E33" s="89"/>
      <c r="F33" s="89"/>
      <c r="G33" s="89"/>
      <c r="H33" s="89"/>
      <c r="I33" s="89"/>
      <c r="J33" s="89"/>
      <c r="K33" s="89"/>
      <c r="L33" s="89"/>
      <c r="M33" s="89"/>
      <c r="N33" s="89"/>
      <c r="O33" s="89"/>
      <c r="P33" s="89"/>
      <c r="Q33" s="89"/>
      <c r="R33" s="89"/>
      <c r="S33" s="89"/>
    </row>
    <row r="34" spans="1:19" ht="15.75">
      <c r="A34" s="89"/>
      <c r="B34" s="89"/>
      <c r="C34" s="89"/>
      <c r="D34" s="89"/>
      <c r="E34" s="89"/>
      <c r="F34" s="89"/>
      <c r="G34" s="89"/>
      <c r="H34" s="89"/>
      <c r="I34" s="89"/>
      <c r="J34" s="89"/>
      <c r="K34" s="89"/>
      <c r="L34" s="89"/>
      <c r="M34" s="89"/>
      <c r="N34" s="89"/>
      <c r="O34" s="89"/>
      <c r="P34" s="89"/>
      <c r="Q34" s="89"/>
      <c r="R34" s="89"/>
      <c r="S34" s="89"/>
    </row>
    <row r="35" spans="1:19" ht="15.75">
      <c r="A35" s="89"/>
      <c r="B35" s="89"/>
      <c r="C35" s="89"/>
      <c r="D35" s="89"/>
      <c r="E35" s="89"/>
      <c r="F35" s="89"/>
      <c r="G35" s="89"/>
      <c r="H35" s="89"/>
      <c r="I35" s="89"/>
      <c r="J35" s="89"/>
      <c r="K35" s="89"/>
      <c r="L35" s="89"/>
      <c r="M35" s="89"/>
      <c r="N35" s="89"/>
      <c r="O35" s="89"/>
      <c r="P35" s="89"/>
      <c r="Q35" s="89"/>
      <c r="R35" s="89"/>
      <c r="S35" s="89"/>
    </row>
    <row r="36" spans="1:19" ht="15.75">
      <c r="A36" s="89"/>
      <c r="B36" s="89"/>
      <c r="C36" s="89"/>
      <c r="D36" s="89"/>
      <c r="E36" s="89"/>
      <c r="F36" s="89"/>
      <c r="G36" s="89"/>
      <c r="H36" s="89"/>
      <c r="I36" s="89"/>
      <c r="J36" s="89"/>
      <c r="K36" s="89"/>
      <c r="L36" s="89"/>
      <c r="M36" s="89"/>
      <c r="N36" s="89"/>
      <c r="O36" s="89"/>
      <c r="P36" s="89"/>
      <c r="Q36" s="89"/>
      <c r="R36" s="89"/>
      <c r="S36" s="89"/>
    </row>
    <row r="37" spans="1:19" ht="15.75">
      <c r="A37" s="89"/>
      <c r="B37" s="89"/>
      <c r="C37" s="89"/>
      <c r="D37" s="89"/>
      <c r="E37" s="89"/>
      <c r="F37" s="89"/>
      <c r="G37" s="89"/>
      <c r="H37" s="89"/>
      <c r="I37" s="89"/>
      <c r="J37" s="89"/>
      <c r="K37" s="89"/>
      <c r="L37" s="89"/>
      <c r="M37" s="89"/>
      <c r="N37" s="89"/>
      <c r="O37" s="89"/>
      <c r="P37" s="89"/>
      <c r="Q37" s="89"/>
      <c r="R37" s="89"/>
      <c r="S37" s="89"/>
    </row>
    <row r="38" spans="1:19" ht="15.75">
      <c r="A38" s="89"/>
      <c r="B38" s="89"/>
      <c r="C38" s="89"/>
      <c r="D38" s="89"/>
      <c r="E38" s="89"/>
      <c r="F38" s="89"/>
      <c r="G38" s="89"/>
      <c r="H38" s="89"/>
      <c r="I38" s="89"/>
      <c r="J38" s="89"/>
      <c r="K38" s="89"/>
      <c r="L38" s="89"/>
      <c r="M38" s="89"/>
      <c r="N38" s="89"/>
      <c r="O38" s="89"/>
      <c r="P38" s="89"/>
      <c r="Q38" s="89"/>
      <c r="R38" s="89"/>
      <c r="S38" s="89"/>
    </row>
    <row r="39" spans="1:19" ht="15.75">
      <c r="A39" s="89"/>
      <c r="B39" s="89"/>
      <c r="C39" s="89"/>
      <c r="D39" s="89"/>
      <c r="E39" s="89"/>
      <c r="F39" s="89"/>
      <c r="G39" s="89"/>
      <c r="H39" s="89"/>
      <c r="I39" s="89"/>
      <c r="J39" s="89"/>
      <c r="K39" s="89"/>
      <c r="L39" s="89"/>
      <c r="M39" s="89"/>
      <c r="N39" s="89"/>
      <c r="O39" s="89"/>
      <c r="P39" s="89"/>
      <c r="Q39" s="89"/>
      <c r="R39" s="89"/>
      <c r="S39" s="89"/>
    </row>
    <row r="40" spans="1:19" ht="15.75">
      <c r="A40" s="89"/>
      <c r="B40" s="89"/>
      <c r="C40" s="89"/>
      <c r="D40" s="89"/>
      <c r="E40" s="89"/>
      <c r="F40" s="89"/>
      <c r="G40" s="89"/>
      <c r="H40" s="89"/>
      <c r="I40" s="89"/>
      <c r="J40" s="89"/>
      <c r="K40" s="89"/>
      <c r="L40" s="89"/>
      <c r="M40" s="89"/>
      <c r="N40" s="89"/>
      <c r="O40" s="89"/>
      <c r="P40" s="89"/>
      <c r="Q40" s="89"/>
      <c r="R40" s="89"/>
      <c r="S40" s="89"/>
    </row>
    <row r="41" spans="1:19" ht="15.75">
      <c r="A41" s="89"/>
      <c r="B41" s="89"/>
      <c r="C41" s="89"/>
      <c r="D41" s="89"/>
      <c r="E41" s="89"/>
      <c r="F41" s="89"/>
      <c r="G41" s="89"/>
      <c r="H41" s="89"/>
      <c r="I41" s="89"/>
      <c r="J41" s="89"/>
      <c r="K41" s="89"/>
      <c r="L41" s="89"/>
      <c r="M41" s="89"/>
      <c r="N41" s="89"/>
      <c r="O41" s="89"/>
      <c r="P41" s="89"/>
      <c r="Q41" s="89"/>
      <c r="R41" s="89"/>
      <c r="S41" s="89"/>
    </row>
    <row r="42" spans="1:19" ht="15.75">
      <c r="A42" s="89"/>
      <c r="B42" s="89"/>
      <c r="C42" s="89"/>
      <c r="D42" s="89"/>
      <c r="E42" s="89"/>
      <c r="F42" s="89"/>
      <c r="G42" s="89"/>
      <c r="H42" s="89"/>
      <c r="I42" s="89"/>
      <c r="J42" s="89"/>
      <c r="K42" s="89"/>
      <c r="L42" s="89"/>
      <c r="M42" s="89"/>
      <c r="N42" s="89"/>
      <c r="O42" s="89"/>
      <c r="P42" s="89"/>
      <c r="Q42" s="89"/>
      <c r="R42" s="89"/>
      <c r="S42" s="89"/>
    </row>
    <row r="43" spans="1:19" ht="15.75">
      <c r="A43" s="89"/>
      <c r="B43" s="89"/>
      <c r="C43" s="89"/>
      <c r="D43" s="89"/>
      <c r="E43" s="89"/>
      <c r="F43" s="89"/>
      <c r="G43" s="89"/>
      <c r="H43" s="89"/>
      <c r="I43" s="89"/>
      <c r="J43" s="89"/>
      <c r="K43" s="89"/>
      <c r="L43" s="89"/>
      <c r="M43" s="89"/>
      <c r="N43" s="89"/>
      <c r="O43" s="89"/>
      <c r="P43" s="89"/>
      <c r="Q43" s="89"/>
      <c r="R43" s="89"/>
      <c r="S43" s="89"/>
    </row>
    <row r="44" spans="1:19" ht="15.75">
      <c r="A44" s="89"/>
      <c r="B44" s="89"/>
      <c r="C44" s="89"/>
      <c r="D44" s="89"/>
      <c r="E44" s="89"/>
      <c r="F44" s="89"/>
      <c r="G44" s="89"/>
      <c r="H44" s="89"/>
      <c r="I44" s="89"/>
      <c r="J44" s="89"/>
      <c r="K44" s="89"/>
      <c r="L44" s="89"/>
      <c r="M44" s="89"/>
      <c r="N44" s="89"/>
      <c r="O44" s="89"/>
      <c r="P44" s="89"/>
      <c r="Q44" s="89"/>
      <c r="R44" s="89"/>
      <c r="S44" s="89"/>
    </row>
    <row r="45" spans="1:19" ht="15.75">
      <c r="A45" s="89"/>
      <c r="B45" s="89"/>
      <c r="C45" s="89"/>
      <c r="D45" s="89"/>
      <c r="E45" s="89"/>
      <c r="F45" s="89"/>
      <c r="G45" s="89"/>
      <c r="H45" s="89"/>
      <c r="I45" s="89"/>
      <c r="J45" s="89"/>
      <c r="K45" s="89"/>
      <c r="L45" s="89"/>
      <c r="M45" s="89"/>
      <c r="N45" s="89"/>
      <c r="O45" s="89"/>
      <c r="P45" s="89"/>
      <c r="Q45" s="89"/>
      <c r="R45" s="89"/>
      <c r="S45" s="89"/>
    </row>
    <row r="46" spans="1:19" ht="15.75">
      <c r="A46" s="89"/>
      <c r="B46" s="89"/>
      <c r="C46" s="89"/>
      <c r="D46" s="89"/>
      <c r="E46" s="89"/>
      <c r="F46" s="89"/>
      <c r="G46" s="89"/>
      <c r="H46" s="89"/>
      <c r="I46" s="89"/>
      <c r="J46" s="89"/>
      <c r="K46" s="89"/>
      <c r="L46" s="89"/>
      <c r="M46" s="89"/>
      <c r="N46" s="89"/>
      <c r="O46" s="89"/>
      <c r="P46" s="89"/>
      <c r="Q46" s="89"/>
      <c r="R46" s="89"/>
      <c r="S46" s="89"/>
    </row>
    <row r="47" spans="1:19" ht="15.75">
      <c r="A47" s="89"/>
      <c r="B47" s="89"/>
      <c r="C47" s="89"/>
      <c r="D47" s="89"/>
      <c r="E47" s="89"/>
      <c r="F47" s="89"/>
      <c r="G47" s="89"/>
      <c r="H47" s="89"/>
      <c r="I47" s="89"/>
      <c r="J47" s="89"/>
      <c r="K47" s="89"/>
      <c r="L47" s="89"/>
      <c r="M47" s="89"/>
      <c r="N47" s="89"/>
      <c r="O47" s="89"/>
      <c r="P47" s="89"/>
      <c r="Q47" s="89"/>
      <c r="R47" s="89"/>
      <c r="S47" s="89"/>
    </row>
    <row r="48" spans="1:19" ht="15.75">
      <c r="A48" s="89"/>
      <c r="B48" s="89"/>
      <c r="C48" s="89"/>
      <c r="D48" s="89"/>
      <c r="E48" s="89"/>
      <c r="F48" s="89"/>
      <c r="G48" s="89"/>
      <c r="H48" s="89"/>
      <c r="I48" s="89"/>
      <c r="J48" s="89"/>
      <c r="K48" s="89"/>
      <c r="L48" s="89"/>
      <c r="M48" s="89"/>
      <c r="N48" s="89"/>
      <c r="O48" s="89"/>
      <c r="P48" s="89"/>
      <c r="Q48" s="89"/>
      <c r="R48" s="89"/>
      <c r="S48" s="89"/>
    </row>
    <row r="49" spans="1:19" ht="15.75">
      <c r="A49" s="89"/>
      <c r="B49" s="89"/>
      <c r="C49" s="89"/>
      <c r="D49" s="89"/>
      <c r="E49" s="89"/>
      <c r="F49" s="89"/>
      <c r="G49" s="89"/>
      <c r="H49" s="89"/>
      <c r="I49" s="89"/>
      <c r="J49" s="89"/>
      <c r="K49" s="89"/>
      <c r="L49" s="89"/>
      <c r="M49" s="89"/>
      <c r="N49" s="89"/>
      <c r="O49" s="89"/>
      <c r="P49" s="89"/>
      <c r="Q49" s="89"/>
      <c r="R49" s="89"/>
      <c r="S49" s="89"/>
    </row>
    <row r="50" spans="1:19" ht="15.75">
      <c r="A50" s="89"/>
      <c r="B50" s="89"/>
      <c r="C50" s="89"/>
      <c r="D50" s="89"/>
      <c r="E50" s="89"/>
      <c r="F50" s="89"/>
      <c r="G50" s="89"/>
      <c r="H50" s="89"/>
      <c r="I50" s="89"/>
      <c r="J50" s="89"/>
      <c r="K50" s="89"/>
      <c r="L50" s="89"/>
      <c r="M50" s="89"/>
      <c r="N50" s="89"/>
      <c r="O50" s="89"/>
      <c r="P50" s="89"/>
      <c r="Q50" s="89"/>
      <c r="R50" s="89"/>
      <c r="S50" s="89"/>
    </row>
    <row r="51" spans="1:19" ht="15.75">
      <c r="A51" s="89"/>
      <c r="B51" s="89"/>
      <c r="C51" s="89"/>
      <c r="D51" s="89"/>
      <c r="E51" s="89"/>
      <c r="F51" s="89"/>
      <c r="G51" s="89"/>
      <c r="H51" s="89"/>
      <c r="I51" s="89"/>
      <c r="J51" s="89"/>
      <c r="K51" s="89"/>
      <c r="L51" s="89"/>
      <c r="M51" s="89"/>
      <c r="N51" s="89"/>
      <c r="O51" s="89"/>
      <c r="P51" s="89"/>
      <c r="Q51" s="89"/>
      <c r="R51" s="89"/>
      <c r="S51" s="89"/>
    </row>
    <row r="52" spans="1:19" ht="15.75">
      <c r="A52" s="89"/>
      <c r="B52" s="89"/>
      <c r="C52" s="89"/>
      <c r="D52" s="89"/>
      <c r="E52" s="89"/>
      <c r="F52" s="89"/>
      <c r="G52" s="89"/>
      <c r="H52" s="89"/>
      <c r="I52" s="89"/>
      <c r="J52" s="89"/>
      <c r="K52" s="89"/>
      <c r="L52" s="89"/>
      <c r="M52" s="89"/>
      <c r="N52" s="89"/>
      <c r="O52" s="89"/>
      <c r="P52" s="89"/>
      <c r="Q52" s="89"/>
      <c r="R52" s="89"/>
      <c r="S52" s="89"/>
    </row>
    <row r="53" spans="1:19" ht="15.75">
      <c r="A53" s="89"/>
      <c r="B53" s="89"/>
      <c r="C53" s="89"/>
      <c r="D53" s="89"/>
      <c r="E53" s="89"/>
      <c r="F53" s="89"/>
      <c r="G53" s="89"/>
      <c r="H53" s="89"/>
      <c r="I53" s="89"/>
      <c r="J53" s="89"/>
      <c r="K53" s="89"/>
      <c r="L53" s="89"/>
      <c r="M53" s="89"/>
      <c r="N53" s="89"/>
      <c r="O53" s="89"/>
      <c r="P53" s="89"/>
      <c r="Q53" s="89"/>
      <c r="R53" s="89"/>
      <c r="S53" s="89"/>
    </row>
    <row r="54" spans="1:19" ht="15.75">
      <c r="A54" s="89"/>
      <c r="B54" s="89"/>
      <c r="C54" s="89"/>
      <c r="D54" s="89"/>
      <c r="E54" s="89"/>
      <c r="F54" s="89"/>
      <c r="G54" s="89"/>
      <c r="H54" s="89"/>
      <c r="I54" s="89"/>
      <c r="J54" s="89"/>
      <c r="K54" s="89"/>
      <c r="L54" s="89"/>
      <c r="M54" s="89"/>
      <c r="N54" s="89"/>
      <c r="O54" s="89"/>
      <c r="P54" s="89"/>
      <c r="Q54" s="89"/>
      <c r="R54" s="89"/>
      <c r="S54" s="89"/>
    </row>
    <row r="55" spans="1:19" ht="15.75">
      <c r="A55" s="89"/>
      <c r="B55" s="89"/>
      <c r="C55" s="89"/>
      <c r="D55" s="89"/>
      <c r="E55" s="89"/>
      <c r="F55" s="89"/>
      <c r="G55" s="89"/>
      <c r="H55" s="89"/>
      <c r="I55" s="89"/>
      <c r="J55" s="89"/>
      <c r="K55" s="89"/>
      <c r="L55" s="89"/>
      <c r="M55" s="89"/>
      <c r="N55" s="89"/>
      <c r="O55" s="89"/>
      <c r="P55" s="89"/>
      <c r="Q55" s="89"/>
      <c r="R55" s="89"/>
      <c r="S55" s="89"/>
    </row>
    <row r="56" spans="1:19" ht="15.75">
      <c r="A56" s="89"/>
      <c r="B56" s="89"/>
      <c r="C56" s="89"/>
      <c r="D56" s="89"/>
      <c r="E56" s="89"/>
      <c r="F56" s="89"/>
      <c r="G56" s="89"/>
      <c r="H56" s="89"/>
      <c r="I56" s="89"/>
      <c r="J56" s="89"/>
      <c r="K56" s="89"/>
      <c r="L56" s="89"/>
      <c r="M56" s="89"/>
      <c r="N56" s="89"/>
      <c r="O56" s="89"/>
      <c r="P56" s="89"/>
      <c r="Q56" s="89"/>
      <c r="R56" s="89"/>
      <c r="S56" s="89"/>
    </row>
    <row r="57" spans="1:19" ht="15.75">
      <c r="A57" s="89"/>
      <c r="B57" s="89"/>
      <c r="C57" s="89"/>
      <c r="D57" s="89"/>
      <c r="E57" s="89"/>
      <c r="F57" s="89"/>
      <c r="G57" s="89"/>
      <c r="H57" s="89"/>
      <c r="I57" s="89"/>
      <c r="J57" s="89"/>
      <c r="K57" s="89"/>
      <c r="L57" s="89"/>
      <c r="M57" s="89"/>
      <c r="N57" s="89"/>
      <c r="O57" s="89"/>
      <c r="P57" s="89"/>
      <c r="Q57" s="89"/>
      <c r="R57" s="89"/>
      <c r="S57" s="89"/>
    </row>
    <row r="58" spans="1:19" ht="15.75">
      <c r="A58" s="89"/>
      <c r="B58" s="89"/>
      <c r="C58" s="89"/>
      <c r="D58" s="89"/>
      <c r="E58" s="89"/>
      <c r="F58" s="89"/>
      <c r="G58" s="89"/>
      <c r="H58" s="89"/>
      <c r="I58" s="89"/>
      <c r="J58" s="89"/>
      <c r="K58" s="89"/>
      <c r="L58" s="89"/>
      <c r="M58" s="89"/>
      <c r="N58" s="89"/>
      <c r="O58" s="89"/>
      <c r="P58" s="89"/>
      <c r="Q58" s="89"/>
      <c r="R58" s="89"/>
      <c r="S58" s="89"/>
    </row>
    <row r="59" spans="1:19" ht="15.75">
      <c r="A59" s="89"/>
      <c r="B59" s="89"/>
      <c r="C59" s="89"/>
      <c r="D59" s="89"/>
      <c r="E59" s="89"/>
      <c r="F59" s="89"/>
      <c r="G59" s="89"/>
      <c r="H59" s="89"/>
      <c r="I59" s="89"/>
      <c r="J59" s="89"/>
      <c r="K59" s="89"/>
      <c r="L59" s="89"/>
      <c r="M59" s="89"/>
      <c r="N59" s="89"/>
      <c r="O59" s="89"/>
      <c r="P59" s="89"/>
      <c r="Q59" s="89"/>
      <c r="R59" s="89"/>
      <c r="S59" s="89"/>
    </row>
    <row r="60" spans="1:19" ht="15.75">
      <c r="A60" s="89"/>
      <c r="B60" s="89"/>
      <c r="C60" s="89"/>
      <c r="D60" s="89"/>
      <c r="E60" s="89"/>
      <c r="F60" s="89"/>
      <c r="G60" s="89"/>
      <c r="H60" s="89"/>
      <c r="I60" s="89"/>
      <c r="J60" s="89"/>
      <c r="K60" s="89"/>
      <c r="L60" s="89"/>
      <c r="M60" s="89"/>
      <c r="N60" s="89"/>
      <c r="O60" s="89"/>
      <c r="P60" s="89"/>
      <c r="Q60" s="89"/>
      <c r="R60" s="89"/>
      <c r="S60" s="89"/>
    </row>
    <row r="61" spans="1:19" ht="15.75">
      <c r="A61" s="89"/>
      <c r="B61" s="89"/>
      <c r="C61" s="89"/>
      <c r="D61" s="89"/>
      <c r="E61" s="89"/>
      <c r="F61" s="89"/>
      <c r="G61" s="89"/>
      <c r="H61" s="89"/>
      <c r="I61" s="89"/>
      <c r="J61" s="89"/>
      <c r="K61" s="89"/>
      <c r="L61" s="89"/>
      <c r="M61" s="89"/>
      <c r="N61" s="89"/>
      <c r="O61" s="89"/>
      <c r="P61" s="89"/>
      <c r="Q61" s="89"/>
      <c r="R61" s="89"/>
      <c r="S61" s="89"/>
    </row>
    <row r="62" spans="1:19" ht="15.75">
      <c r="A62" s="89"/>
      <c r="B62" s="89"/>
      <c r="C62" s="89"/>
      <c r="D62" s="89"/>
      <c r="E62" s="89"/>
      <c r="F62" s="89"/>
      <c r="G62" s="89"/>
      <c r="H62" s="89"/>
      <c r="I62" s="89"/>
      <c r="J62" s="89"/>
      <c r="K62" s="89"/>
      <c r="L62" s="89"/>
      <c r="M62" s="89"/>
      <c r="N62" s="89"/>
      <c r="O62" s="89"/>
      <c r="P62" s="89"/>
      <c r="Q62" s="89"/>
      <c r="R62" s="89"/>
      <c r="S62" s="89"/>
    </row>
    <row r="63" spans="1:19" ht="15.75">
      <c r="A63" s="89"/>
      <c r="B63" s="89"/>
      <c r="C63" s="89"/>
      <c r="D63" s="89"/>
      <c r="E63" s="89"/>
      <c r="F63" s="89"/>
      <c r="G63" s="89"/>
      <c r="H63" s="89"/>
      <c r="I63" s="89"/>
      <c r="J63" s="89"/>
      <c r="K63" s="89"/>
      <c r="L63" s="89"/>
      <c r="M63" s="89"/>
      <c r="N63" s="89"/>
      <c r="O63" s="89"/>
      <c r="P63" s="89"/>
      <c r="Q63" s="89"/>
      <c r="R63" s="89"/>
      <c r="S63" s="89"/>
    </row>
    <row r="64" spans="1:19" ht="15.75">
      <c r="A64" s="89"/>
      <c r="B64" s="89"/>
      <c r="C64" s="89"/>
      <c r="D64" s="89"/>
      <c r="E64" s="89"/>
      <c r="F64" s="89"/>
      <c r="G64" s="89"/>
      <c r="H64" s="89"/>
      <c r="I64" s="89"/>
      <c r="J64" s="89"/>
      <c r="K64" s="89"/>
      <c r="L64" s="89"/>
      <c r="M64" s="89"/>
      <c r="N64" s="89"/>
      <c r="O64" s="89"/>
      <c r="P64" s="89"/>
      <c r="Q64" s="89"/>
      <c r="R64" s="89"/>
      <c r="S64" s="89"/>
    </row>
    <row r="65" spans="1:19" ht="15.75">
      <c r="A65" s="89"/>
      <c r="B65" s="89"/>
      <c r="C65" s="89"/>
      <c r="D65" s="89"/>
      <c r="E65" s="89"/>
      <c r="F65" s="89"/>
      <c r="G65" s="89"/>
      <c r="H65" s="89"/>
      <c r="I65" s="89"/>
      <c r="J65" s="89"/>
      <c r="K65" s="89"/>
      <c r="L65" s="89"/>
      <c r="M65" s="89"/>
      <c r="N65" s="89"/>
      <c r="O65" s="89"/>
      <c r="P65" s="89"/>
      <c r="Q65" s="89"/>
      <c r="R65" s="89"/>
      <c r="S65" s="89"/>
    </row>
    <row r="66" spans="1:19" ht="15.75">
      <c r="A66" s="89"/>
      <c r="B66" s="89"/>
      <c r="C66" s="89"/>
      <c r="D66" s="89"/>
      <c r="E66" s="89"/>
      <c r="F66" s="89"/>
      <c r="G66" s="89"/>
      <c r="H66" s="89"/>
      <c r="I66" s="89"/>
      <c r="J66" s="89"/>
      <c r="K66" s="89"/>
      <c r="L66" s="89"/>
      <c r="M66" s="89"/>
      <c r="N66" s="89"/>
      <c r="O66" s="89"/>
      <c r="P66" s="89"/>
      <c r="Q66" s="89"/>
      <c r="R66" s="89"/>
      <c r="S66" s="89"/>
    </row>
    <row r="67" spans="1:19" ht="15.75">
      <c r="A67" s="89"/>
      <c r="B67" s="89"/>
      <c r="C67" s="89"/>
      <c r="D67" s="89"/>
      <c r="E67" s="89"/>
      <c r="F67" s="89"/>
      <c r="G67" s="89"/>
      <c r="H67" s="89"/>
      <c r="I67" s="89"/>
      <c r="J67" s="89"/>
      <c r="K67" s="89"/>
      <c r="L67" s="89"/>
      <c r="M67" s="89"/>
      <c r="N67" s="89"/>
      <c r="O67" s="89"/>
      <c r="P67" s="89"/>
      <c r="Q67" s="89"/>
      <c r="R67" s="89"/>
      <c r="S67" s="89"/>
    </row>
    <row r="68" spans="1:19" ht="15.75">
      <c r="A68" s="89"/>
      <c r="B68" s="89"/>
      <c r="C68" s="89"/>
      <c r="D68" s="89"/>
      <c r="E68" s="89"/>
      <c r="F68" s="89"/>
      <c r="G68" s="89"/>
      <c r="H68" s="89"/>
      <c r="I68" s="89"/>
      <c r="J68" s="89"/>
      <c r="K68" s="89"/>
      <c r="L68" s="89"/>
      <c r="M68" s="89"/>
      <c r="N68" s="89"/>
      <c r="O68" s="89"/>
      <c r="P68" s="89"/>
      <c r="Q68" s="89"/>
      <c r="R68" s="89"/>
      <c r="S68" s="89"/>
    </row>
    <row r="69" spans="1:19" ht="15.75">
      <c r="A69" s="89"/>
      <c r="B69" s="89"/>
      <c r="C69" s="89"/>
      <c r="D69" s="89"/>
      <c r="E69" s="89"/>
      <c r="F69" s="89"/>
      <c r="G69" s="89"/>
      <c r="H69" s="89"/>
      <c r="I69" s="89"/>
      <c r="J69" s="89"/>
      <c r="K69" s="89"/>
      <c r="L69" s="89"/>
      <c r="M69" s="89"/>
      <c r="N69" s="89"/>
      <c r="O69" s="89"/>
      <c r="P69" s="89"/>
      <c r="Q69" s="89"/>
      <c r="R69" s="89"/>
      <c r="S69" s="89"/>
    </row>
    <row r="70" spans="1:19" ht="15.75">
      <c r="A70" s="89"/>
      <c r="B70" s="89"/>
      <c r="C70" s="89"/>
      <c r="D70" s="89"/>
      <c r="E70" s="89"/>
      <c r="F70" s="89"/>
      <c r="G70" s="89"/>
      <c r="H70" s="89"/>
      <c r="I70" s="89"/>
      <c r="J70" s="89"/>
      <c r="K70" s="89"/>
      <c r="L70" s="89"/>
      <c r="M70" s="89"/>
      <c r="N70" s="89"/>
      <c r="O70" s="89"/>
      <c r="P70" s="89"/>
      <c r="Q70" s="89"/>
      <c r="R70" s="89"/>
      <c r="S70" s="89"/>
    </row>
    <row r="71" spans="1:19" ht="15.75">
      <c r="A71" s="89"/>
      <c r="B71" s="89"/>
      <c r="C71" s="89"/>
      <c r="D71" s="89"/>
      <c r="E71" s="89"/>
      <c r="F71" s="89"/>
      <c r="G71" s="89"/>
      <c r="H71" s="89"/>
      <c r="I71" s="89"/>
      <c r="J71" s="89"/>
      <c r="K71" s="89"/>
      <c r="L71" s="89"/>
      <c r="M71" s="89"/>
      <c r="N71" s="89"/>
      <c r="O71" s="89"/>
      <c r="P71" s="89"/>
      <c r="Q71" s="89"/>
      <c r="R71" s="89"/>
      <c r="S71" s="89"/>
    </row>
    <row r="72" spans="1:19" ht="15.75">
      <c r="A72" s="89"/>
      <c r="B72" s="89"/>
      <c r="C72" s="89"/>
      <c r="D72" s="89"/>
      <c r="E72" s="89"/>
      <c r="F72" s="89"/>
      <c r="G72" s="89"/>
      <c r="H72" s="89"/>
      <c r="I72" s="89"/>
      <c r="J72" s="89"/>
      <c r="K72" s="89"/>
      <c r="L72" s="89"/>
      <c r="M72" s="89"/>
      <c r="N72" s="89"/>
      <c r="O72" s="89"/>
      <c r="P72" s="89"/>
      <c r="Q72" s="89"/>
      <c r="R72" s="89"/>
      <c r="S72" s="89"/>
    </row>
    <row r="73" spans="1:19" ht="15.75">
      <c r="A73" s="89"/>
      <c r="B73" s="89"/>
      <c r="C73" s="89"/>
      <c r="D73" s="89"/>
      <c r="E73" s="89"/>
      <c r="F73" s="89"/>
      <c r="G73" s="89"/>
      <c r="H73" s="89"/>
      <c r="I73" s="89"/>
      <c r="J73" s="89"/>
      <c r="K73" s="89"/>
      <c r="L73" s="89"/>
      <c r="M73" s="89"/>
      <c r="N73" s="89"/>
      <c r="O73" s="89"/>
      <c r="P73" s="89"/>
      <c r="Q73" s="89"/>
      <c r="R73" s="89"/>
      <c r="S73" s="89"/>
    </row>
    <row r="74" spans="1:19" ht="15.75">
      <c r="A74" s="89"/>
      <c r="B74" s="89"/>
      <c r="C74" s="89"/>
      <c r="D74" s="89"/>
      <c r="E74" s="89"/>
      <c r="F74" s="89"/>
      <c r="G74" s="89"/>
      <c r="H74" s="89"/>
      <c r="I74" s="89"/>
      <c r="J74" s="89"/>
      <c r="K74" s="89"/>
      <c r="L74" s="89"/>
      <c r="M74" s="89"/>
      <c r="N74" s="89"/>
      <c r="O74" s="89"/>
      <c r="P74" s="89"/>
      <c r="Q74" s="89"/>
      <c r="R74" s="89"/>
      <c r="S74" s="89"/>
    </row>
    <row r="75" spans="1:19" ht="15.75">
      <c r="A75" s="89"/>
      <c r="B75" s="89"/>
      <c r="C75" s="89"/>
      <c r="D75" s="89"/>
      <c r="E75" s="89"/>
      <c r="F75" s="89"/>
      <c r="G75" s="89"/>
      <c r="H75" s="89"/>
      <c r="I75" s="89"/>
      <c r="J75" s="89"/>
      <c r="K75" s="89"/>
      <c r="L75" s="89"/>
      <c r="M75" s="89"/>
      <c r="N75" s="89"/>
      <c r="O75" s="89"/>
      <c r="P75" s="89"/>
      <c r="Q75" s="89"/>
      <c r="R75" s="89"/>
      <c r="S75" s="89"/>
    </row>
    <row r="76" spans="1:19" ht="15.75">
      <c r="A76" s="89"/>
      <c r="B76" s="89"/>
      <c r="C76" s="89"/>
      <c r="D76" s="89"/>
      <c r="E76" s="89"/>
      <c r="F76" s="89"/>
      <c r="G76" s="89"/>
      <c r="H76" s="89"/>
      <c r="I76" s="89"/>
      <c r="J76" s="89"/>
      <c r="K76" s="89"/>
      <c r="L76" s="89"/>
      <c r="M76" s="89"/>
      <c r="N76" s="89"/>
      <c r="O76" s="89"/>
      <c r="P76" s="89"/>
      <c r="Q76" s="89"/>
      <c r="R76" s="89"/>
      <c r="S76" s="89"/>
    </row>
    <row r="77" spans="1:19" ht="15.75">
      <c r="A77" s="89"/>
      <c r="B77" s="89"/>
      <c r="C77" s="89"/>
      <c r="D77" s="89"/>
      <c r="E77" s="89"/>
      <c r="F77" s="89"/>
      <c r="G77" s="89"/>
      <c r="H77" s="89"/>
      <c r="I77" s="89"/>
      <c r="J77" s="89"/>
      <c r="K77" s="89"/>
      <c r="L77" s="89"/>
      <c r="M77" s="89"/>
      <c r="N77" s="89"/>
      <c r="O77" s="89"/>
      <c r="P77" s="89"/>
      <c r="Q77" s="89"/>
      <c r="R77" s="89"/>
      <c r="S77" s="89"/>
    </row>
    <row r="78" spans="1:19" ht="15.75">
      <c r="A78" s="89"/>
      <c r="B78" s="89"/>
      <c r="C78" s="89"/>
      <c r="D78" s="89"/>
      <c r="E78" s="89"/>
      <c r="F78" s="89"/>
      <c r="G78" s="89"/>
      <c r="H78" s="89"/>
      <c r="I78" s="89"/>
      <c r="J78" s="89"/>
      <c r="K78" s="89"/>
      <c r="L78" s="89"/>
      <c r="M78" s="89"/>
      <c r="N78" s="89"/>
      <c r="O78" s="89"/>
      <c r="P78" s="89"/>
      <c r="Q78" s="89"/>
      <c r="R78" s="89"/>
      <c r="S78" s="89"/>
    </row>
    <row r="79" spans="1:19" ht="15.75">
      <c r="A79" s="89"/>
      <c r="B79" s="89"/>
      <c r="C79" s="89"/>
      <c r="D79" s="89"/>
      <c r="E79" s="89"/>
      <c r="F79" s="89"/>
      <c r="G79" s="89"/>
      <c r="H79" s="89"/>
      <c r="I79" s="89"/>
      <c r="J79" s="89"/>
      <c r="K79" s="89"/>
      <c r="L79" s="89"/>
      <c r="M79" s="89"/>
      <c r="N79" s="89"/>
      <c r="O79" s="89"/>
      <c r="P79" s="89"/>
      <c r="Q79" s="89"/>
      <c r="R79" s="89"/>
      <c r="S79" s="89"/>
    </row>
    <row r="80" spans="1:19" ht="15.75">
      <c r="A80" s="89"/>
      <c r="B80" s="89"/>
      <c r="C80" s="89"/>
      <c r="D80" s="89"/>
      <c r="E80" s="89"/>
      <c r="F80" s="89"/>
      <c r="G80" s="89"/>
      <c r="H80" s="89"/>
      <c r="I80" s="89"/>
      <c r="J80" s="89"/>
      <c r="K80" s="89"/>
      <c r="L80" s="89"/>
      <c r="M80" s="89"/>
      <c r="N80" s="89"/>
      <c r="O80" s="89"/>
      <c r="P80" s="89"/>
      <c r="Q80" s="89"/>
      <c r="R80" s="89"/>
      <c r="S80" s="89"/>
    </row>
    <row r="81" spans="1:19" ht="15.75">
      <c r="A81" s="89"/>
      <c r="B81" s="89"/>
      <c r="C81" s="89"/>
      <c r="D81" s="89"/>
      <c r="E81" s="89"/>
      <c r="F81" s="89"/>
      <c r="G81" s="89"/>
      <c r="H81" s="89"/>
      <c r="I81" s="89"/>
      <c r="J81" s="89"/>
      <c r="K81" s="89"/>
      <c r="L81" s="89"/>
      <c r="M81" s="89"/>
      <c r="N81" s="89"/>
      <c r="O81" s="89"/>
      <c r="P81" s="89"/>
      <c r="Q81" s="89"/>
      <c r="R81" s="89"/>
      <c r="S81" s="89"/>
    </row>
    <row r="82" spans="1:19" ht="15.75">
      <c r="A82" s="89"/>
      <c r="B82" s="89"/>
      <c r="C82" s="89"/>
      <c r="D82" s="89"/>
      <c r="E82" s="89"/>
      <c r="F82" s="89"/>
      <c r="G82" s="89"/>
      <c r="H82" s="89"/>
      <c r="I82" s="89"/>
      <c r="J82" s="89"/>
      <c r="K82" s="89"/>
      <c r="L82" s="89"/>
      <c r="M82" s="89"/>
      <c r="N82" s="89"/>
      <c r="O82" s="89"/>
      <c r="P82" s="89"/>
      <c r="Q82" s="89"/>
      <c r="R82" s="89"/>
      <c r="S82" s="89"/>
    </row>
    <row r="83" spans="1:19" ht="15.75">
      <c r="A83" s="89"/>
      <c r="B83" s="89"/>
      <c r="C83" s="89"/>
      <c r="D83" s="89"/>
      <c r="E83" s="89"/>
      <c r="F83" s="89"/>
      <c r="G83" s="89"/>
      <c r="H83" s="89"/>
      <c r="I83" s="89"/>
      <c r="J83" s="89"/>
      <c r="K83" s="89"/>
      <c r="L83" s="89"/>
      <c r="M83" s="89"/>
      <c r="N83" s="89"/>
      <c r="O83" s="89"/>
      <c r="P83" s="89"/>
      <c r="Q83" s="89"/>
      <c r="R83" s="89"/>
      <c r="S83" s="89"/>
    </row>
    <row r="84" spans="1:19" ht="15.75">
      <c r="A84" s="89"/>
      <c r="B84" s="89"/>
      <c r="C84" s="89"/>
      <c r="D84" s="89"/>
      <c r="E84" s="89"/>
      <c r="F84" s="89"/>
      <c r="G84" s="89"/>
      <c r="H84" s="89"/>
      <c r="I84" s="89"/>
      <c r="J84" s="89"/>
      <c r="K84" s="89"/>
      <c r="L84" s="89"/>
      <c r="M84" s="89"/>
      <c r="N84" s="89"/>
      <c r="O84" s="89"/>
      <c r="P84" s="89"/>
      <c r="Q84" s="89"/>
      <c r="R84" s="89"/>
      <c r="S84" s="89"/>
    </row>
    <row r="85" spans="1:19" ht="15.75">
      <c r="A85" s="89"/>
      <c r="B85" s="89"/>
      <c r="C85" s="89"/>
      <c r="D85" s="89"/>
      <c r="E85" s="89"/>
      <c r="F85" s="89"/>
      <c r="G85" s="89"/>
      <c r="H85" s="89"/>
      <c r="I85" s="89"/>
      <c r="J85" s="89"/>
      <c r="K85" s="89"/>
      <c r="L85" s="89"/>
      <c r="M85" s="89"/>
      <c r="N85" s="89"/>
      <c r="O85" s="89"/>
      <c r="P85" s="89"/>
      <c r="Q85" s="89"/>
      <c r="R85" s="89"/>
      <c r="S85" s="89"/>
    </row>
    <row r="86" spans="1:19" ht="15.75">
      <c r="A86" s="89"/>
      <c r="B86" s="89"/>
      <c r="C86" s="89"/>
      <c r="D86" s="89"/>
      <c r="E86" s="89"/>
      <c r="F86" s="89"/>
      <c r="G86" s="89"/>
      <c r="H86" s="89"/>
      <c r="I86" s="89"/>
      <c r="J86" s="89"/>
      <c r="K86" s="89"/>
      <c r="L86" s="89"/>
      <c r="M86" s="89"/>
      <c r="N86" s="89"/>
      <c r="O86" s="89"/>
      <c r="P86" s="89"/>
      <c r="Q86" s="89"/>
      <c r="R86" s="89"/>
      <c r="S86" s="89"/>
    </row>
    <row r="87" spans="1:19" ht="15.75">
      <c r="A87" s="89"/>
      <c r="B87" s="89"/>
      <c r="C87" s="89"/>
      <c r="D87" s="89"/>
      <c r="E87" s="89"/>
      <c r="F87" s="89"/>
      <c r="G87" s="89"/>
      <c r="H87" s="89"/>
      <c r="I87" s="89"/>
      <c r="J87" s="89"/>
      <c r="K87" s="89"/>
      <c r="L87" s="89"/>
      <c r="M87" s="89"/>
      <c r="N87" s="89"/>
      <c r="O87" s="89"/>
      <c r="P87" s="89"/>
      <c r="Q87" s="89"/>
      <c r="R87" s="89"/>
      <c r="S87" s="89"/>
    </row>
    <row r="88" spans="1:19" ht="15.75">
      <c r="A88" s="89"/>
      <c r="B88" s="89"/>
      <c r="C88" s="89"/>
      <c r="D88" s="89"/>
      <c r="E88" s="89"/>
      <c r="F88" s="89"/>
      <c r="G88" s="89"/>
      <c r="H88" s="89"/>
      <c r="I88" s="89"/>
      <c r="J88" s="89"/>
      <c r="K88" s="89"/>
      <c r="L88" s="89"/>
      <c r="M88" s="89"/>
      <c r="N88" s="89"/>
      <c r="O88" s="89"/>
      <c r="P88" s="89"/>
      <c r="Q88" s="89"/>
      <c r="R88" s="89"/>
      <c r="S88" s="89"/>
    </row>
    <row r="89" spans="1:19" ht="15.75">
      <c r="A89" s="89"/>
      <c r="B89" s="89"/>
      <c r="C89" s="89"/>
      <c r="D89" s="89"/>
      <c r="E89" s="89"/>
      <c r="F89" s="89"/>
      <c r="G89" s="89"/>
      <c r="H89" s="89"/>
      <c r="I89" s="89"/>
      <c r="J89" s="89"/>
      <c r="K89" s="89"/>
      <c r="L89" s="89"/>
      <c r="M89" s="89"/>
      <c r="N89" s="89"/>
      <c r="O89" s="89"/>
      <c r="P89" s="89"/>
      <c r="Q89" s="89"/>
      <c r="R89" s="89"/>
      <c r="S89" s="89"/>
    </row>
    <row r="90" spans="1:19" ht="15.75">
      <c r="A90" s="89"/>
      <c r="B90" s="89"/>
      <c r="C90" s="89"/>
      <c r="D90" s="89"/>
      <c r="E90" s="89"/>
      <c r="F90" s="89"/>
      <c r="G90" s="89"/>
      <c r="H90" s="89"/>
      <c r="I90" s="89"/>
      <c r="J90" s="89"/>
      <c r="K90" s="89"/>
      <c r="L90" s="89"/>
      <c r="M90" s="89"/>
      <c r="N90" s="89"/>
      <c r="O90" s="89"/>
      <c r="P90" s="89"/>
      <c r="Q90" s="89"/>
      <c r="R90" s="89"/>
      <c r="S90" s="89"/>
    </row>
    <row r="91" spans="1:19" ht="15.75">
      <c r="A91" s="89"/>
      <c r="B91" s="89"/>
      <c r="C91" s="89"/>
      <c r="D91" s="89"/>
      <c r="E91" s="89"/>
      <c r="F91" s="89"/>
      <c r="G91" s="89"/>
      <c r="H91" s="89"/>
      <c r="I91" s="89"/>
      <c r="J91" s="89"/>
      <c r="K91" s="89"/>
      <c r="L91" s="89"/>
      <c r="M91" s="89"/>
      <c r="N91" s="89"/>
      <c r="O91" s="89"/>
      <c r="P91" s="89"/>
      <c r="Q91" s="89"/>
      <c r="R91" s="89"/>
      <c r="S91" s="89"/>
    </row>
    <row r="92" spans="1:19" ht="15.75">
      <c r="A92" s="89"/>
      <c r="B92" s="89"/>
      <c r="C92" s="89"/>
      <c r="D92" s="89"/>
      <c r="E92" s="89"/>
      <c r="F92" s="89"/>
      <c r="G92" s="89"/>
      <c r="H92" s="89"/>
      <c r="I92" s="89"/>
      <c r="J92" s="89"/>
      <c r="K92" s="89"/>
      <c r="L92" s="89"/>
      <c r="M92" s="89"/>
      <c r="N92" s="89"/>
      <c r="O92" s="89"/>
      <c r="P92" s="89"/>
      <c r="Q92" s="89"/>
      <c r="R92" s="89"/>
      <c r="S92" s="89"/>
    </row>
    <row r="93" spans="1:19" ht="15.75">
      <c r="A93" s="89"/>
      <c r="B93" s="89"/>
      <c r="C93" s="89"/>
      <c r="D93" s="89"/>
      <c r="E93" s="89"/>
      <c r="F93" s="89"/>
      <c r="G93" s="89"/>
      <c r="H93" s="89"/>
      <c r="I93" s="89"/>
      <c r="J93" s="89"/>
      <c r="K93" s="89"/>
      <c r="L93" s="89"/>
      <c r="M93" s="89"/>
      <c r="N93" s="89"/>
      <c r="O93" s="89"/>
      <c r="P93" s="89"/>
      <c r="Q93" s="89"/>
      <c r="R93" s="89"/>
      <c r="S93" s="89"/>
    </row>
    <row r="94" spans="1:19" ht="15.75">
      <c r="A94" s="89"/>
      <c r="B94" s="89"/>
      <c r="C94" s="89"/>
      <c r="D94" s="89"/>
      <c r="E94" s="89"/>
      <c r="F94" s="89"/>
      <c r="G94" s="89"/>
      <c r="H94" s="89"/>
      <c r="I94" s="89"/>
      <c r="J94" s="89"/>
      <c r="K94" s="89"/>
      <c r="L94" s="89"/>
      <c r="M94" s="89"/>
      <c r="N94" s="89"/>
      <c r="O94" s="89"/>
      <c r="P94" s="89"/>
      <c r="Q94" s="89"/>
      <c r="R94" s="89"/>
      <c r="S94" s="89"/>
    </row>
    <row r="95" spans="1:19" ht="15.75">
      <c r="A95" s="89"/>
      <c r="B95" s="89"/>
      <c r="C95" s="89"/>
      <c r="D95" s="89"/>
      <c r="E95" s="89"/>
      <c r="F95" s="89"/>
      <c r="G95" s="89"/>
      <c r="H95" s="89"/>
      <c r="I95" s="89"/>
      <c r="J95" s="89"/>
      <c r="K95" s="89"/>
      <c r="L95" s="89"/>
      <c r="M95" s="89"/>
      <c r="N95" s="89"/>
      <c r="O95" s="89"/>
      <c r="P95" s="89"/>
      <c r="Q95" s="89"/>
      <c r="R95" s="89"/>
      <c r="S95" s="89"/>
    </row>
    <row r="96" spans="1:19" ht="15.75">
      <c r="A96" s="89"/>
      <c r="B96" s="89"/>
      <c r="C96" s="89"/>
      <c r="D96" s="89"/>
      <c r="E96" s="89"/>
      <c r="F96" s="89"/>
      <c r="G96" s="89"/>
      <c r="H96" s="89"/>
      <c r="I96" s="89"/>
      <c r="J96" s="89"/>
      <c r="K96" s="89"/>
      <c r="L96" s="89"/>
      <c r="M96" s="89"/>
      <c r="N96" s="89"/>
      <c r="O96" s="89"/>
      <c r="P96" s="89"/>
      <c r="Q96" s="89"/>
      <c r="R96" s="89"/>
      <c r="S96" s="89"/>
    </row>
    <row r="97" spans="1:19" ht="15.75">
      <c r="A97" s="89"/>
      <c r="B97" s="89"/>
      <c r="C97" s="89"/>
      <c r="D97" s="89"/>
      <c r="E97" s="89"/>
      <c r="F97" s="89"/>
      <c r="G97" s="89"/>
      <c r="H97" s="89"/>
      <c r="I97" s="89"/>
      <c r="J97" s="89"/>
      <c r="K97" s="89"/>
      <c r="L97" s="89"/>
      <c r="M97" s="89"/>
      <c r="N97" s="89"/>
      <c r="O97" s="89"/>
      <c r="P97" s="89"/>
      <c r="Q97" s="89"/>
      <c r="R97" s="89"/>
      <c r="S97" s="89"/>
    </row>
    <row r="98" spans="1:19" ht="15.75">
      <c r="A98" s="89"/>
      <c r="B98" s="89"/>
      <c r="C98" s="89"/>
      <c r="D98" s="89"/>
      <c r="E98" s="89"/>
      <c r="F98" s="89"/>
      <c r="G98" s="89"/>
      <c r="H98" s="89"/>
      <c r="I98" s="89"/>
      <c r="J98" s="89"/>
      <c r="K98" s="89"/>
      <c r="L98" s="89"/>
      <c r="M98" s="89"/>
      <c r="N98" s="89"/>
      <c r="O98" s="89"/>
      <c r="P98" s="89"/>
      <c r="Q98" s="89"/>
      <c r="R98" s="89"/>
      <c r="S98" s="89"/>
    </row>
    <row r="99" spans="1:19" ht="15.75">
      <c r="A99" s="89"/>
      <c r="B99" s="89"/>
      <c r="C99" s="89"/>
      <c r="D99" s="89"/>
      <c r="E99" s="89"/>
      <c r="F99" s="89"/>
      <c r="G99" s="89"/>
      <c r="H99" s="89"/>
      <c r="I99" s="89"/>
      <c r="J99" s="89"/>
      <c r="K99" s="89"/>
      <c r="L99" s="89"/>
      <c r="M99" s="89"/>
      <c r="N99" s="89"/>
      <c r="O99" s="89"/>
      <c r="P99" s="89"/>
      <c r="Q99" s="89"/>
      <c r="R99" s="89"/>
      <c r="S99" s="89"/>
    </row>
    <row r="100" spans="1:19" ht="15.75">
      <c r="A100" s="89"/>
      <c r="B100" s="89"/>
      <c r="C100" s="89"/>
      <c r="D100" s="89"/>
      <c r="E100" s="89"/>
      <c r="F100" s="89"/>
      <c r="G100" s="89"/>
      <c r="H100" s="89"/>
      <c r="I100" s="89"/>
      <c r="J100" s="89"/>
      <c r="K100" s="89"/>
      <c r="L100" s="89"/>
      <c r="M100" s="89"/>
      <c r="N100" s="89"/>
      <c r="O100" s="89"/>
      <c r="P100" s="89"/>
      <c r="Q100" s="89"/>
      <c r="R100" s="89"/>
      <c r="S100" s="89"/>
    </row>
    <row r="101" spans="1:19" ht="15.75">
      <c r="A101" s="89"/>
      <c r="B101" s="89"/>
      <c r="C101" s="89"/>
      <c r="D101" s="89"/>
      <c r="E101" s="89"/>
      <c r="F101" s="89"/>
      <c r="G101" s="89"/>
      <c r="H101" s="89"/>
      <c r="I101" s="89"/>
      <c r="J101" s="89"/>
      <c r="K101" s="89"/>
      <c r="L101" s="89"/>
      <c r="M101" s="89"/>
      <c r="N101" s="89"/>
      <c r="O101" s="89"/>
      <c r="P101" s="89"/>
      <c r="Q101" s="89"/>
      <c r="R101" s="89"/>
      <c r="S101" s="89"/>
    </row>
    <row r="102" spans="1:19" ht="15.75">
      <c r="A102" s="89"/>
      <c r="B102" s="89"/>
      <c r="C102" s="89"/>
      <c r="D102" s="89"/>
      <c r="E102" s="89"/>
      <c r="F102" s="89"/>
      <c r="G102" s="89"/>
      <c r="H102" s="89"/>
      <c r="I102" s="89"/>
      <c r="J102" s="89"/>
      <c r="K102" s="89"/>
      <c r="L102" s="89"/>
      <c r="M102" s="89"/>
      <c r="N102" s="89"/>
      <c r="O102" s="89"/>
      <c r="P102" s="89"/>
      <c r="Q102" s="89"/>
      <c r="R102" s="89"/>
      <c r="S102" s="89"/>
    </row>
    <row r="103" spans="1:19" ht="15.75">
      <c r="A103" s="89"/>
      <c r="B103" s="89"/>
      <c r="C103" s="89"/>
      <c r="D103" s="89"/>
      <c r="E103" s="89"/>
      <c r="F103" s="89"/>
      <c r="G103" s="89"/>
      <c r="H103" s="89"/>
      <c r="I103" s="89"/>
      <c r="J103" s="89"/>
      <c r="K103" s="89"/>
      <c r="L103" s="89"/>
      <c r="M103" s="89"/>
      <c r="N103" s="89"/>
      <c r="O103" s="89"/>
      <c r="P103" s="89"/>
      <c r="Q103" s="89"/>
      <c r="R103" s="89"/>
      <c r="S103" s="89"/>
    </row>
    <row r="104" spans="1:19" ht="15.75">
      <c r="A104" s="89"/>
      <c r="B104" s="89"/>
      <c r="C104" s="89"/>
      <c r="D104" s="89"/>
      <c r="E104" s="89"/>
      <c r="F104" s="89"/>
      <c r="G104" s="89"/>
      <c r="H104" s="89"/>
      <c r="I104" s="89"/>
      <c r="J104" s="89"/>
      <c r="K104" s="89"/>
      <c r="L104" s="89"/>
      <c r="M104" s="89"/>
      <c r="N104" s="89"/>
      <c r="O104" s="89"/>
      <c r="P104" s="89"/>
      <c r="Q104" s="89"/>
      <c r="R104" s="89"/>
      <c r="S104" s="89"/>
    </row>
    <row r="105" spans="1:19" ht="15.75">
      <c r="A105" s="89"/>
      <c r="B105" s="89"/>
      <c r="C105" s="89"/>
      <c r="D105" s="89"/>
      <c r="E105" s="89"/>
      <c r="F105" s="89"/>
      <c r="G105" s="89"/>
      <c r="H105" s="89"/>
      <c r="I105" s="89"/>
      <c r="J105" s="89"/>
      <c r="K105" s="89"/>
      <c r="L105" s="89"/>
      <c r="M105" s="89"/>
      <c r="N105" s="89"/>
      <c r="O105" s="89"/>
      <c r="P105" s="89"/>
      <c r="Q105" s="89"/>
      <c r="R105" s="89"/>
      <c r="S105" s="89"/>
    </row>
    <row r="106" spans="1:19" ht="15.75">
      <c r="A106" s="89"/>
      <c r="B106" s="89"/>
      <c r="C106" s="89"/>
      <c r="D106" s="89"/>
      <c r="E106" s="89"/>
      <c r="F106" s="89"/>
      <c r="G106" s="89"/>
      <c r="H106" s="89"/>
      <c r="I106" s="89"/>
      <c r="J106" s="89"/>
      <c r="K106" s="89"/>
      <c r="L106" s="89"/>
      <c r="M106" s="89"/>
      <c r="N106" s="89"/>
      <c r="O106" s="89"/>
      <c r="P106" s="89"/>
      <c r="Q106" s="89"/>
      <c r="R106" s="89"/>
      <c r="S106" s="89"/>
    </row>
    <row r="107" spans="1:19" ht="15.75">
      <c r="A107" s="89"/>
      <c r="B107" s="89"/>
      <c r="C107" s="89"/>
      <c r="D107" s="89"/>
      <c r="E107" s="89"/>
      <c r="F107" s="89"/>
      <c r="G107" s="89"/>
      <c r="H107" s="89"/>
      <c r="I107" s="89"/>
      <c r="J107" s="89"/>
      <c r="K107" s="89"/>
      <c r="L107" s="89"/>
      <c r="M107" s="89"/>
      <c r="N107" s="89"/>
      <c r="O107" s="89"/>
      <c r="P107" s="89"/>
      <c r="Q107" s="89"/>
      <c r="R107" s="89"/>
      <c r="S107" s="89"/>
    </row>
    <row r="108" spans="1:19" ht="15.75">
      <c r="A108" s="89"/>
      <c r="B108" s="89"/>
      <c r="C108" s="89"/>
      <c r="D108" s="89"/>
      <c r="E108" s="89"/>
      <c r="F108" s="89"/>
      <c r="G108" s="89"/>
      <c r="H108" s="89"/>
      <c r="I108" s="89"/>
      <c r="J108" s="89"/>
      <c r="K108" s="89"/>
      <c r="L108" s="89"/>
      <c r="M108" s="89"/>
      <c r="N108" s="89"/>
      <c r="O108" s="89"/>
      <c r="P108" s="89"/>
      <c r="Q108" s="89"/>
      <c r="R108" s="89"/>
      <c r="S108" s="89"/>
    </row>
    <row r="109" spans="1:19" ht="15.75">
      <c r="A109" s="89"/>
      <c r="B109" s="89"/>
      <c r="C109" s="89"/>
      <c r="D109" s="89"/>
      <c r="E109" s="89"/>
      <c r="F109" s="89"/>
      <c r="G109" s="89"/>
      <c r="H109" s="89"/>
      <c r="I109" s="89"/>
      <c r="J109" s="89"/>
      <c r="K109" s="89"/>
      <c r="L109" s="89"/>
      <c r="M109" s="89"/>
      <c r="N109" s="89"/>
      <c r="O109" s="89"/>
      <c r="P109" s="89"/>
      <c r="Q109" s="89"/>
      <c r="R109" s="89"/>
      <c r="S109" s="89"/>
    </row>
    <row r="110" spans="1:19" ht="15.75">
      <c r="A110" s="89"/>
      <c r="B110" s="89"/>
      <c r="C110" s="89"/>
      <c r="D110" s="89"/>
      <c r="E110" s="89"/>
      <c r="F110" s="89"/>
      <c r="G110" s="89"/>
      <c r="H110" s="89"/>
      <c r="I110" s="89"/>
      <c r="J110" s="89"/>
      <c r="K110" s="89"/>
      <c r="L110" s="89"/>
      <c r="M110" s="89"/>
      <c r="N110" s="89"/>
      <c r="O110" s="89"/>
      <c r="P110" s="89"/>
      <c r="Q110" s="89"/>
      <c r="R110" s="89"/>
      <c r="S110" s="89"/>
    </row>
    <row r="111" spans="1:19" ht="15.75">
      <c r="A111" s="89"/>
      <c r="B111" s="89"/>
      <c r="C111" s="89"/>
      <c r="D111" s="89"/>
      <c r="E111" s="89"/>
      <c r="F111" s="89"/>
      <c r="G111" s="89"/>
      <c r="H111" s="89"/>
      <c r="I111" s="89"/>
      <c r="J111" s="89"/>
      <c r="K111" s="89"/>
      <c r="L111" s="89"/>
      <c r="M111" s="89"/>
      <c r="N111" s="89"/>
      <c r="O111" s="89"/>
      <c r="P111" s="89"/>
      <c r="Q111" s="89"/>
      <c r="R111" s="89"/>
      <c r="S111" s="89"/>
    </row>
    <row r="112" spans="1:19" ht="15.75">
      <c r="A112" s="89"/>
      <c r="B112" s="89"/>
      <c r="C112" s="89"/>
      <c r="D112" s="89"/>
      <c r="E112" s="89"/>
      <c r="F112" s="89"/>
      <c r="G112" s="89"/>
      <c r="H112" s="89"/>
      <c r="I112" s="89"/>
      <c r="J112" s="89"/>
      <c r="K112" s="89"/>
      <c r="L112" s="89"/>
      <c r="M112" s="89"/>
      <c r="N112" s="89"/>
      <c r="O112" s="89"/>
      <c r="P112" s="89"/>
      <c r="Q112" s="89"/>
      <c r="R112" s="89"/>
      <c r="S112" s="89"/>
    </row>
    <row r="113" spans="1:19" ht="15.75">
      <c r="A113" s="89"/>
      <c r="B113" s="89"/>
      <c r="C113" s="89"/>
      <c r="D113" s="89"/>
      <c r="E113" s="89"/>
      <c r="F113" s="89"/>
      <c r="G113" s="89"/>
      <c r="H113" s="89"/>
      <c r="I113" s="89"/>
      <c r="J113" s="89"/>
      <c r="K113" s="89"/>
      <c r="L113" s="89"/>
      <c r="M113" s="89"/>
      <c r="N113" s="89"/>
      <c r="O113" s="89"/>
      <c r="P113" s="89"/>
      <c r="Q113" s="89"/>
      <c r="R113" s="89"/>
      <c r="S113" s="89"/>
    </row>
    <row r="114" spans="1:19" ht="15.75">
      <c r="A114" s="89"/>
      <c r="B114" s="89"/>
      <c r="C114" s="89"/>
      <c r="D114" s="89"/>
      <c r="E114" s="89"/>
      <c r="F114" s="89"/>
      <c r="G114" s="89"/>
      <c r="H114" s="89"/>
      <c r="I114" s="89"/>
      <c r="J114" s="89"/>
      <c r="K114" s="89"/>
      <c r="L114" s="89"/>
      <c r="M114" s="89"/>
      <c r="N114" s="89"/>
      <c r="O114" s="89"/>
      <c r="P114" s="89"/>
      <c r="Q114" s="89"/>
      <c r="R114" s="89"/>
      <c r="S114" s="89"/>
    </row>
    <row r="115" spans="1:19" ht="15.75">
      <c r="A115" s="89"/>
      <c r="B115" s="89"/>
      <c r="C115" s="89"/>
      <c r="D115" s="89"/>
      <c r="E115" s="89"/>
      <c r="F115" s="89"/>
      <c r="G115" s="89"/>
      <c r="H115" s="89"/>
      <c r="I115" s="89"/>
      <c r="J115" s="89"/>
      <c r="K115" s="89"/>
      <c r="L115" s="89"/>
      <c r="M115" s="89"/>
      <c r="N115" s="89"/>
      <c r="O115" s="89"/>
      <c r="P115" s="89"/>
      <c r="Q115" s="89"/>
      <c r="R115" s="89"/>
      <c r="S115" s="89"/>
    </row>
    <row r="116" spans="1:19" ht="15.75">
      <c r="A116" s="89"/>
      <c r="B116" s="89"/>
      <c r="C116" s="89"/>
      <c r="D116" s="89"/>
      <c r="E116" s="89"/>
      <c r="F116" s="89"/>
      <c r="G116" s="89"/>
      <c r="H116" s="89"/>
      <c r="I116" s="89"/>
      <c r="J116" s="89"/>
      <c r="K116" s="89"/>
      <c r="L116" s="89"/>
      <c r="M116" s="89"/>
      <c r="N116" s="89"/>
      <c r="O116" s="89"/>
      <c r="P116" s="89"/>
      <c r="Q116" s="89"/>
      <c r="R116" s="89"/>
      <c r="S116" s="89"/>
    </row>
    <row r="117" spans="1:19" ht="15.75">
      <c r="A117" s="89"/>
      <c r="B117" s="89"/>
      <c r="C117" s="89"/>
      <c r="D117" s="89"/>
      <c r="E117" s="89"/>
      <c r="F117" s="89"/>
      <c r="G117" s="89"/>
      <c r="H117" s="89"/>
      <c r="I117" s="89"/>
      <c r="J117" s="89"/>
      <c r="K117" s="89"/>
      <c r="L117" s="89"/>
      <c r="M117" s="89"/>
      <c r="N117" s="89"/>
      <c r="O117" s="89"/>
      <c r="P117" s="89"/>
      <c r="Q117" s="89"/>
      <c r="R117" s="89"/>
      <c r="S117" s="89"/>
    </row>
    <row r="118" spans="1:19" ht="15.75">
      <c r="A118" s="89"/>
      <c r="B118" s="89"/>
      <c r="C118" s="89"/>
      <c r="D118" s="89"/>
      <c r="E118" s="89"/>
      <c r="F118" s="89"/>
      <c r="G118" s="89"/>
      <c r="H118" s="89"/>
      <c r="I118" s="89"/>
      <c r="J118" s="89"/>
      <c r="K118" s="89"/>
      <c r="L118" s="89"/>
      <c r="M118" s="89"/>
      <c r="N118" s="89"/>
      <c r="O118" s="89"/>
      <c r="P118" s="89"/>
      <c r="Q118" s="89"/>
      <c r="R118" s="89"/>
      <c r="S118" s="89"/>
    </row>
    <row r="119" spans="1:19" ht="15.75">
      <c r="A119" s="89"/>
      <c r="B119" s="89"/>
      <c r="C119" s="89"/>
      <c r="D119" s="89"/>
      <c r="E119" s="89"/>
      <c r="F119" s="89"/>
      <c r="G119" s="89"/>
      <c r="H119" s="89"/>
      <c r="I119" s="89"/>
      <c r="J119" s="89"/>
      <c r="K119" s="89"/>
      <c r="L119" s="89"/>
      <c r="M119" s="89"/>
      <c r="N119" s="89"/>
      <c r="O119" s="89"/>
      <c r="P119" s="89"/>
      <c r="Q119" s="89"/>
      <c r="R119" s="89"/>
      <c r="S119" s="89"/>
    </row>
    <row r="120" spans="1:19" ht="15.75">
      <c r="A120" s="89"/>
      <c r="B120" s="89"/>
      <c r="C120" s="89"/>
      <c r="D120" s="89"/>
      <c r="E120" s="89"/>
      <c r="F120" s="89"/>
      <c r="G120" s="89"/>
      <c r="H120" s="89"/>
      <c r="I120" s="89"/>
      <c r="J120" s="89"/>
      <c r="K120" s="89"/>
      <c r="L120" s="89"/>
      <c r="M120" s="89"/>
      <c r="N120" s="89"/>
      <c r="O120" s="89"/>
      <c r="P120" s="89"/>
      <c r="Q120" s="89"/>
      <c r="R120" s="89"/>
      <c r="S120" s="89"/>
    </row>
    <row r="121" spans="1:19" ht="15.75">
      <c r="A121" s="89"/>
      <c r="B121" s="89"/>
      <c r="C121" s="89"/>
      <c r="D121" s="89"/>
      <c r="E121" s="89"/>
      <c r="F121" s="89"/>
      <c r="G121" s="89"/>
      <c r="H121" s="89"/>
      <c r="I121" s="89"/>
      <c r="J121" s="89"/>
      <c r="K121" s="89"/>
      <c r="L121" s="89"/>
      <c r="M121" s="89"/>
      <c r="N121" s="89"/>
      <c r="O121" s="89"/>
      <c r="P121" s="89"/>
      <c r="Q121" s="89"/>
      <c r="R121" s="89"/>
      <c r="S121" s="89"/>
    </row>
    <row r="122" spans="1:19" ht="15.75">
      <c r="A122" s="89"/>
      <c r="B122" s="89"/>
      <c r="C122" s="89"/>
      <c r="D122" s="89"/>
      <c r="E122" s="89"/>
      <c r="F122" s="89"/>
      <c r="G122" s="89"/>
      <c r="H122" s="89"/>
      <c r="I122" s="89"/>
      <c r="J122" s="89"/>
      <c r="K122" s="89"/>
      <c r="L122" s="89"/>
      <c r="M122" s="89"/>
      <c r="N122" s="89"/>
      <c r="O122" s="89"/>
      <c r="P122" s="89"/>
      <c r="Q122" s="89"/>
      <c r="R122" s="89"/>
      <c r="S122" s="89"/>
    </row>
    <row r="123" spans="1:19" ht="15.75">
      <c r="A123" s="89"/>
      <c r="B123" s="89"/>
      <c r="C123" s="89"/>
      <c r="D123" s="89"/>
      <c r="E123" s="89"/>
      <c r="F123" s="89"/>
      <c r="G123" s="89"/>
      <c r="H123" s="89"/>
      <c r="I123" s="89"/>
      <c r="J123" s="89"/>
      <c r="K123" s="89"/>
      <c r="L123" s="89"/>
      <c r="M123" s="89"/>
      <c r="N123" s="89"/>
      <c r="O123" s="89"/>
      <c r="P123" s="89"/>
      <c r="Q123" s="89"/>
      <c r="R123" s="89"/>
      <c r="S123" s="89"/>
    </row>
    <row r="124" spans="1:19" ht="15.75">
      <c r="A124" s="89"/>
      <c r="B124" s="89"/>
      <c r="C124" s="89"/>
      <c r="D124" s="89"/>
      <c r="E124" s="89"/>
      <c r="F124" s="89"/>
      <c r="G124" s="89"/>
      <c r="H124" s="89"/>
      <c r="I124" s="89"/>
      <c r="J124" s="89"/>
      <c r="K124" s="89"/>
      <c r="L124" s="89"/>
      <c r="M124" s="89"/>
      <c r="N124" s="89"/>
      <c r="O124" s="89"/>
      <c r="P124" s="89"/>
      <c r="Q124" s="89"/>
      <c r="R124" s="89"/>
      <c r="S124" s="89"/>
    </row>
  </sheetData>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C6DD-6C26-4791-B8F2-858F2AE6170E}">
  <dimension ref="A1:K25"/>
  <sheetViews>
    <sheetView workbookViewId="0">
      <selection activeCell="R36" sqref="R36"/>
    </sheetView>
  </sheetViews>
  <sheetFormatPr defaultRowHeight="15"/>
  <cols>
    <col min="3" max="3" width="8.21875" bestFit="1" customWidth="1"/>
    <col min="4" max="4" width="8.33203125" customWidth="1"/>
    <col min="5" max="5" width="8.21875" customWidth="1"/>
    <col min="7" max="7" width="8.21875" bestFit="1" customWidth="1"/>
    <col min="8" max="8" width="9.21875" customWidth="1"/>
  </cols>
  <sheetData>
    <row r="1" spans="1:11">
      <c r="A1" s="216" t="s">
        <v>16</v>
      </c>
      <c r="B1" s="216"/>
      <c r="C1" s="216"/>
      <c r="D1" s="216"/>
      <c r="E1" s="216"/>
      <c r="F1" s="216"/>
      <c r="G1" s="216"/>
      <c r="H1" s="216"/>
      <c r="I1" s="216"/>
      <c r="J1" s="202"/>
      <c r="K1" s="202"/>
    </row>
    <row r="2" spans="1:11">
      <c r="A2" s="216" t="s">
        <v>933</v>
      </c>
      <c r="B2" s="216"/>
      <c r="C2" s="216"/>
      <c r="D2" s="216"/>
      <c r="E2" s="216"/>
      <c r="F2" s="216"/>
      <c r="G2" s="216"/>
      <c r="H2" s="216"/>
      <c r="I2" s="216"/>
      <c r="J2" s="202"/>
      <c r="K2" s="202"/>
    </row>
    <row r="3" spans="1:11">
      <c r="A3" s="216" t="s">
        <v>934</v>
      </c>
      <c r="B3" s="216"/>
      <c r="C3" s="216"/>
      <c r="D3" s="216"/>
      <c r="E3" s="216"/>
      <c r="F3" s="216"/>
      <c r="G3" s="216"/>
      <c r="H3" s="216"/>
      <c r="I3" s="216"/>
      <c r="J3" s="202"/>
      <c r="K3" s="202"/>
    </row>
    <row r="4" spans="1:11">
      <c r="A4" s="202"/>
      <c r="B4" s="202"/>
      <c r="C4" s="202"/>
      <c r="D4" s="202"/>
      <c r="E4" s="202"/>
      <c r="F4" s="202"/>
      <c r="G4" s="202"/>
      <c r="H4" s="202"/>
      <c r="I4" s="202"/>
      <c r="J4" s="202"/>
      <c r="K4" s="202"/>
    </row>
    <row r="5" spans="1:11">
      <c r="A5" s="202"/>
      <c r="B5" s="202"/>
      <c r="C5" s="216" t="s">
        <v>935</v>
      </c>
      <c r="D5" s="216"/>
      <c r="E5" s="216"/>
      <c r="F5" s="202"/>
      <c r="G5" s="216" t="s">
        <v>936</v>
      </c>
      <c r="H5" s="216"/>
      <c r="I5" s="216"/>
      <c r="J5" s="202"/>
      <c r="K5" s="202"/>
    </row>
    <row r="6" spans="1:11">
      <c r="A6" s="202"/>
      <c r="B6" s="202"/>
      <c r="C6" s="249" t="s">
        <v>937</v>
      </c>
      <c r="D6" s="249"/>
      <c r="E6" s="249"/>
      <c r="F6" s="249"/>
      <c r="G6" s="249" t="s">
        <v>937</v>
      </c>
      <c r="H6" s="249" t="s">
        <v>938</v>
      </c>
      <c r="I6" s="249"/>
      <c r="J6" s="202"/>
      <c r="K6" s="202"/>
    </row>
    <row r="7" spans="1:11">
      <c r="A7" s="202"/>
      <c r="B7" s="202"/>
      <c r="C7" s="249" t="s">
        <v>939</v>
      </c>
      <c r="D7" s="249" t="s">
        <v>940</v>
      </c>
      <c r="E7" s="249" t="s">
        <v>941</v>
      </c>
      <c r="F7" s="249"/>
      <c r="G7" s="249" t="s">
        <v>939</v>
      </c>
      <c r="H7" s="249" t="s">
        <v>940</v>
      </c>
      <c r="I7" s="249" t="s">
        <v>942</v>
      </c>
      <c r="J7" s="202"/>
      <c r="K7" s="202"/>
    </row>
    <row r="8" spans="1:11">
      <c r="A8" s="202" t="s">
        <v>943</v>
      </c>
      <c r="B8" s="202"/>
      <c r="C8" s="204">
        <v>38157.06</v>
      </c>
      <c r="D8" s="204"/>
      <c r="E8" s="204">
        <f>ROUND(C8*0.06,2)</f>
        <v>2289.42</v>
      </c>
      <c r="F8" s="204"/>
      <c r="G8" s="204">
        <v>38157.06</v>
      </c>
      <c r="H8" s="204">
        <v>1008</v>
      </c>
      <c r="I8" s="204">
        <f t="shared" ref="I8:I15" si="0">(G8-H8)*0.067</f>
        <v>2488.98702</v>
      </c>
      <c r="J8" s="204"/>
      <c r="K8" s="204"/>
    </row>
    <row r="9" spans="1:11">
      <c r="A9" s="202" t="s">
        <v>944</v>
      </c>
      <c r="B9" s="202"/>
      <c r="C9" s="204">
        <v>30805.53</v>
      </c>
      <c r="D9" s="204"/>
      <c r="E9" s="204">
        <f t="shared" ref="E9:E19" si="1">ROUND(C9*0.06,2)</f>
        <v>1848.33</v>
      </c>
      <c r="F9" s="204"/>
      <c r="G9" s="204">
        <v>30805.53</v>
      </c>
      <c r="H9" s="204">
        <v>1083.5999999999999</v>
      </c>
      <c r="I9" s="204">
        <f t="shared" si="0"/>
        <v>1991.36931</v>
      </c>
      <c r="J9" s="204"/>
      <c r="K9" s="204"/>
    </row>
    <row r="10" spans="1:11">
      <c r="A10" s="202" t="s">
        <v>945</v>
      </c>
      <c r="B10" s="202"/>
      <c r="C10" s="204">
        <v>33606.379999999997</v>
      </c>
      <c r="D10" s="204"/>
      <c r="E10" s="204">
        <f t="shared" si="1"/>
        <v>2016.38</v>
      </c>
      <c r="F10" s="204"/>
      <c r="G10" s="204">
        <v>33606.68</v>
      </c>
      <c r="H10" s="204">
        <v>1213.8</v>
      </c>
      <c r="I10" s="204">
        <f t="shared" si="0"/>
        <v>2170.3229600000004</v>
      </c>
      <c r="J10" s="204"/>
      <c r="K10" s="204"/>
    </row>
    <row r="11" spans="1:11">
      <c r="A11" s="202" t="s">
        <v>946</v>
      </c>
      <c r="B11" s="202"/>
      <c r="C11" s="204">
        <v>33605.58</v>
      </c>
      <c r="D11" s="204"/>
      <c r="E11" s="204">
        <f t="shared" si="1"/>
        <v>2016.33</v>
      </c>
      <c r="F11" s="204"/>
      <c r="G11" s="204">
        <v>33605.58</v>
      </c>
      <c r="H11" s="204">
        <v>1212.75</v>
      </c>
      <c r="I11" s="204">
        <f t="shared" si="0"/>
        <v>2170.3196100000005</v>
      </c>
      <c r="J11" s="204"/>
      <c r="K11" s="204"/>
    </row>
    <row r="12" spans="1:11">
      <c r="A12" s="202" t="s">
        <v>947</v>
      </c>
      <c r="B12" s="202"/>
      <c r="C12" s="204">
        <v>32873.26</v>
      </c>
      <c r="D12" s="204"/>
      <c r="E12" s="204">
        <f t="shared" si="1"/>
        <v>1972.4</v>
      </c>
      <c r="F12" s="204"/>
      <c r="G12" s="204">
        <v>32873.26</v>
      </c>
      <c r="H12" s="204">
        <v>1638</v>
      </c>
      <c r="I12" s="204">
        <f t="shared" si="0"/>
        <v>2092.7624200000005</v>
      </c>
      <c r="J12" s="204"/>
      <c r="K12" s="204"/>
    </row>
    <row r="13" spans="1:11">
      <c r="A13" s="202" t="s">
        <v>948</v>
      </c>
      <c r="B13" s="202"/>
      <c r="C13" s="204">
        <v>35991.360000000001</v>
      </c>
      <c r="D13" s="204"/>
      <c r="E13" s="204">
        <f t="shared" si="1"/>
        <v>2159.48</v>
      </c>
      <c r="F13" s="204"/>
      <c r="G13" s="204">
        <v>35991.360000000001</v>
      </c>
      <c r="H13" s="204">
        <v>2131.5</v>
      </c>
      <c r="I13" s="204">
        <f t="shared" si="0"/>
        <v>2268.6106200000004</v>
      </c>
      <c r="J13" s="204"/>
      <c r="K13" s="204"/>
    </row>
    <row r="14" spans="1:11">
      <c r="A14" s="202" t="s">
        <v>949</v>
      </c>
      <c r="B14" s="202"/>
      <c r="C14" s="204">
        <v>37297.22</v>
      </c>
      <c r="D14" s="204"/>
      <c r="E14" s="204">
        <f t="shared" si="1"/>
        <v>2237.83</v>
      </c>
      <c r="F14" s="204"/>
      <c r="G14" s="204">
        <v>37297.22</v>
      </c>
      <c r="H14" s="204">
        <v>1780.8</v>
      </c>
      <c r="I14" s="204">
        <f t="shared" si="0"/>
        <v>2379.60014</v>
      </c>
      <c r="J14" s="204"/>
      <c r="K14" s="204"/>
    </row>
    <row r="15" spans="1:11">
      <c r="A15" s="202" t="s">
        <v>950</v>
      </c>
      <c r="B15" s="202"/>
      <c r="C15" s="204">
        <v>39831.29</v>
      </c>
      <c r="D15" s="204"/>
      <c r="E15" s="204">
        <f t="shared" si="1"/>
        <v>2389.88</v>
      </c>
      <c r="F15" s="204"/>
      <c r="G15" s="204">
        <v>39831.29</v>
      </c>
      <c r="H15" s="204">
        <v>1465.8</v>
      </c>
      <c r="I15" s="204">
        <f t="shared" si="0"/>
        <v>2570.48783</v>
      </c>
      <c r="J15" s="204"/>
      <c r="K15" s="204"/>
    </row>
    <row r="16" spans="1:11">
      <c r="A16" s="202" t="s">
        <v>951</v>
      </c>
      <c r="B16" s="202"/>
      <c r="C16" s="204">
        <v>36812.46</v>
      </c>
      <c r="D16" s="204"/>
      <c r="E16" s="204">
        <f t="shared" si="1"/>
        <v>2208.75</v>
      </c>
      <c r="F16" s="204"/>
      <c r="G16" s="204">
        <v>36812.46</v>
      </c>
      <c r="H16" s="204">
        <v>1710.45</v>
      </c>
      <c r="I16" s="204">
        <f>(G16-H16)*0.067</f>
        <v>2351.8346700000002</v>
      </c>
      <c r="J16" s="204"/>
      <c r="K16" s="204"/>
    </row>
    <row r="17" spans="1:11">
      <c r="A17" s="202" t="s">
        <v>952</v>
      </c>
      <c r="B17" s="202"/>
      <c r="C17" s="204">
        <v>39722.51</v>
      </c>
      <c r="D17" s="204"/>
      <c r="E17" s="204">
        <f t="shared" si="1"/>
        <v>2383.35</v>
      </c>
      <c r="F17" s="204"/>
      <c r="G17" s="204">
        <v>39722.51</v>
      </c>
      <c r="H17" s="204">
        <v>3439.8</v>
      </c>
      <c r="I17" s="204">
        <f t="shared" ref="I17:I19" si="2">(G17-H17)*0.067</f>
        <v>2430.94157</v>
      </c>
      <c r="J17" s="204"/>
      <c r="K17" s="204"/>
    </row>
    <row r="18" spans="1:11">
      <c r="A18" s="202" t="s">
        <v>953</v>
      </c>
      <c r="B18" s="202"/>
      <c r="C18" s="204">
        <v>39542.080000000002</v>
      </c>
      <c r="D18" s="204"/>
      <c r="E18" s="204">
        <f t="shared" si="1"/>
        <v>2372.52</v>
      </c>
      <c r="F18" s="204"/>
      <c r="G18" s="204">
        <v>39542.080000000002</v>
      </c>
      <c r="H18" s="204">
        <v>1476.3</v>
      </c>
      <c r="I18" s="204">
        <f t="shared" si="2"/>
        <v>2550.40726</v>
      </c>
      <c r="J18" s="204"/>
      <c r="K18" s="204"/>
    </row>
    <row r="19" spans="1:11">
      <c r="A19" s="202" t="s">
        <v>954</v>
      </c>
      <c r="B19" s="202"/>
      <c r="C19" s="207">
        <v>42520.94</v>
      </c>
      <c r="D19" s="207"/>
      <c r="E19" s="207">
        <f t="shared" si="1"/>
        <v>2551.2600000000002</v>
      </c>
      <c r="F19" s="204"/>
      <c r="G19" s="207">
        <v>42520.94</v>
      </c>
      <c r="H19" s="207">
        <v>972.3</v>
      </c>
      <c r="I19" s="207">
        <f t="shared" si="2"/>
        <v>2783.7588800000003</v>
      </c>
      <c r="J19" s="204"/>
      <c r="K19" s="202"/>
    </row>
    <row r="20" spans="1:11">
      <c r="A20" s="202"/>
      <c r="B20" s="202"/>
      <c r="C20" s="204">
        <f t="shared" ref="C20:H20" si="3">SUM(C8:C19)</f>
        <v>440765.67000000004</v>
      </c>
      <c r="D20" s="204">
        <f t="shared" si="3"/>
        <v>0</v>
      </c>
      <c r="E20" s="204">
        <f t="shared" si="3"/>
        <v>26445.93</v>
      </c>
      <c r="F20" s="204"/>
      <c r="G20" s="204">
        <f t="shared" si="3"/>
        <v>440765.97000000003</v>
      </c>
      <c r="H20" s="204">
        <f t="shared" si="3"/>
        <v>19133.099999999999</v>
      </c>
      <c r="I20" s="204">
        <f>SUM(I8:I19)</f>
        <v>28249.402290000005</v>
      </c>
      <c r="J20" s="204"/>
      <c r="K20" s="202"/>
    </row>
    <row r="21" spans="1:11">
      <c r="A21" s="202"/>
      <c r="B21" s="202"/>
      <c r="C21" s="204"/>
      <c r="D21" s="204"/>
      <c r="E21" s="204"/>
      <c r="F21" s="204"/>
      <c r="G21" s="204"/>
      <c r="H21" s="204"/>
      <c r="I21" s="204"/>
      <c r="J21" s="204"/>
      <c r="K21" s="202"/>
    </row>
    <row r="22" spans="1:11">
      <c r="A22" s="202"/>
      <c r="B22" s="202"/>
      <c r="C22" s="204"/>
      <c r="D22" s="204"/>
      <c r="E22" s="204"/>
      <c r="F22" s="204"/>
      <c r="G22" s="204"/>
      <c r="H22" s="204"/>
      <c r="I22" s="204"/>
      <c r="J22" s="204"/>
      <c r="K22" s="202"/>
    </row>
    <row r="23" spans="1:11">
      <c r="A23" s="202" t="s">
        <v>955</v>
      </c>
      <c r="B23" s="202"/>
      <c r="C23" s="204"/>
      <c r="D23" s="204"/>
      <c r="E23" s="204">
        <f>+E20+I20</f>
        <v>54695.332290000006</v>
      </c>
      <c r="F23" s="204"/>
      <c r="G23" s="204"/>
      <c r="H23" s="204"/>
      <c r="I23" s="204"/>
      <c r="J23" s="204"/>
      <c r="K23" s="202"/>
    </row>
    <row r="24" spans="1:11">
      <c r="A24" s="202"/>
      <c r="B24" s="202"/>
      <c r="C24" s="204"/>
      <c r="D24" s="204"/>
      <c r="E24" s="204"/>
      <c r="F24" s="204"/>
      <c r="G24" s="204"/>
      <c r="H24" s="204"/>
      <c r="I24" s="204"/>
      <c r="J24" s="204"/>
      <c r="K24" s="202"/>
    </row>
    <row r="25" spans="1:11">
      <c r="A25" s="202"/>
      <c r="B25" s="202"/>
      <c r="C25" s="204"/>
      <c r="D25" s="204"/>
      <c r="E25" s="204"/>
      <c r="F25" s="204"/>
      <c r="G25" s="204"/>
      <c r="H25" s="204"/>
      <c r="I25" s="204"/>
      <c r="J25" s="204"/>
      <c r="K25" s="20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8135-97E0-4D61-8EF6-D6904AB6F32F}">
  <dimension ref="A1:K25"/>
  <sheetViews>
    <sheetView workbookViewId="0">
      <selection activeCell="E4" sqref="E4"/>
    </sheetView>
  </sheetViews>
  <sheetFormatPr defaultRowHeight="15"/>
  <cols>
    <col min="3" max="3" width="10.21875" bestFit="1" customWidth="1"/>
    <col min="4" max="4" width="8.21875" bestFit="1" customWidth="1"/>
    <col min="5" max="5" width="9.33203125" bestFit="1" customWidth="1"/>
    <col min="6" max="6" width="3" customWidth="1"/>
    <col min="7" max="7" width="8.21875" bestFit="1" customWidth="1"/>
    <col min="8" max="8" width="7.33203125" bestFit="1" customWidth="1"/>
    <col min="9" max="10" width="10.21875" bestFit="1" customWidth="1"/>
    <col min="11" max="11" width="8.88671875" customWidth="1"/>
  </cols>
  <sheetData>
    <row r="1" spans="1:11">
      <c r="A1" s="216" t="s">
        <v>16</v>
      </c>
      <c r="B1" s="216"/>
      <c r="C1" s="216"/>
      <c r="D1" s="216"/>
      <c r="E1" s="216"/>
      <c r="F1" s="216"/>
      <c r="G1" s="216"/>
      <c r="H1" s="216"/>
      <c r="I1" s="216"/>
      <c r="J1" s="216"/>
      <c r="K1" s="216"/>
    </row>
    <row r="2" spans="1:11">
      <c r="A2" s="216" t="s">
        <v>956</v>
      </c>
      <c r="B2" s="216"/>
      <c r="C2" s="216"/>
      <c r="D2" s="216"/>
      <c r="E2" s="216"/>
      <c r="F2" s="216"/>
      <c r="G2" s="216"/>
      <c r="H2" s="216"/>
      <c r="I2" s="216"/>
      <c r="J2" s="216"/>
      <c r="K2" s="216"/>
    </row>
    <row r="3" spans="1:11">
      <c r="A3" s="216" t="s">
        <v>934</v>
      </c>
      <c r="B3" s="216"/>
      <c r="C3" s="216"/>
      <c r="D3" s="216"/>
      <c r="E3" s="216"/>
      <c r="F3" s="216"/>
      <c r="G3" s="216"/>
      <c r="H3" s="216"/>
      <c r="I3" s="216"/>
      <c r="J3" s="216"/>
      <c r="K3" s="216"/>
    </row>
    <row r="4" spans="1:11">
      <c r="A4" s="202"/>
      <c r="B4" s="202"/>
      <c r="C4" s="202"/>
      <c r="D4" s="202"/>
      <c r="E4" s="202"/>
      <c r="F4" s="202"/>
      <c r="G4" s="202"/>
      <c r="H4" s="202"/>
      <c r="I4" s="202"/>
      <c r="J4" s="202"/>
      <c r="K4" s="202"/>
    </row>
    <row r="5" spans="1:11">
      <c r="A5" s="202"/>
      <c r="B5" s="202"/>
      <c r="C5" s="202"/>
      <c r="D5" s="202"/>
      <c r="E5" s="202"/>
      <c r="F5" s="202"/>
      <c r="G5" s="202"/>
      <c r="H5" s="202"/>
      <c r="I5" s="202"/>
      <c r="J5" s="202"/>
      <c r="K5" s="202"/>
    </row>
    <row r="6" spans="1:11">
      <c r="A6" s="202"/>
      <c r="B6" s="202"/>
      <c r="C6" s="249" t="s">
        <v>935</v>
      </c>
      <c r="D6" s="249"/>
      <c r="E6" s="249"/>
      <c r="F6" s="202"/>
      <c r="G6" s="216" t="s">
        <v>957</v>
      </c>
      <c r="H6" s="216"/>
      <c r="I6" s="216"/>
      <c r="J6" s="202"/>
      <c r="K6" s="202"/>
    </row>
    <row r="7" spans="1:11">
      <c r="A7" s="202"/>
      <c r="B7" s="202"/>
      <c r="C7" s="249" t="s">
        <v>937</v>
      </c>
      <c r="D7" s="249"/>
      <c r="E7" s="249"/>
      <c r="F7" s="202"/>
      <c r="G7" s="250" t="s">
        <v>958</v>
      </c>
      <c r="H7" s="250"/>
      <c r="I7" s="250"/>
      <c r="J7" s="202"/>
      <c r="K7" s="202"/>
    </row>
    <row r="8" spans="1:11">
      <c r="A8" s="202"/>
      <c r="B8" s="202"/>
      <c r="C8" s="249" t="s">
        <v>939</v>
      </c>
      <c r="D8" s="249" t="s">
        <v>940</v>
      </c>
      <c r="E8" s="249" t="s">
        <v>941</v>
      </c>
      <c r="F8" s="202"/>
      <c r="G8" s="249" t="s">
        <v>959</v>
      </c>
      <c r="H8" s="249" t="s">
        <v>960</v>
      </c>
      <c r="I8" s="249" t="s">
        <v>961</v>
      </c>
      <c r="J8" s="249" t="s">
        <v>648</v>
      </c>
      <c r="K8" s="202" t="s">
        <v>962</v>
      </c>
    </row>
    <row r="9" spans="1:11">
      <c r="A9" s="202" t="s">
        <v>943</v>
      </c>
      <c r="B9" s="204"/>
      <c r="C9" s="204">
        <v>1741135.26</v>
      </c>
      <c r="D9" s="204"/>
      <c r="E9" s="204">
        <f>ROUND(C9*0.06,2)</f>
        <v>104468.12</v>
      </c>
      <c r="F9" s="204"/>
      <c r="G9" s="204"/>
      <c r="H9" s="204"/>
      <c r="I9" s="204"/>
      <c r="J9" s="204"/>
      <c r="K9" s="202"/>
    </row>
    <row r="10" spans="1:11">
      <c r="A10" s="202" t="s">
        <v>944</v>
      </c>
      <c r="B10" s="204"/>
      <c r="C10" s="204">
        <v>1427543.6</v>
      </c>
      <c r="D10" s="204"/>
      <c r="E10" s="204">
        <f t="shared" ref="E10:E20" si="0">ROUND(C10*0.06,2)</f>
        <v>85652.62</v>
      </c>
      <c r="F10" s="204"/>
      <c r="G10" s="204"/>
      <c r="H10" s="204"/>
      <c r="I10" s="204"/>
      <c r="J10" s="204"/>
      <c r="K10" s="202"/>
    </row>
    <row r="11" spans="1:11">
      <c r="A11" s="202" t="s">
        <v>945</v>
      </c>
      <c r="B11" s="204"/>
      <c r="C11" s="204">
        <v>1571552.57</v>
      </c>
      <c r="D11" s="204"/>
      <c r="E11" s="204">
        <f t="shared" si="0"/>
        <v>94293.15</v>
      </c>
      <c r="F11" s="204"/>
      <c r="G11" s="204">
        <v>12090.51</v>
      </c>
      <c r="H11" s="204">
        <v>3943.15</v>
      </c>
      <c r="I11" s="204">
        <v>4724197.7699999996</v>
      </c>
      <c r="J11" s="204">
        <f>SUM(G11:I11)</f>
        <v>4740231.43</v>
      </c>
      <c r="K11" s="204">
        <f>J11*0.001</f>
        <v>4740.2314299999998</v>
      </c>
    </row>
    <row r="12" spans="1:11">
      <c r="A12" s="202" t="s">
        <v>946</v>
      </c>
      <c r="B12" s="204"/>
      <c r="C12" s="204">
        <v>1725616.92</v>
      </c>
      <c r="D12" s="204"/>
      <c r="E12" s="204">
        <f t="shared" si="0"/>
        <v>103537.02</v>
      </c>
      <c r="F12" s="204"/>
      <c r="G12" s="204"/>
      <c r="H12" s="204"/>
      <c r="I12" s="204"/>
      <c r="J12" s="204"/>
      <c r="K12" s="204"/>
    </row>
    <row r="13" spans="1:11">
      <c r="A13" s="202" t="s">
        <v>947</v>
      </c>
      <c r="B13" s="204"/>
      <c r="C13" s="204">
        <v>1599509.85</v>
      </c>
      <c r="D13" s="204"/>
      <c r="E13" s="204">
        <f t="shared" si="0"/>
        <v>95970.59</v>
      </c>
      <c r="F13" s="204"/>
      <c r="G13" s="204"/>
      <c r="H13" s="204"/>
      <c r="I13" s="204"/>
      <c r="J13" s="204"/>
      <c r="K13" s="204"/>
    </row>
    <row r="14" spans="1:11">
      <c r="A14" s="202" t="s">
        <v>948</v>
      </c>
      <c r="B14" s="204"/>
      <c r="C14" s="204">
        <v>1643749.48</v>
      </c>
      <c r="D14" s="204"/>
      <c r="E14" s="204">
        <f t="shared" si="0"/>
        <v>98624.97</v>
      </c>
      <c r="F14" s="204"/>
      <c r="G14" s="204">
        <v>121283</v>
      </c>
      <c r="H14" s="204">
        <v>4404.1899999999996</v>
      </c>
      <c r="I14" s="204">
        <v>4843189.0599999996</v>
      </c>
      <c r="J14" s="204">
        <f>SUM(G14:I14)</f>
        <v>4968876.25</v>
      </c>
      <c r="K14" s="204">
        <f>J14*0.001</f>
        <v>4968.8762500000003</v>
      </c>
    </row>
    <row r="15" spans="1:11">
      <c r="A15" s="202" t="s">
        <v>949</v>
      </c>
      <c r="B15" s="204"/>
      <c r="C15" s="204">
        <v>1720502.6</v>
      </c>
      <c r="D15" s="204"/>
      <c r="E15" s="204">
        <f t="shared" si="0"/>
        <v>103230.16</v>
      </c>
      <c r="F15" s="204"/>
      <c r="G15" s="204"/>
      <c r="H15" s="204"/>
      <c r="I15" s="204"/>
      <c r="J15" s="204"/>
      <c r="K15" s="204"/>
    </row>
    <row r="16" spans="1:11">
      <c r="A16" s="202" t="s">
        <v>950</v>
      </c>
      <c r="B16" s="204"/>
      <c r="C16" s="204">
        <v>1818479.38</v>
      </c>
      <c r="D16" s="204"/>
      <c r="E16" s="204">
        <f t="shared" si="0"/>
        <v>109108.76</v>
      </c>
      <c r="F16" s="204"/>
      <c r="G16" s="204"/>
      <c r="H16" s="204"/>
      <c r="I16" s="204"/>
      <c r="J16" s="204"/>
      <c r="K16" s="204"/>
    </row>
    <row r="17" spans="1:11">
      <c r="A17" s="202" t="s">
        <v>951</v>
      </c>
      <c r="B17" s="204"/>
      <c r="C17" s="204">
        <v>1709154.46</v>
      </c>
      <c r="D17" s="204"/>
      <c r="E17" s="204">
        <f t="shared" si="0"/>
        <v>102549.27</v>
      </c>
      <c r="F17" s="204"/>
      <c r="G17" s="204">
        <v>27219.8</v>
      </c>
      <c r="H17" s="204">
        <v>4259.28</v>
      </c>
      <c r="I17" s="204">
        <v>5218027.5199999996</v>
      </c>
      <c r="J17" s="204">
        <f>SUM(G17:I17)</f>
        <v>5249506.5999999996</v>
      </c>
      <c r="K17" s="204">
        <f>J17*0.001</f>
        <v>5249.5065999999997</v>
      </c>
    </row>
    <row r="18" spans="1:11">
      <c r="A18" s="202" t="s">
        <v>952</v>
      </c>
      <c r="B18" s="204"/>
      <c r="C18" s="204">
        <v>1879958.18</v>
      </c>
      <c r="D18" s="204"/>
      <c r="E18" s="204">
        <f t="shared" si="0"/>
        <v>112797.49</v>
      </c>
      <c r="F18" s="204"/>
      <c r="G18" s="204"/>
      <c r="H18" s="204"/>
      <c r="I18" s="204"/>
      <c r="J18" s="204"/>
      <c r="K18" s="204"/>
    </row>
    <row r="19" spans="1:11">
      <c r="A19" s="202" t="s">
        <v>953</v>
      </c>
      <c r="B19" s="204"/>
      <c r="C19" s="204">
        <v>1818962.32</v>
      </c>
      <c r="D19" s="204"/>
      <c r="E19" s="204">
        <f t="shared" si="0"/>
        <v>109137.74</v>
      </c>
      <c r="F19" s="204"/>
      <c r="G19" s="204"/>
      <c r="H19" s="204"/>
      <c r="I19" s="204"/>
      <c r="J19" s="204"/>
      <c r="K19" s="204"/>
    </row>
    <row r="20" spans="1:11">
      <c r="A20" s="202" t="s">
        <v>954</v>
      </c>
      <c r="B20" s="204"/>
      <c r="C20" s="207">
        <v>1758900.11</v>
      </c>
      <c r="D20" s="207"/>
      <c r="E20" s="207">
        <f t="shared" si="0"/>
        <v>105534.01</v>
      </c>
      <c r="F20" s="204"/>
      <c r="G20" s="207">
        <v>14912.49</v>
      </c>
      <c r="H20" s="207">
        <v>3015.83</v>
      </c>
      <c r="I20" s="207">
        <v>5401196.1399999997</v>
      </c>
      <c r="J20" s="207">
        <f>SUM(G20:I20)</f>
        <v>5419124.46</v>
      </c>
      <c r="K20" s="207">
        <f>J20*0.001</f>
        <v>5419.12446</v>
      </c>
    </row>
    <row r="21" spans="1:11">
      <c r="A21" s="202"/>
      <c r="B21" s="204"/>
      <c r="C21" s="204">
        <f t="shared" ref="C21:D21" si="1">SUM(C9:C20)</f>
        <v>20415064.73</v>
      </c>
      <c r="D21" s="204">
        <f t="shared" si="1"/>
        <v>0</v>
      </c>
      <c r="E21" s="204">
        <f>SUM(E9:E20)</f>
        <v>1224903.9000000001</v>
      </c>
      <c r="F21" s="204"/>
      <c r="G21" s="204">
        <f t="shared" ref="G21:K21" si="2">SUM(G9:G20)</f>
        <v>175505.8</v>
      </c>
      <c r="H21" s="204">
        <f t="shared" si="2"/>
        <v>15622.449999999999</v>
      </c>
      <c r="I21" s="204">
        <f t="shared" si="2"/>
        <v>20186610.489999998</v>
      </c>
      <c r="J21" s="204">
        <f t="shared" si="2"/>
        <v>20377738.739999998</v>
      </c>
      <c r="K21" s="204">
        <f t="shared" si="2"/>
        <v>20377.738740000001</v>
      </c>
    </row>
    <row r="22" spans="1:11">
      <c r="A22" s="202"/>
      <c r="B22" s="204"/>
      <c r="C22" s="204"/>
      <c r="D22" s="204"/>
      <c r="E22" s="204"/>
      <c r="F22" s="204"/>
      <c r="G22" s="204"/>
      <c r="H22" s="204"/>
      <c r="I22" s="204"/>
      <c r="J22" s="204"/>
      <c r="K22" s="204"/>
    </row>
    <row r="23" spans="1:11">
      <c r="A23" s="202"/>
      <c r="B23" s="204"/>
      <c r="C23" s="204"/>
      <c r="D23" s="204"/>
      <c r="E23" s="204"/>
      <c r="F23" s="204"/>
      <c r="G23" s="204"/>
      <c r="H23" s="204"/>
      <c r="I23" s="204"/>
      <c r="J23" s="204"/>
      <c r="K23" s="202"/>
    </row>
    <row r="24" spans="1:11">
      <c r="A24" s="202" t="s">
        <v>955</v>
      </c>
      <c r="B24" s="202"/>
      <c r="C24" s="202"/>
      <c r="D24" s="202"/>
      <c r="E24" s="204">
        <f>+E21+K21</f>
        <v>1245281.6387400001</v>
      </c>
      <c r="F24" s="202"/>
      <c r="G24" s="202"/>
      <c r="H24" s="202"/>
      <c r="I24" s="202"/>
      <c r="J24" s="202"/>
      <c r="K24" s="202"/>
    </row>
    <row r="25" spans="1:11">
      <c r="A25" s="202"/>
      <c r="B25" s="202"/>
      <c r="C25" s="202"/>
      <c r="D25" s="202"/>
      <c r="E25" s="202"/>
      <c r="F25" s="202"/>
      <c r="G25" s="202"/>
      <c r="H25" s="202"/>
      <c r="I25" s="202"/>
      <c r="J25" s="202"/>
      <c r="K25" s="202"/>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5AA1-A38C-47B7-B1A1-BB84207E33AF}">
  <dimension ref="A1:I26"/>
  <sheetViews>
    <sheetView workbookViewId="0">
      <selection activeCell="I24" sqref="I24"/>
    </sheetView>
  </sheetViews>
  <sheetFormatPr defaultRowHeight="15"/>
  <cols>
    <col min="3" max="3" width="8.77734375" bestFit="1" customWidth="1"/>
    <col min="4" max="4" width="9" bestFit="1" customWidth="1"/>
    <col min="5" max="8" width="8.77734375" bestFit="1" customWidth="1"/>
    <col min="9" max="9" width="9" bestFit="1" customWidth="1"/>
  </cols>
  <sheetData>
    <row r="1" spans="1:9">
      <c r="A1" s="216" t="s">
        <v>16</v>
      </c>
      <c r="B1" s="216"/>
      <c r="C1" s="216"/>
      <c r="D1" s="216"/>
      <c r="E1" s="216"/>
      <c r="F1" s="216"/>
      <c r="G1" s="216"/>
      <c r="H1" s="216"/>
      <c r="I1" s="216"/>
    </row>
    <row r="2" spans="1:9">
      <c r="A2" s="216" t="s">
        <v>963</v>
      </c>
      <c r="B2" s="216"/>
      <c r="C2" s="216"/>
      <c r="D2" s="216"/>
      <c r="E2" s="216"/>
      <c r="F2" s="216"/>
      <c r="G2" s="216"/>
      <c r="H2" s="216"/>
      <c r="I2" s="216"/>
    </row>
    <row r="3" spans="1:9">
      <c r="A3" s="216" t="s">
        <v>934</v>
      </c>
      <c r="B3" s="216"/>
      <c r="C3" s="216"/>
      <c r="D3" s="216"/>
      <c r="E3" s="216"/>
      <c r="F3" s="216"/>
      <c r="G3" s="216"/>
      <c r="H3" s="216"/>
      <c r="I3" s="216"/>
    </row>
    <row r="4" spans="1:9">
      <c r="A4" s="202"/>
      <c r="B4" s="202"/>
      <c r="C4" s="202"/>
      <c r="D4" s="202"/>
      <c r="E4" s="202"/>
      <c r="F4" s="202"/>
      <c r="G4" s="202"/>
      <c r="H4" s="202"/>
      <c r="I4" s="202"/>
    </row>
    <row r="5" spans="1:9">
      <c r="A5" s="202"/>
      <c r="B5" s="202"/>
      <c r="C5" s="202"/>
      <c r="D5" s="202"/>
      <c r="E5" s="202"/>
      <c r="F5" s="202"/>
      <c r="G5" s="202"/>
      <c r="H5" s="202"/>
      <c r="I5" s="202"/>
    </row>
    <row r="6" spans="1:9">
      <c r="A6" s="202"/>
      <c r="B6" s="202"/>
      <c r="C6" s="249"/>
      <c r="D6" s="249"/>
      <c r="E6" s="249"/>
      <c r="F6" s="202"/>
      <c r="G6" s="202"/>
      <c r="H6" s="202"/>
      <c r="I6" s="202"/>
    </row>
    <row r="7" spans="1:9">
      <c r="A7" s="202"/>
      <c r="B7" s="202"/>
      <c r="C7" s="249"/>
      <c r="D7" s="249"/>
      <c r="E7" s="249"/>
      <c r="F7" s="216" t="s">
        <v>964</v>
      </c>
      <c r="G7" s="216"/>
      <c r="H7" s="216"/>
      <c r="I7" s="249" t="s">
        <v>731</v>
      </c>
    </row>
    <row r="8" spans="1:9">
      <c r="A8" s="202"/>
      <c r="B8" s="202"/>
      <c r="C8" s="249" t="s">
        <v>965</v>
      </c>
      <c r="D8" s="249" t="s">
        <v>961</v>
      </c>
      <c r="E8" s="249" t="s">
        <v>959</v>
      </c>
      <c r="F8" s="249" t="s">
        <v>965</v>
      </c>
      <c r="G8" s="249" t="s">
        <v>966</v>
      </c>
      <c r="H8" s="249" t="s">
        <v>967</v>
      </c>
      <c r="I8" s="249" t="s">
        <v>968</v>
      </c>
    </row>
    <row r="9" spans="1:9">
      <c r="A9" s="202" t="s">
        <v>943</v>
      </c>
      <c r="B9" s="204"/>
      <c r="C9" s="204">
        <v>1392.81</v>
      </c>
      <c r="D9" s="204">
        <v>1765809</v>
      </c>
      <c r="E9" s="204">
        <v>12090.5</v>
      </c>
      <c r="F9" s="204">
        <v>90.53</v>
      </c>
      <c r="G9" s="204"/>
      <c r="H9" s="204">
        <v>35.57</v>
      </c>
      <c r="I9" s="204">
        <v>1376537.03</v>
      </c>
    </row>
    <row r="10" spans="1:9">
      <c r="A10" s="202" t="s">
        <v>944</v>
      </c>
      <c r="B10" s="204"/>
      <c r="C10" s="204">
        <v>910.35</v>
      </c>
      <c r="D10" s="204">
        <v>1457438.78</v>
      </c>
      <c r="E10" s="204"/>
      <c r="F10" s="202">
        <v>59.17</v>
      </c>
      <c r="G10" s="202"/>
      <c r="H10" s="204">
        <v>28.18</v>
      </c>
      <c r="I10" s="204">
        <v>1117972.77</v>
      </c>
    </row>
    <row r="11" spans="1:9">
      <c r="A11" s="202" t="s">
        <v>945</v>
      </c>
      <c r="B11" s="204"/>
      <c r="C11" s="204">
        <v>1639.99</v>
      </c>
      <c r="D11" s="204">
        <v>1603518.96</v>
      </c>
      <c r="E11" s="204"/>
      <c r="F11" s="202">
        <v>106.6</v>
      </c>
      <c r="G11" s="202"/>
      <c r="H11" s="204">
        <v>43.87</v>
      </c>
      <c r="I11" s="204">
        <v>1261753.8</v>
      </c>
    </row>
    <row r="12" spans="1:9">
      <c r="A12" s="202" t="s">
        <v>946</v>
      </c>
      <c r="B12" s="204"/>
      <c r="C12" s="204">
        <v>676.03</v>
      </c>
      <c r="D12" s="204">
        <v>1637263.47</v>
      </c>
      <c r="E12" s="204">
        <v>121283</v>
      </c>
      <c r="F12" s="204">
        <v>43.94</v>
      </c>
      <c r="G12" s="204"/>
      <c r="H12" s="204">
        <v>13.99</v>
      </c>
      <c r="I12" s="204">
        <v>1311452.9099999999</v>
      </c>
    </row>
    <row r="13" spans="1:9">
      <c r="A13" s="202" t="s">
        <v>947</v>
      </c>
      <c r="B13" s="204"/>
      <c r="C13" s="204">
        <v>1896.62</v>
      </c>
      <c r="D13" s="204">
        <v>1630486.49</v>
      </c>
      <c r="E13" s="204"/>
      <c r="F13" s="202">
        <v>123.28</v>
      </c>
      <c r="G13" s="202"/>
      <c r="H13" s="204">
        <v>52.53</v>
      </c>
      <c r="I13" s="204">
        <v>1291785.1200000001</v>
      </c>
    </row>
    <row r="14" spans="1:9">
      <c r="A14" s="202" t="s">
        <v>948</v>
      </c>
      <c r="B14" s="204"/>
      <c r="C14" s="204">
        <v>1831.54</v>
      </c>
      <c r="D14" s="204">
        <v>1677909.3</v>
      </c>
      <c r="E14" s="204"/>
      <c r="F14" s="202">
        <v>119.05</v>
      </c>
      <c r="G14" s="202"/>
      <c r="H14" s="204">
        <v>46.73</v>
      </c>
      <c r="I14" s="204">
        <v>1280729.3999999999</v>
      </c>
    </row>
    <row r="15" spans="1:9">
      <c r="A15" s="202" t="s">
        <v>949</v>
      </c>
      <c r="B15" s="204"/>
      <c r="C15" s="204">
        <v>1632.08</v>
      </c>
      <c r="D15" s="204">
        <v>1728947.93</v>
      </c>
      <c r="E15" s="204"/>
      <c r="F15" s="202">
        <v>106.09</v>
      </c>
      <c r="G15" s="202"/>
      <c r="H15" s="204">
        <v>48.49</v>
      </c>
      <c r="I15" s="204">
        <v>1419224.38</v>
      </c>
    </row>
    <row r="16" spans="1:9">
      <c r="A16" s="202" t="s">
        <v>950</v>
      </c>
      <c r="B16" s="204"/>
      <c r="C16" s="204">
        <v>1370.16</v>
      </c>
      <c r="D16" s="204">
        <v>1858310.67</v>
      </c>
      <c r="E16" s="204"/>
      <c r="F16" s="202">
        <v>89.06</v>
      </c>
      <c r="G16" s="202"/>
      <c r="H16" s="204">
        <v>39.369999999999997</v>
      </c>
      <c r="I16" s="204">
        <v>1456878.33</v>
      </c>
    </row>
    <row r="17" spans="1:9">
      <c r="A17" s="202" t="s">
        <v>951</v>
      </c>
      <c r="B17" s="204"/>
      <c r="C17" s="204">
        <v>1257.01</v>
      </c>
      <c r="D17" s="204">
        <v>1744709.89</v>
      </c>
      <c r="E17" s="204"/>
      <c r="F17" s="202">
        <v>81.709999999999994</v>
      </c>
      <c r="G17" s="202"/>
      <c r="H17" s="204">
        <v>29.7</v>
      </c>
      <c r="I17" s="204">
        <v>1411424.2</v>
      </c>
    </row>
    <row r="18" spans="1:9">
      <c r="A18" s="202" t="s">
        <v>952</v>
      </c>
      <c r="B18" s="204"/>
      <c r="C18" s="204">
        <v>1114.9000000000001</v>
      </c>
      <c r="D18" s="204">
        <v>1903653.3</v>
      </c>
      <c r="E18" s="204"/>
      <c r="F18" s="202">
        <v>72.47</v>
      </c>
      <c r="G18" s="202"/>
      <c r="H18" s="204">
        <v>26.72</v>
      </c>
      <c r="I18" s="204">
        <v>1555872.97</v>
      </c>
    </row>
    <row r="19" spans="1:9">
      <c r="A19" s="202" t="s">
        <v>953</v>
      </c>
      <c r="B19" s="204"/>
      <c r="C19" s="204">
        <v>845.93</v>
      </c>
      <c r="D19" s="204">
        <v>1818962.32</v>
      </c>
      <c r="E19" s="204"/>
      <c r="F19" s="202">
        <v>54.99</v>
      </c>
      <c r="G19" s="202">
        <f>299.43+147.41</f>
        <v>446.84000000000003</v>
      </c>
      <c r="H19" s="204">
        <v>21.27</v>
      </c>
      <c r="I19" s="204">
        <v>1475306.37</v>
      </c>
    </row>
    <row r="20" spans="1:9">
      <c r="A20" s="202" t="s">
        <v>954</v>
      </c>
      <c r="B20" s="204"/>
      <c r="C20" s="207">
        <v>1055</v>
      </c>
      <c r="D20" s="207">
        <v>1800366.05</v>
      </c>
      <c r="E20" s="207"/>
      <c r="F20" s="251">
        <v>68.58</v>
      </c>
      <c r="G20" s="251"/>
      <c r="H20" s="252">
        <v>28.46</v>
      </c>
      <c r="I20" s="252">
        <v>1455521.16</v>
      </c>
    </row>
    <row r="21" spans="1:9">
      <c r="A21" s="202"/>
      <c r="B21" s="204"/>
      <c r="C21" s="204">
        <f t="shared" ref="C21:H21" si="0">SUM(C9:C20)</f>
        <v>15622.42</v>
      </c>
      <c r="D21" s="204">
        <f t="shared" si="0"/>
        <v>20627376.16</v>
      </c>
      <c r="E21" s="204">
        <f t="shared" si="0"/>
        <v>133373.5</v>
      </c>
      <c r="F21" s="204">
        <f t="shared" si="0"/>
        <v>1015.4700000000001</v>
      </c>
      <c r="G21" s="204">
        <f t="shared" si="0"/>
        <v>446.84000000000003</v>
      </c>
      <c r="H21" s="204">
        <f t="shared" si="0"/>
        <v>414.87999999999994</v>
      </c>
      <c r="I21" s="204">
        <f>SUM(I9:I20)</f>
        <v>16414458.440000001</v>
      </c>
    </row>
    <row r="22" spans="1:9">
      <c r="A22" s="202"/>
      <c r="B22" s="202"/>
      <c r="C22" s="202"/>
      <c r="D22" s="202"/>
      <c r="E22" s="202"/>
      <c r="F22" s="202"/>
      <c r="G22" s="202"/>
      <c r="H22" s="202"/>
      <c r="I22" s="202"/>
    </row>
    <row r="23" spans="1:9">
      <c r="A23" s="202" t="s">
        <v>3</v>
      </c>
      <c r="B23" s="202"/>
      <c r="C23" s="253">
        <v>4.7099999999999998E-3</v>
      </c>
      <c r="D23" s="253">
        <v>1.4999999999999999E-2</v>
      </c>
      <c r="E23" s="253">
        <v>4.8399999999999997E-3</v>
      </c>
      <c r="F23" s="253"/>
      <c r="G23" s="253"/>
      <c r="H23" s="253"/>
      <c r="I23" s="253">
        <v>3.5999999999999997E-2</v>
      </c>
    </row>
    <row r="24" spans="1:9">
      <c r="A24" s="202" t="s">
        <v>969</v>
      </c>
      <c r="B24" s="202"/>
      <c r="C24" s="204">
        <f>+C21*C23</f>
        <v>73.581598200000002</v>
      </c>
      <c r="D24" s="204">
        <f t="shared" ref="D24:E24" si="1">+D21*D23</f>
        <v>309410.64240000001</v>
      </c>
      <c r="E24" s="204">
        <f t="shared" si="1"/>
        <v>645.52773999999999</v>
      </c>
      <c r="F24" s="204">
        <f>+F21</f>
        <v>1015.4700000000001</v>
      </c>
      <c r="G24" s="204">
        <f t="shared" ref="G24:H24" si="2">+G21</f>
        <v>446.84000000000003</v>
      </c>
      <c r="H24" s="204">
        <f t="shared" si="2"/>
        <v>414.87999999999994</v>
      </c>
      <c r="I24" s="204">
        <f>+I21*I23</f>
        <v>590920.50384000002</v>
      </c>
    </row>
    <row r="25" spans="1:9">
      <c r="A25" s="202"/>
      <c r="B25" s="202"/>
      <c r="C25" s="202"/>
      <c r="D25" s="202"/>
      <c r="E25" s="202"/>
      <c r="F25" s="202"/>
      <c r="G25" s="202"/>
      <c r="H25" s="202"/>
      <c r="I25" s="202"/>
    </row>
    <row r="26" spans="1:9">
      <c r="A26" s="202" t="s">
        <v>955</v>
      </c>
      <c r="B26" s="202"/>
      <c r="C26" s="202"/>
      <c r="D26" s="202"/>
      <c r="E26" s="202"/>
      <c r="F26" s="202"/>
      <c r="G26" s="202"/>
      <c r="H26" s="202"/>
      <c r="I26" s="204">
        <f>SUM(C24:J24)</f>
        <v>902927.44557820004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22E4D-8657-464B-9062-A7E3AFDF2BFD}">
  <dimension ref="A1:AA109"/>
  <sheetViews>
    <sheetView topLeftCell="A61" workbookViewId="0">
      <selection activeCell="L57" sqref="L57"/>
    </sheetView>
  </sheetViews>
  <sheetFormatPr defaultRowHeight="15"/>
  <cols>
    <col min="1" max="2" width="2.33203125" customWidth="1"/>
    <col min="3" max="3" width="3.44140625" customWidth="1"/>
    <col min="4" max="5" width="1.77734375" customWidth="1"/>
    <col min="6" max="6" width="9.21875" bestFit="1" customWidth="1"/>
    <col min="7" max="7" width="1.77734375" customWidth="1"/>
    <col min="8" max="8" width="8.6640625" bestFit="1" customWidth="1"/>
    <col min="9" max="9" width="1.77734375" customWidth="1"/>
    <col min="10" max="10" width="9.5546875" bestFit="1" customWidth="1"/>
    <col min="11" max="11" width="1.77734375" customWidth="1"/>
    <col min="12" max="12" width="21.21875" bestFit="1" customWidth="1"/>
    <col min="13" max="13" width="1.77734375" customWidth="1"/>
    <col min="14" max="14" width="8.21875" bestFit="1" customWidth="1"/>
    <col min="15" max="15" width="1.77734375" customWidth="1"/>
    <col min="16" max="16" width="10.77734375" bestFit="1" customWidth="1"/>
    <col min="17" max="17" width="1.77734375" customWidth="1"/>
    <col min="18" max="18" width="6.109375" bestFit="1" customWidth="1"/>
    <col min="19" max="19" width="1.77734375" customWidth="1"/>
    <col min="20" max="20" width="20.88671875" bestFit="1" customWidth="1"/>
    <col min="21" max="21" width="1.77734375" customWidth="1"/>
    <col min="22" max="22" width="8.21875" bestFit="1" customWidth="1"/>
    <col min="23" max="23" width="1.77734375" customWidth="1"/>
    <col min="24" max="24" width="8.21875" bestFit="1" customWidth="1"/>
    <col min="25" max="25" width="1.77734375" customWidth="1"/>
    <col min="26" max="26" width="9.109375" bestFit="1" customWidth="1"/>
  </cols>
  <sheetData>
    <row r="1" spans="1:26" ht="16.5" thickBot="1">
      <c r="A1" s="557"/>
      <c r="B1" s="557"/>
      <c r="C1" s="557"/>
      <c r="D1" s="557"/>
      <c r="E1" s="557"/>
      <c r="F1" s="558" t="s">
        <v>1092</v>
      </c>
      <c r="G1" s="557"/>
      <c r="H1" s="558" t="s">
        <v>1138</v>
      </c>
      <c r="I1" s="557"/>
      <c r="J1" s="558" t="s">
        <v>1139</v>
      </c>
      <c r="K1" s="557"/>
      <c r="L1" s="558" t="s">
        <v>1140</v>
      </c>
      <c r="M1" s="557"/>
      <c r="N1" s="558" t="s">
        <v>1141</v>
      </c>
      <c r="O1" s="557"/>
      <c r="P1" s="558" t="s">
        <v>1142</v>
      </c>
      <c r="Q1" s="557"/>
      <c r="R1" s="558" t="s">
        <v>1143</v>
      </c>
      <c r="S1" s="557"/>
      <c r="T1" s="558" t="s">
        <v>1144</v>
      </c>
      <c r="U1" s="557"/>
      <c r="V1" s="558" t="s">
        <v>1145</v>
      </c>
      <c r="W1" s="557"/>
      <c r="X1" s="558" t="s">
        <v>1146</v>
      </c>
      <c r="Y1" s="557"/>
      <c r="Z1" s="558" t="s">
        <v>1147</v>
      </c>
    </row>
    <row r="2" spans="1:26" ht="16.5" thickTop="1">
      <c r="A2" s="559"/>
      <c r="B2" s="559" t="s">
        <v>394</v>
      </c>
      <c r="C2" s="559"/>
      <c r="D2" s="559"/>
      <c r="E2" s="559"/>
      <c r="F2" s="559"/>
      <c r="G2" s="559"/>
      <c r="H2" s="560"/>
      <c r="I2" s="559"/>
      <c r="J2" s="559"/>
      <c r="K2" s="559"/>
      <c r="L2" s="559"/>
      <c r="M2" s="559"/>
      <c r="N2" s="559"/>
      <c r="O2" s="559"/>
      <c r="P2" s="559"/>
      <c r="Q2" s="559"/>
      <c r="R2" s="559"/>
      <c r="S2" s="559"/>
      <c r="T2" s="559"/>
      <c r="U2" s="559"/>
      <c r="V2" s="561"/>
      <c r="W2" s="559"/>
      <c r="X2" s="561"/>
      <c r="Y2" s="559"/>
      <c r="Z2" s="561"/>
    </row>
    <row r="3" spans="1:26" ht="15.75">
      <c r="A3" s="559"/>
      <c r="B3" s="559"/>
      <c r="C3" s="559" t="s">
        <v>395</v>
      </c>
      <c r="D3" s="559"/>
      <c r="E3" s="559"/>
      <c r="F3" s="559"/>
      <c r="G3" s="559"/>
      <c r="H3" s="560"/>
      <c r="I3" s="559"/>
      <c r="J3" s="559"/>
      <c r="K3" s="559"/>
      <c r="L3" s="559"/>
      <c r="M3" s="559"/>
      <c r="N3" s="559"/>
      <c r="O3" s="559"/>
      <c r="P3" s="559"/>
      <c r="Q3" s="559"/>
      <c r="R3" s="559"/>
      <c r="S3" s="559"/>
      <c r="T3" s="559"/>
      <c r="U3" s="559"/>
      <c r="V3" s="561"/>
      <c r="W3" s="559"/>
      <c r="X3" s="561"/>
      <c r="Y3" s="559"/>
      <c r="Z3" s="561"/>
    </row>
    <row r="4" spans="1:26" ht="15.75">
      <c r="A4" s="562"/>
      <c r="B4" s="562"/>
      <c r="C4" s="562"/>
      <c r="D4" s="562"/>
      <c r="E4" s="562"/>
      <c r="F4" s="562" t="s">
        <v>1148</v>
      </c>
      <c r="G4" s="562"/>
      <c r="H4" s="563">
        <v>43118</v>
      </c>
      <c r="I4" s="562"/>
      <c r="J4" s="562" t="s">
        <v>1152</v>
      </c>
      <c r="K4" s="562"/>
      <c r="L4" s="562" t="s">
        <v>1154</v>
      </c>
      <c r="M4" s="562"/>
      <c r="N4" s="562"/>
      <c r="O4" s="562"/>
      <c r="P4" s="562" t="s">
        <v>1151</v>
      </c>
      <c r="Q4" s="562"/>
      <c r="R4" s="564"/>
      <c r="S4" s="562"/>
      <c r="T4" s="562" t="s">
        <v>80</v>
      </c>
      <c r="U4" s="562"/>
      <c r="V4" s="565">
        <v>11549</v>
      </c>
      <c r="W4" s="562"/>
      <c r="X4" s="565"/>
      <c r="Y4" s="562"/>
      <c r="Z4" s="565">
        <v>15428.67</v>
      </c>
    </row>
    <row r="5" spans="1:26" ht="15.75">
      <c r="A5" s="562"/>
      <c r="B5" s="562"/>
      <c r="C5" s="562"/>
      <c r="D5" s="562"/>
      <c r="E5" s="562"/>
      <c r="F5" s="562" t="s">
        <v>1148</v>
      </c>
      <c r="G5" s="562"/>
      <c r="H5" s="563">
        <v>43123</v>
      </c>
      <c r="I5" s="562"/>
      <c r="J5" s="562" t="s">
        <v>1152</v>
      </c>
      <c r="K5" s="562"/>
      <c r="L5" s="562" t="s">
        <v>1154</v>
      </c>
      <c r="M5" s="562"/>
      <c r="N5" s="562"/>
      <c r="O5" s="562"/>
      <c r="P5" s="562" t="s">
        <v>1151</v>
      </c>
      <c r="Q5" s="562"/>
      <c r="R5" s="564"/>
      <c r="S5" s="562"/>
      <c r="T5" s="562" t="s">
        <v>80</v>
      </c>
      <c r="U5" s="562"/>
      <c r="V5" s="565">
        <v>48</v>
      </c>
      <c r="W5" s="562"/>
      <c r="X5" s="565"/>
      <c r="Y5" s="562"/>
      <c r="Z5" s="565">
        <v>15476.67</v>
      </c>
    </row>
    <row r="6" spans="1:26" ht="15.75">
      <c r="A6" s="562"/>
      <c r="B6" s="562"/>
      <c r="C6" s="562"/>
      <c r="D6" s="562"/>
      <c r="E6" s="562"/>
      <c r="F6" s="562" t="s">
        <v>1148</v>
      </c>
      <c r="G6" s="562"/>
      <c r="H6" s="563">
        <v>43132</v>
      </c>
      <c r="I6" s="562"/>
      <c r="J6" s="562" t="s">
        <v>1156</v>
      </c>
      <c r="K6" s="562"/>
      <c r="L6" s="562" t="s">
        <v>1154</v>
      </c>
      <c r="M6" s="562"/>
      <c r="N6" s="562"/>
      <c r="O6" s="562"/>
      <c r="P6" s="562" t="s">
        <v>1151</v>
      </c>
      <c r="Q6" s="562"/>
      <c r="R6" s="564"/>
      <c r="S6" s="562"/>
      <c r="T6" s="562" t="s">
        <v>80</v>
      </c>
      <c r="U6" s="562"/>
      <c r="V6" s="565">
        <v>11597</v>
      </c>
      <c r="W6" s="562"/>
      <c r="X6" s="565"/>
      <c r="Y6" s="562"/>
      <c r="Z6" s="565">
        <v>27643.34</v>
      </c>
    </row>
    <row r="7" spans="1:26" ht="15.75">
      <c r="A7" s="562"/>
      <c r="B7" s="562"/>
      <c r="C7" s="562"/>
      <c r="D7" s="562"/>
      <c r="E7" s="562"/>
      <c r="F7" s="562" t="s">
        <v>1148</v>
      </c>
      <c r="G7" s="562"/>
      <c r="H7" s="563">
        <v>43166</v>
      </c>
      <c r="I7" s="562"/>
      <c r="J7" s="562" t="s">
        <v>1158</v>
      </c>
      <c r="K7" s="562"/>
      <c r="L7" s="562" t="s">
        <v>1154</v>
      </c>
      <c r="M7" s="562"/>
      <c r="N7" s="562"/>
      <c r="O7" s="562"/>
      <c r="P7" s="562" t="s">
        <v>1151</v>
      </c>
      <c r="Q7" s="562"/>
      <c r="R7" s="564"/>
      <c r="S7" s="562"/>
      <c r="T7" s="562" t="s">
        <v>80</v>
      </c>
      <c r="U7" s="562"/>
      <c r="V7" s="565">
        <v>11597</v>
      </c>
      <c r="W7" s="562"/>
      <c r="X7" s="565"/>
      <c r="Y7" s="562"/>
      <c r="Z7" s="565">
        <v>43120.01</v>
      </c>
    </row>
    <row r="8" spans="1:26" ht="15.75">
      <c r="A8" s="562"/>
      <c r="B8" s="562"/>
      <c r="C8" s="562"/>
      <c r="D8" s="562"/>
      <c r="E8" s="562"/>
      <c r="F8" s="562" t="s">
        <v>1148</v>
      </c>
      <c r="G8" s="562"/>
      <c r="H8" s="563">
        <v>43191</v>
      </c>
      <c r="I8" s="562"/>
      <c r="J8" s="562" t="s">
        <v>1159</v>
      </c>
      <c r="K8" s="562"/>
      <c r="L8" s="562" t="s">
        <v>1154</v>
      </c>
      <c r="M8" s="562"/>
      <c r="N8" s="562"/>
      <c r="O8" s="562"/>
      <c r="P8" s="562" t="s">
        <v>1151</v>
      </c>
      <c r="Q8" s="562"/>
      <c r="R8" s="564"/>
      <c r="S8" s="562"/>
      <c r="T8" s="562" t="s">
        <v>80</v>
      </c>
      <c r="U8" s="562"/>
      <c r="V8" s="565">
        <v>11597</v>
      </c>
      <c r="W8" s="562"/>
      <c r="X8" s="565"/>
      <c r="Y8" s="562"/>
      <c r="Z8" s="565">
        <v>61906.68</v>
      </c>
    </row>
    <row r="9" spans="1:26" ht="15.75">
      <c r="A9" s="562"/>
      <c r="B9" s="562"/>
      <c r="C9" s="562"/>
      <c r="D9" s="562"/>
      <c r="E9" s="562"/>
      <c r="F9" s="562" t="s">
        <v>1148</v>
      </c>
      <c r="G9" s="562"/>
      <c r="H9" s="563">
        <v>43221</v>
      </c>
      <c r="I9" s="562"/>
      <c r="J9" s="562" t="s">
        <v>1160</v>
      </c>
      <c r="K9" s="562"/>
      <c r="L9" s="562" t="s">
        <v>1154</v>
      </c>
      <c r="M9" s="562"/>
      <c r="N9" s="562"/>
      <c r="O9" s="562"/>
      <c r="P9" s="562" t="s">
        <v>1151</v>
      </c>
      <c r="Q9" s="562"/>
      <c r="R9" s="564"/>
      <c r="S9" s="562"/>
      <c r="T9" s="562" t="s">
        <v>80</v>
      </c>
      <c r="U9" s="562"/>
      <c r="V9" s="565">
        <v>11597</v>
      </c>
      <c r="W9" s="562"/>
      <c r="X9" s="565"/>
      <c r="Y9" s="562"/>
      <c r="Z9" s="565">
        <v>74073.350000000006</v>
      </c>
    </row>
    <row r="10" spans="1:26" ht="15.75">
      <c r="A10" s="562"/>
      <c r="B10" s="562"/>
      <c r="C10" s="562"/>
      <c r="D10" s="562"/>
      <c r="E10" s="562"/>
      <c r="F10" s="562" t="s">
        <v>1148</v>
      </c>
      <c r="G10" s="562"/>
      <c r="H10" s="563">
        <v>43252</v>
      </c>
      <c r="I10" s="562"/>
      <c r="J10" s="562" t="s">
        <v>1161</v>
      </c>
      <c r="K10" s="562"/>
      <c r="L10" s="562" t="s">
        <v>1154</v>
      </c>
      <c r="M10" s="562"/>
      <c r="N10" s="562" t="s">
        <v>1162</v>
      </c>
      <c r="O10" s="562"/>
      <c r="P10" s="562" t="s">
        <v>1151</v>
      </c>
      <c r="Q10" s="562"/>
      <c r="R10" s="564"/>
      <c r="S10" s="562"/>
      <c r="T10" s="562" t="s">
        <v>80</v>
      </c>
      <c r="U10" s="562"/>
      <c r="V10" s="565">
        <v>11597</v>
      </c>
      <c r="W10" s="562"/>
      <c r="X10" s="565"/>
      <c r="Y10" s="562"/>
      <c r="Z10" s="565">
        <v>88980.35</v>
      </c>
    </row>
    <row r="11" spans="1:26" ht="15.75">
      <c r="A11" s="562"/>
      <c r="B11" s="562"/>
      <c r="C11" s="562"/>
      <c r="D11" s="562"/>
      <c r="E11" s="562"/>
      <c r="F11" s="562" t="s">
        <v>1148</v>
      </c>
      <c r="G11" s="562"/>
      <c r="H11" s="563">
        <v>43305</v>
      </c>
      <c r="I11" s="562"/>
      <c r="J11" s="562" t="s">
        <v>1169</v>
      </c>
      <c r="K11" s="562"/>
      <c r="L11" s="562" t="s">
        <v>1154</v>
      </c>
      <c r="M11" s="562"/>
      <c r="N11" s="562" t="s">
        <v>1162</v>
      </c>
      <c r="O11" s="562"/>
      <c r="P11" s="562" t="s">
        <v>1151</v>
      </c>
      <c r="Q11" s="562"/>
      <c r="R11" s="564"/>
      <c r="S11" s="562"/>
      <c r="T11" s="562" t="s">
        <v>80</v>
      </c>
      <c r="U11" s="562"/>
      <c r="V11" s="565">
        <v>11597</v>
      </c>
      <c r="W11" s="562"/>
      <c r="X11" s="565"/>
      <c r="Y11" s="562"/>
      <c r="Z11" s="565">
        <v>105627.06</v>
      </c>
    </row>
    <row r="12" spans="1:26" ht="15.75">
      <c r="A12" s="562"/>
      <c r="B12" s="562"/>
      <c r="C12" s="562"/>
      <c r="D12" s="562"/>
      <c r="E12" s="562"/>
      <c r="F12" s="562" t="s">
        <v>1148</v>
      </c>
      <c r="G12" s="562"/>
      <c r="H12" s="563">
        <v>43319</v>
      </c>
      <c r="I12" s="562"/>
      <c r="J12" s="562" t="s">
        <v>1170</v>
      </c>
      <c r="K12" s="562"/>
      <c r="L12" s="562" t="s">
        <v>1154</v>
      </c>
      <c r="M12" s="562"/>
      <c r="N12" s="562" t="s">
        <v>1162</v>
      </c>
      <c r="O12" s="562"/>
      <c r="P12" s="562" t="s">
        <v>1151</v>
      </c>
      <c r="Q12" s="562"/>
      <c r="R12" s="564"/>
      <c r="S12" s="562"/>
      <c r="T12" s="562" t="s">
        <v>80</v>
      </c>
      <c r="U12" s="562"/>
      <c r="V12" s="565">
        <v>11597</v>
      </c>
      <c r="W12" s="562"/>
      <c r="X12" s="565"/>
      <c r="Y12" s="562"/>
      <c r="Z12" s="565">
        <v>117224.06</v>
      </c>
    </row>
    <row r="13" spans="1:26" ht="15.75">
      <c r="A13" s="562"/>
      <c r="B13" s="562"/>
      <c r="C13" s="562"/>
      <c r="D13" s="562"/>
      <c r="E13" s="562"/>
      <c r="F13" s="562" t="s">
        <v>1148</v>
      </c>
      <c r="G13" s="562"/>
      <c r="H13" s="563">
        <v>43348</v>
      </c>
      <c r="I13" s="562"/>
      <c r="J13" s="562" t="s">
        <v>1173</v>
      </c>
      <c r="K13" s="562"/>
      <c r="L13" s="562" t="s">
        <v>1154</v>
      </c>
      <c r="M13" s="562"/>
      <c r="N13" s="562" t="s">
        <v>1162</v>
      </c>
      <c r="O13" s="562"/>
      <c r="P13" s="562" t="s">
        <v>1151</v>
      </c>
      <c r="Q13" s="562"/>
      <c r="R13" s="564"/>
      <c r="S13" s="562"/>
      <c r="T13" s="562" t="s">
        <v>80</v>
      </c>
      <c r="U13" s="562"/>
      <c r="V13" s="565">
        <v>11597</v>
      </c>
      <c r="W13" s="562"/>
      <c r="X13" s="565"/>
      <c r="Y13" s="562"/>
      <c r="Z13" s="565">
        <v>139336.51999999999</v>
      </c>
    </row>
    <row r="14" spans="1:26" ht="15.75">
      <c r="A14" s="562"/>
      <c r="B14" s="562"/>
      <c r="C14" s="562"/>
      <c r="D14" s="562"/>
      <c r="E14" s="562"/>
      <c r="F14" s="562" t="s">
        <v>1148</v>
      </c>
      <c r="G14" s="562"/>
      <c r="H14" s="563">
        <v>43382</v>
      </c>
      <c r="I14" s="562"/>
      <c r="J14" s="562" t="s">
        <v>1175</v>
      </c>
      <c r="K14" s="562"/>
      <c r="L14" s="562" t="s">
        <v>1154</v>
      </c>
      <c r="M14" s="562"/>
      <c r="N14" s="562" t="s">
        <v>1162</v>
      </c>
      <c r="O14" s="562"/>
      <c r="P14" s="562" t="s">
        <v>1151</v>
      </c>
      <c r="Q14" s="562"/>
      <c r="R14" s="564"/>
      <c r="S14" s="562"/>
      <c r="T14" s="562" t="s">
        <v>80</v>
      </c>
      <c r="U14" s="562"/>
      <c r="V14" s="565">
        <v>11597</v>
      </c>
      <c r="W14" s="562"/>
      <c r="X14" s="565"/>
      <c r="Y14" s="562"/>
      <c r="Z14" s="565">
        <v>151518.98000000001</v>
      </c>
    </row>
    <row r="15" spans="1:26" ht="15.75">
      <c r="A15" s="562"/>
      <c r="B15" s="562"/>
      <c r="C15" s="562"/>
      <c r="D15" s="562"/>
      <c r="E15" s="562"/>
      <c r="F15" s="562" t="s">
        <v>1148</v>
      </c>
      <c r="G15" s="562"/>
      <c r="H15" s="563">
        <v>43405</v>
      </c>
      <c r="I15" s="562"/>
      <c r="J15" s="562" t="s">
        <v>1177</v>
      </c>
      <c r="K15" s="562"/>
      <c r="L15" s="562" t="s">
        <v>1154</v>
      </c>
      <c r="M15" s="562"/>
      <c r="N15" s="562" t="s">
        <v>1162</v>
      </c>
      <c r="O15" s="562"/>
      <c r="P15" s="562" t="s">
        <v>1151</v>
      </c>
      <c r="Q15" s="562"/>
      <c r="R15" s="564"/>
      <c r="S15" s="562"/>
      <c r="T15" s="562" t="s">
        <v>80</v>
      </c>
      <c r="U15" s="562"/>
      <c r="V15" s="565">
        <v>11597</v>
      </c>
      <c r="W15" s="562"/>
      <c r="X15" s="565"/>
      <c r="Y15" s="562"/>
      <c r="Z15" s="565">
        <v>170321.44</v>
      </c>
    </row>
    <row r="16" spans="1:26" ht="15.75">
      <c r="A16" s="562"/>
      <c r="B16" s="562"/>
      <c r="C16" s="562"/>
      <c r="D16" s="562"/>
      <c r="E16" s="562"/>
      <c r="F16" s="562" t="s">
        <v>1148</v>
      </c>
      <c r="G16" s="562"/>
      <c r="H16" s="563">
        <v>43446</v>
      </c>
      <c r="I16" s="562"/>
      <c r="J16" s="562" t="s">
        <v>1179</v>
      </c>
      <c r="K16" s="562"/>
      <c r="L16" s="562" t="s">
        <v>1154</v>
      </c>
      <c r="M16" s="562"/>
      <c r="N16" s="562" t="s">
        <v>1162</v>
      </c>
      <c r="O16" s="562"/>
      <c r="P16" s="562" t="s">
        <v>1151</v>
      </c>
      <c r="Q16" s="562"/>
      <c r="R16" s="564"/>
      <c r="S16" s="562"/>
      <c r="T16" s="562" t="s">
        <v>80</v>
      </c>
      <c r="U16" s="562"/>
      <c r="V16" s="565">
        <v>11597</v>
      </c>
      <c r="W16" s="562"/>
      <c r="X16" s="565"/>
      <c r="Y16" s="562"/>
      <c r="Z16" s="565">
        <v>185813.9</v>
      </c>
    </row>
    <row r="17" spans="1:26" ht="15.75">
      <c r="A17" s="562"/>
      <c r="B17" s="562"/>
      <c r="C17" s="562"/>
      <c r="D17" s="562"/>
      <c r="E17" s="562"/>
      <c r="F17" s="562" t="s">
        <v>1148</v>
      </c>
      <c r="G17" s="562"/>
      <c r="H17" s="563">
        <v>43101</v>
      </c>
      <c r="I17" s="562"/>
      <c r="J17" s="562" t="s">
        <v>1152</v>
      </c>
      <c r="K17" s="562"/>
      <c r="L17" s="562" t="s">
        <v>1153</v>
      </c>
      <c r="M17" s="562"/>
      <c r="N17" s="562"/>
      <c r="O17" s="562"/>
      <c r="P17" s="562" t="s">
        <v>1151</v>
      </c>
      <c r="Q17" s="562"/>
      <c r="R17" s="564"/>
      <c r="S17" s="562"/>
      <c r="T17" s="562" t="s">
        <v>80</v>
      </c>
      <c r="U17" s="562"/>
      <c r="V17" s="565">
        <v>3310</v>
      </c>
      <c r="W17" s="562"/>
      <c r="X17" s="565"/>
      <c r="Y17" s="562"/>
      <c r="Z17" s="565">
        <v>3879.67</v>
      </c>
    </row>
    <row r="18" spans="1:26" ht="15.75">
      <c r="A18" s="562"/>
      <c r="B18" s="562"/>
      <c r="C18" s="562"/>
      <c r="D18" s="562"/>
      <c r="E18" s="562"/>
      <c r="F18" s="562" t="s">
        <v>1148</v>
      </c>
      <c r="G18" s="562"/>
      <c r="H18" s="563">
        <v>43132</v>
      </c>
      <c r="I18" s="562"/>
      <c r="J18" s="562" t="s">
        <v>1156</v>
      </c>
      <c r="K18" s="562"/>
      <c r="L18" s="562" t="s">
        <v>1153</v>
      </c>
      <c r="M18" s="562"/>
      <c r="N18" s="562"/>
      <c r="O18" s="562"/>
      <c r="P18" s="562" t="s">
        <v>1151</v>
      </c>
      <c r="Q18" s="562"/>
      <c r="R18" s="564"/>
      <c r="S18" s="562"/>
      <c r="T18" s="562" t="s">
        <v>80</v>
      </c>
      <c r="U18" s="562"/>
      <c r="V18" s="565">
        <v>3310</v>
      </c>
      <c r="W18" s="562"/>
      <c r="X18" s="565"/>
      <c r="Y18" s="562"/>
      <c r="Z18" s="565">
        <v>30953.34</v>
      </c>
    </row>
    <row r="19" spans="1:26" ht="15.75">
      <c r="A19" s="562"/>
      <c r="B19" s="562"/>
      <c r="C19" s="562"/>
      <c r="D19" s="562"/>
      <c r="E19" s="562"/>
      <c r="F19" s="562" t="s">
        <v>1148</v>
      </c>
      <c r="G19" s="562"/>
      <c r="H19" s="563">
        <v>43166</v>
      </c>
      <c r="I19" s="562"/>
      <c r="J19" s="562" t="s">
        <v>1158</v>
      </c>
      <c r="K19" s="562"/>
      <c r="L19" s="562" t="s">
        <v>1153</v>
      </c>
      <c r="M19" s="562"/>
      <c r="N19" s="562"/>
      <c r="O19" s="562"/>
      <c r="P19" s="562" t="s">
        <v>1151</v>
      </c>
      <c r="Q19" s="562"/>
      <c r="R19" s="564"/>
      <c r="S19" s="562"/>
      <c r="T19" s="562" t="s">
        <v>80</v>
      </c>
      <c r="U19" s="562"/>
      <c r="V19" s="565">
        <v>3310</v>
      </c>
      <c r="W19" s="562"/>
      <c r="X19" s="565"/>
      <c r="Y19" s="562"/>
      <c r="Z19" s="565">
        <v>46430.01</v>
      </c>
    </row>
    <row r="20" spans="1:26" ht="15.75">
      <c r="A20" s="562"/>
      <c r="B20" s="562"/>
      <c r="C20" s="562"/>
      <c r="D20" s="562"/>
      <c r="E20" s="562"/>
      <c r="F20" s="562" t="s">
        <v>1148</v>
      </c>
      <c r="G20" s="562"/>
      <c r="H20" s="563">
        <v>43191</v>
      </c>
      <c r="I20" s="562"/>
      <c r="J20" s="562" t="s">
        <v>1159</v>
      </c>
      <c r="K20" s="562"/>
      <c r="L20" s="562" t="s">
        <v>1153</v>
      </c>
      <c r="M20" s="562"/>
      <c r="N20" s="562"/>
      <c r="O20" s="562"/>
      <c r="P20" s="562" t="s">
        <v>1151</v>
      </c>
      <c r="Q20" s="562"/>
      <c r="R20" s="564"/>
      <c r="S20" s="562"/>
      <c r="T20" s="562" t="s">
        <v>80</v>
      </c>
      <c r="U20" s="562"/>
      <c r="V20" s="565">
        <v>3310</v>
      </c>
      <c r="W20" s="562"/>
      <c r="X20" s="565"/>
      <c r="Y20" s="562"/>
      <c r="Z20" s="565">
        <v>50309.68</v>
      </c>
    </row>
    <row r="21" spans="1:26" ht="15.75">
      <c r="A21" s="562"/>
      <c r="B21" s="562"/>
      <c r="C21" s="562"/>
      <c r="D21" s="562"/>
      <c r="E21" s="562"/>
      <c r="F21" s="562" t="s">
        <v>1148</v>
      </c>
      <c r="G21" s="562"/>
      <c r="H21" s="563">
        <v>43221</v>
      </c>
      <c r="I21" s="562"/>
      <c r="J21" s="562" t="s">
        <v>1160</v>
      </c>
      <c r="K21" s="562"/>
      <c r="L21" s="562" t="s">
        <v>1153</v>
      </c>
      <c r="M21" s="562"/>
      <c r="N21" s="562"/>
      <c r="O21" s="562"/>
      <c r="P21" s="562" t="s">
        <v>1151</v>
      </c>
      <c r="Q21" s="562"/>
      <c r="R21" s="564"/>
      <c r="S21" s="562"/>
      <c r="T21" s="562" t="s">
        <v>80</v>
      </c>
      <c r="U21" s="562"/>
      <c r="V21" s="565">
        <v>3310</v>
      </c>
      <c r="W21" s="562"/>
      <c r="X21" s="565"/>
      <c r="Y21" s="562"/>
      <c r="Z21" s="565">
        <v>77383.350000000006</v>
      </c>
    </row>
    <row r="22" spans="1:26" ht="15.75">
      <c r="A22" s="562"/>
      <c r="B22" s="562"/>
      <c r="C22" s="562"/>
      <c r="D22" s="562"/>
      <c r="E22" s="562"/>
      <c r="F22" s="562" t="s">
        <v>1148</v>
      </c>
      <c r="G22" s="562"/>
      <c r="H22" s="563">
        <v>43252</v>
      </c>
      <c r="I22" s="562"/>
      <c r="J22" s="562" t="s">
        <v>1161</v>
      </c>
      <c r="K22" s="562"/>
      <c r="L22" s="562" t="s">
        <v>1153</v>
      </c>
      <c r="M22" s="562"/>
      <c r="N22" s="562"/>
      <c r="O22" s="562"/>
      <c r="P22" s="562" t="s">
        <v>1151</v>
      </c>
      <c r="Q22" s="562"/>
      <c r="R22" s="564"/>
      <c r="S22" s="562"/>
      <c r="T22" s="562" t="s">
        <v>80</v>
      </c>
      <c r="U22" s="562"/>
      <c r="V22" s="565">
        <v>3310</v>
      </c>
      <c r="W22" s="562"/>
      <c r="X22" s="565"/>
      <c r="Y22" s="562"/>
      <c r="Z22" s="565">
        <v>92290.35</v>
      </c>
    </row>
    <row r="23" spans="1:26" ht="15.75">
      <c r="A23" s="562"/>
      <c r="B23" s="562"/>
      <c r="C23" s="562"/>
      <c r="D23" s="562"/>
      <c r="E23" s="562"/>
      <c r="F23" s="562" t="s">
        <v>1148</v>
      </c>
      <c r="G23" s="562"/>
      <c r="H23" s="563">
        <v>43319</v>
      </c>
      <c r="I23" s="562"/>
      <c r="J23" s="562" t="s">
        <v>1171</v>
      </c>
      <c r="K23" s="562"/>
      <c r="L23" s="562" t="s">
        <v>1153</v>
      </c>
      <c r="M23" s="562"/>
      <c r="N23" s="562"/>
      <c r="O23" s="562"/>
      <c r="P23" s="562" t="s">
        <v>1151</v>
      </c>
      <c r="Q23" s="562"/>
      <c r="R23" s="564"/>
      <c r="S23" s="562"/>
      <c r="T23" s="562" t="s">
        <v>80</v>
      </c>
      <c r="U23" s="562"/>
      <c r="V23" s="565">
        <v>6620</v>
      </c>
      <c r="W23" s="562"/>
      <c r="X23" s="565"/>
      <c r="Y23" s="562"/>
      <c r="Z23" s="565">
        <v>123844.06</v>
      </c>
    </row>
    <row r="24" spans="1:26" ht="15.75">
      <c r="A24" s="562"/>
      <c r="B24" s="562"/>
      <c r="C24" s="562"/>
      <c r="D24" s="562"/>
      <c r="E24" s="562"/>
      <c r="F24" s="562" t="s">
        <v>1148</v>
      </c>
      <c r="G24" s="562"/>
      <c r="H24" s="563">
        <v>43348</v>
      </c>
      <c r="I24" s="562"/>
      <c r="J24" s="562" t="s">
        <v>1173</v>
      </c>
      <c r="K24" s="562"/>
      <c r="L24" s="562" t="s">
        <v>1153</v>
      </c>
      <c r="M24" s="562"/>
      <c r="N24" s="562"/>
      <c r="O24" s="562"/>
      <c r="P24" s="562" t="s">
        <v>1151</v>
      </c>
      <c r="Q24" s="562"/>
      <c r="R24" s="564"/>
      <c r="S24" s="562"/>
      <c r="T24" s="562" t="s">
        <v>80</v>
      </c>
      <c r="U24" s="562"/>
      <c r="V24" s="565">
        <v>3310</v>
      </c>
      <c r="W24" s="562"/>
      <c r="X24" s="565"/>
      <c r="Y24" s="562"/>
      <c r="Z24" s="565">
        <v>127739.52</v>
      </c>
    </row>
    <row r="25" spans="1:26" ht="15.75">
      <c r="A25" s="562"/>
      <c r="B25" s="562"/>
      <c r="C25" s="562"/>
      <c r="D25" s="562"/>
      <c r="E25" s="562"/>
      <c r="F25" s="562" t="s">
        <v>1148</v>
      </c>
      <c r="G25" s="562"/>
      <c r="H25" s="563">
        <v>43382</v>
      </c>
      <c r="I25" s="562"/>
      <c r="J25" s="562" t="s">
        <v>1175</v>
      </c>
      <c r="K25" s="562"/>
      <c r="L25" s="562" t="s">
        <v>1153</v>
      </c>
      <c r="M25" s="562"/>
      <c r="N25" s="562"/>
      <c r="O25" s="562"/>
      <c r="P25" s="562" t="s">
        <v>1151</v>
      </c>
      <c r="Q25" s="562"/>
      <c r="R25" s="564"/>
      <c r="S25" s="562"/>
      <c r="T25" s="562" t="s">
        <v>80</v>
      </c>
      <c r="U25" s="562"/>
      <c r="V25" s="565">
        <v>3310</v>
      </c>
      <c r="W25" s="562"/>
      <c r="X25" s="565"/>
      <c r="Y25" s="562"/>
      <c r="Z25" s="565">
        <v>154828.98000000001</v>
      </c>
    </row>
    <row r="26" spans="1:26" ht="15.75">
      <c r="A26" s="562"/>
      <c r="B26" s="562"/>
      <c r="C26" s="562"/>
      <c r="D26" s="562"/>
      <c r="E26" s="562"/>
      <c r="F26" s="562" t="s">
        <v>1148</v>
      </c>
      <c r="G26" s="562"/>
      <c r="H26" s="563">
        <v>43405</v>
      </c>
      <c r="I26" s="562"/>
      <c r="J26" s="562" t="s">
        <v>1177</v>
      </c>
      <c r="K26" s="562"/>
      <c r="L26" s="562" t="s">
        <v>1153</v>
      </c>
      <c r="M26" s="562"/>
      <c r="N26" s="562"/>
      <c r="O26" s="562"/>
      <c r="P26" s="562" t="s">
        <v>1151</v>
      </c>
      <c r="Q26" s="562"/>
      <c r="R26" s="564"/>
      <c r="S26" s="562"/>
      <c r="T26" s="562" t="s">
        <v>80</v>
      </c>
      <c r="U26" s="562"/>
      <c r="V26" s="565">
        <v>3310</v>
      </c>
      <c r="W26" s="562"/>
      <c r="X26" s="565"/>
      <c r="Y26" s="562"/>
      <c r="Z26" s="565">
        <v>158724.44</v>
      </c>
    </row>
    <row r="27" spans="1:26" ht="15.75">
      <c r="A27" s="562"/>
      <c r="B27" s="562"/>
      <c r="C27" s="562"/>
      <c r="D27" s="562"/>
      <c r="E27" s="562"/>
      <c r="F27" s="562" t="s">
        <v>1148</v>
      </c>
      <c r="G27" s="562"/>
      <c r="H27" s="563">
        <v>43437</v>
      </c>
      <c r="I27" s="562"/>
      <c r="J27" s="562"/>
      <c r="K27" s="562"/>
      <c r="L27" s="562" t="s">
        <v>1153</v>
      </c>
      <c r="M27" s="562"/>
      <c r="N27" s="562"/>
      <c r="O27" s="562"/>
      <c r="P27" s="562" t="s">
        <v>1151</v>
      </c>
      <c r="Q27" s="562"/>
      <c r="R27" s="564"/>
      <c r="S27" s="562"/>
      <c r="T27" s="562" t="s">
        <v>80</v>
      </c>
      <c r="U27" s="562"/>
      <c r="V27" s="565">
        <v>3310</v>
      </c>
      <c r="W27" s="562"/>
      <c r="X27" s="565"/>
      <c r="Y27" s="562"/>
      <c r="Z27" s="565">
        <v>174216.9</v>
      </c>
    </row>
    <row r="28" spans="1:26" ht="15.75">
      <c r="A28" s="562"/>
      <c r="B28" s="562"/>
      <c r="C28" s="562"/>
      <c r="D28" s="562"/>
      <c r="E28" s="562"/>
      <c r="F28" s="562" t="s">
        <v>1148</v>
      </c>
      <c r="G28" s="562"/>
      <c r="H28" s="563">
        <v>43101</v>
      </c>
      <c r="I28" s="562"/>
      <c r="J28" s="562" t="s">
        <v>1149</v>
      </c>
      <c r="K28" s="562"/>
      <c r="L28" s="562" t="s">
        <v>1150</v>
      </c>
      <c r="M28" s="562"/>
      <c r="N28" s="562"/>
      <c r="O28" s="562"/>
      <c r="P28" s="562" t="s">
        <v>1151</v>
      </c>
      <c r="Q28" s="562"/>
      <c r="R28" s="564"/>
      <c r="S28" s="562"/>
      <c r="T28" s="562" t="s">
        <v>80</v>
      </c>
      <c r="U28" s="562"/>
      <c r="V28" s="565">
        <v>569.66999999999996</v>
      </c>
      <c r="W28" s="562"/>
      <c r="X28" s="565"/>
      <c r="Y28" s="562"/>
      <c r="Z28" s="565">
        <v>569.66999999999996</v>
      </c>
    </row>
    <row r="29" spans="1:26" ht="15.75">
      <c r="A29" s="562"/>
      <c r="B29" s="562"/>
      <c r="C29" s="562"/>
      <c r="D29" s="562"/>
      <c r="E29" s="562"/>
      <c r="F29" s="562" t="s">
        <v>1148</v>
      </c>
      <c r="G29" s="562"/>
      <c r="H29" s="563">
        <v>43132</v>
      </c>
      <c r="I29" s="562"/>
      <c r="J29" s="562" t="s">
        <v>1155</v>
      </c>
      <c r="K29" s="562"/>
      <c r="L29" s="562" t="s">
        <v>1150</v>
      </c>
      <c r="M29" s="562"/>
      <c r="N29" s="562"/>
      <c r="O29" s="562"/>
      <c r="P29" s="562" t="s">
        <v>1151</v>
      </c>
      <c r="Q29" s="562"/>
      <c r="R29" s="564"/>
      <c r="S29" s="562"/>
      <c r="T29" s="562" t="s">
        <v>80</v>
      </c>
      <c r="U29" s="562"/>
      <c r="V29" s="565">
        <v>569.66999999999996</v>
      </c>
      <c r="W29" s="562"/>
      <c r="X29" s="565"/>
      <c r="Y29" s="562"/>
      <c r="Z29" s="565">
        <v>16046.34</v>
      </c>
    </row>
    <row r="30" spans="1:26" ht="15.75">
      <c r="A30" s="562"/>
      <c r="B30" s="562"/>
      <c r="C30" s="562"/>
      <c r="D30" s="562"/>
      <c r="E30" s="562"/>
      <c r="F30" s="562" t="s">
        <v>1148</v>
      </c>
      <c r="G30" s="562"/>
      <c r="H30" s="563">
        <v>43160</v>
      </c>
      <c r="I30" s="562"/>
      <c r="J30" s="562" t="s">
        <v>1157</v>
      </c>
      <c r="K30" s="562"/>
      <c r="L30" s="562" t="s">
        <v>1150</v>
      </c>
      <c r="M30" s="562"/>
      <c r="N30" s="562"/>
      <c r="O30" s="562"/>
      <c r="P30" s="562" t="s">
        <v>1151</v>
      </c>
      <c r="Q30" s="562"/>
      <c r="R30" s="564"/>
      <c r="S30" s="562"/>
      <c r="T30" s="562" t="s">
        <v>80</v>
      </c>
      <c r="U30" s="562"/>
      <c r="V30" s="565">
        <v>569.66999999999996</v>
      </c>
      <c r="W30" s="562"/>
      <c r="X30" s="565"/>
      <c r="Y30" s="562"/>
      <c r="Z30" s="565">
        <v>31523.01</v>
      </c>
    </row>
    <row r="31" spans="1:26" ht="15.75">
      <c r="A31" s="562"/>
      <c r="B31" s="562"/>
      <c r="C31" s="562"/>
      <c r="D31" s="562"/>
      <c r="E31" s="562"/>
      <c r="F31" s="562" t="s">
        <v>1148</v>
      </c>
      <c r="G31" s="562"/>
      <c r="H31" s="563">
        <v>43191</v>
      </c>
      <c r="I31" s="562"/>
      <c r="J31" s="562" t="s">
        <v>1159</v>
      </c>
      <c r="K31" s="562"/>
      <c r="L31" s="562" t="s">
        <v>1150</v>
      </c>
      <c r="M31" s="562"/>
      <c r="N31" s="562"/>
      <c r="O31" s="562"/>
      <c r="P31" s="562" t="s">
        <v>1151</v>
      </c>
      <c r="Q31" s="562"/>
      <c r="R31" s="564"/>
      <c r="S31" s="562"/>
      <c r="T31" s="562" t="s">
        <v>80</v>
      </c>
      <c r="U31" s="562"/>
      <c r="V31" s="565">
        <v>569.66999999999996</v>
      </c>
      <c r="W31" s="562"/>
      <c r="X31" s="565"/>
      <c r="Y31" s="562"/>
      <c r="Z31" s="565">
        <v>46999.68</v>
      </c>
    </row>
    <row r="32" spans="1:26" ht="15.75">
      <c r="A32" s="562"/>
      <c r="B32" s="562"/>
      <c r="C32" s="562"/>
      <c r="D32" s="562"/>
      <c r="E32" s="562"/>
      <c r="F32" s="562" t="s">
        <v>1148</v>
      </c>
      <c r="G32" s="562"/>
      <c r="H32" s="563">
        <v>43221</v>
      </c>
      <c r="I32" s="562"/>
      <c r="J32" s="562" t="s">
        <v>1160</v>
      </c>
      <c r="K32" s="562"/>
      <c r="L32" s="562" t="s">
        <v>1150</v>
      </c>
      <c r="M32" s="562"/>
      <c r="N32" s="562"/>
      <c r="O32" s="562"/>
      <c r="P32" s="562" t="s">
        <v>1151</v>
      </c>
      <c r="Q32" s="562"/>
      <c r="R32" s="564"/>
      <c r="S32" s="562"/>
      <c r="T32" s="562" t="s">
        <v>80</v>
      </c>
      <c r="U32" s="562"/>
      <c r="V32" s="565">
        <v>569.66999999999996</v>
      </c>
      <c r="W32" s="562"/>
      <c r="X32" s="565"/>
      <c r="Y32" s="562"/>
      <c r="Z32" s="565">
        <v>62476.35</v>
      </c>
    </row>
    <row r="33" spans="1:26" ht="15.75">
      <c r="A33" s="562"/>
      <c r="B33" s="562"/>
      <c r="C33" s="562"/>
      <c r="D33" s="562"/>
      <c r="E33" s="562"/>
      <c r="F33" s="562" t="s">
        <v>1148</v>
      </c>
      <c r="G33" s="562"/>
      <c r="H33" s="563">
        <v>43272</v>
      </c>
      <c r="I33" s="562"/>
      <c r="J33" s="562" t="s">
        <v>1163</v>
      </c>
      <c r="K33" s="562"/>
      <c r="L33" s="562" t="s">
        <v>1150</v>
      </c>
      <c r="M33" s="562"/>
      <c r="N33" s="562"/>
      <c r="O33" s="562"/>
      <c r="P33" s="562" t="s">
        <v>1151</v>
      </c>
      <c r="Q33" s="562"/>
      <c r="R33" s="564"/>
      <c r="S33" s="562"/>
      <c r="T33" s="562" t="s">
        <v>80</v>
      </c>
      <c r="U33" s="562"/>
      <c r="V33" s="565">
        <v>1170.04</v>
      </c>
      <c r="W33" s="562"/>
      <c r="X33" s="565"/>
      <c r="Y33" s="562"/>
      <c r="Z33" s="565">
        <v>93460.39</v>
      </c>
    </row>
    <row r="34" spans="1:26" ht="15.75">
      <c r="A34" s="562"/>
      <c r="B34" s="562"/>
      <c r="C34" s="562"/>
      <c r="D34" s="562"/>
      <c r="E34" s="562"/>
      <c r="F34" s="562" t="s">
        <v>1148</v>
      </c>
      <c r="G34" s="562"/>
      <c r="H34" s="563">
        <v>43304</v>
      </c>
      <c r="I34" s="562"/>
      <c r="J34" s="562" t="s">
        <v>1168</v>
      </c>
      <c r="K34" s="562"/>
      <c r="L34" s="562" t="s">
        <v>1150</v>
      </c>
      <c r="M34" s="562"/>
      <c r="N34" s="562"/>
      <c r="O34" s="562"/>
      <c r="P34" s="562" t="s">
        <v>1151</v>
      </c>
      <c r="Q34" s="562"/>
      <c r="R34" s="564"/>
      <c r="S34" s="562"/>
      <c r="T34" s="562" t="s">
        <v>80</v>
      </c>
      <c r="U34" s="562"/>
      <c r="V34" s="565">
        <v>569.66999999999996</v>
      </c>
      <c r="W34" s="562"/>
      <c r="X34" s="565"/>
      <c r="Y34" s="562"/>
      <c r="Z34" s="565">
        <v>94030.06</v>
      </c>
    </row>
    <row r="35" spans="1:26" ht="15.75">
      <c r="A35" s="562"/>
      <c r="B35" s="562"/>
      <c r="C35" s="562"/>
      <c r="D35" s="562"/>
      <c r="E35" s="562"/>
      <c r="F35" s="562" t="s">
        <v>1148</v>
      </c>
      <c r="G35" s="562"/>
      <c r="H35" s="563">
        <v>43332</v>
      </c>
      <c r="I35" s="562"/>
      <c r="J35" s="562" t="s">
        <v>1172</v>
      </c>
      <c r="K35" s="562"/>
      <c r="L35" s="562" t="s">
        <v>1150</v>
      </c>
      <c r="M35" s="562"/>
      <c r="N35" s="562"/>
      <c r="O35" s="562"/>
      <c r="P35" s="562" t="s">
        <v>1151</v>
      </c>
      <c r="Q35" s="562"/>
      <c r="R35" s="564"/>
      <c r="S35" s="562"/>
      <c r="T35" s="562" t="s">
        <v>80</v>
      </c>
      <c r="U35" s="562"/>
      <c r="V35" s="565">
        <v>585.46</v>
      </c>
      <c r="W35" s="562"/>
      <c r="X35" s="565"/>
      <c r="Y35" s="562"/>
      <c r="Z35" s="565">
        <v>124429.52</v>
      </c>
    </row>
    <row r="36" spans="1:26" ht="15.75">
      <c r="A36" s="562"/>
      <c r="B36" s="562"/>
      <c r="C36" s="562"/>
      <c r="D36" s="562"/>
      <c r="E36" s="562"/>
      <c r="F36" s="562" t="s">
        <v>1148</v>
      </c>
      <c r="G36" s="562"/>
      <c r="H36" s="563">
        <v>43363</v>
      </c>
      <c r="I36" s="562"/>
      <c r="J36" s="562" t="s">
        <v>1174</v>
      </c>
      <c r="K36" s="562"/>
      <c r="L36" s="562" t="s">
        <v>1150</v>
      </c>
      <c r="M36" s="562"/>
      <c r="N36" s="562"/>
      <c r="O36" s="562"/>
      <c r="P36" s="562" t="s">
        <v>1151</v>
      </c>
      <c r="Q36" s="562"/>
      <c r="R36" s="564"/>
      <c r="S36" s="562"/>
      <c r="T36" s="562" t="s">
        <v>80</v>
      </c>
      <c r="U36" s="562"/>
      <c r="V36" s="565">
        <v>585.46</v>
      </c>
      <c r="W36" s="562"/>
      <c r="X36" s="565"/>
      <c r="Y36" s="562"/>
      <c r="Z36" s="565">
        <v>139921.98000000001</v>
      </c>
    </row>
    <row r="37" spans="1:26" ht="15.75">
      <c r="A37" s="562"/>
      <c r="B37" s="562"/>
      <c r="C37" s="562"/>
      <c r="D37" s="562"/>
      <c r="E37" s="562"/>
      <c r="F37" s="562" t="s">
        <v>1148</v>
      </c>
      <c r="G37" s="562"/>
      <c r="H37" s="563">
        <v>43396</v>
      </c>
      <c r="I37" s="562"/>
      <c r="J37" s="562" t="s">
        <v>1176</v>
      </c>
      <c r="K37" s="562"/>
      <c r="L37" s="562" t="s">
        <v>1150</v>
      </c>
      <c r="M37" s="562"/>
      <c r="N37" s="562"/>
      <c r="O37" s="562"/>
      <c r="P37" s="562" t="s">
        <v>1151</v>
      </c>
      <c r="Q37" s="562"/>
      <c r="R37" s="564"/>
      <c r="S37" s="562"/>
      <c r="T37" s="562" t="s">
        <v>80</v>
      </c>
      <c r="U37" s="562"/>
      <c r="V37" s="565">
        <v>585.46</v>
      </c>
      <c r="W37" s="562"/>
      <c r="X37" s="565"/>
      <c r="Y37" s="562"/>
      <c r="Z37" s="565">
        <v>155414.44</v>
      </c>
    </row>
    <row r="38" spans="1:26" ht="15.75">
      <c r="A38" s="562"/>
      <c r="B38" s="562"/>
      <c r="C38" s="562"/>
      <c r="D38" s="562"/>
      <c r="E38" s="562"/>
      <c r="F38" s="562" t="s">
        <v>1148</v>
      </c>
      <c r="G38" s="562"/>
      <c r="H38" s="563">
        <v>43435</v>
      </c>
      <c r="I38" s="562"/>
      <c r="J38" s="562" t="s">
        <v>1178</v>
      </c>
      <c r="K38" s="562"/>
      <c r="L38" s="562" t="s">
        <v>1150</v>
      </c>
      <c r="M38" s="562"/>
      <c r="N38" s="562"/>
      <c r="O38" s="562"/>
      <c r="P38" s="562"/>
      <c r="Q38" s="562"/>
      <c r="R38" s="564"/>
      <c r="S38" s="562"/>
      <c r="T38" s="562" t="s">
        <v>80</v>
      </c>
      <c r="U38" s="562"/>
      <c r="V38" s="565">
        <v>585.46</v>
      </c>
      <c r="W38" s="562"/>
      <c r="X38" s="565"/>
      <c r="Y38" s="562"/>
      <c r="Z38" s="565">
        <v>170906.9</v>
      </c>
    </row>
    <row r="39" spans="1:26" ht="15.75">
      <c r="A39" s="562"/>
      <c r="B39" s="562"/>
      <c r="C39" s="562"/>
      <c r="D39" s="562"/>
      <c r="E39" s="562"/>
      <c r="F39" s="562" t="s">
        <v>1148</v>
      </c>
      <c r="G39" s="562"/>
      <c r="H39" s="563">
        <v>43454</v>
      </c>
      <c r="I39" s="562"/>
      <c r="J39" s="562" t="s">
        <v>1180</v>
      </c>
      <c r="K39" s="562"/>
      <c r="L39" s="562" t="s">
        <v>1150</v>
      </c>
      <c r="M39" s="562"/>
      <c r="N39" s="562"/>
      <c r="O39" s="562"/>
      <c r="P39" s="562"/>
      <c r="Q39" s="562"/>
      <c r="R39" s="564"/>
      <c r="S39" s="562"/>
      <c r="T39" s="562" t="s">
        <v>80</v>
      </c>
      <c r="U39" s="562"/>
      <c r="V39" s="565">
        <v>585.46</v>
      </c>
      <c r="W39" s="562"/>
      <c r="X39" s="565"/>
      <c r="Y39" s="562"/>
      <c r="Z39" s="565">
        <v>186399.35999999999</v>
      </c>
    </row>
    <row r="40" spans="1:26" ht="15.75">
      <c r="A40" s="562"/>
      <c r="B40" s="562"/>
      <c r="C40" s="562"/>
      <c r="D40" s="562"/>
      <c r="E40" s="562"/>
      <c r="F40" s="562" t="s">
        <v>1164</v>
      </c>
      <c r="G40" s="562"/>
      <c r="H40" s="563">
        <v>43281</v>
      </c>
      <c r="I40" s="562"/>
      <c r="J40" s="562" t="s">
        <v>1165</v>
      </c>
      <c r="K40" s="562"/>
      <c r="L40" s="562"/>
      <c r="M40" s="562"/>
      <c r="N40" s="562"/>
      <c r="O40" s="562"/>
      <c r="P40" s="562" t="s">
        <v>1166</v>
      </c>
      <c r="Q40" s="562"/>
      <c r="R40" s="564"/>
      <c r="S40" s="562"/>
      <c r="T40" s="562" t="s">
        <v>1167</v>
      </c>
      <c r="U40" s="562"/>
      <c r="V40" s="565"/>
      <c r="W40" s="562"/>
      <c r="X40" s="565">
        <v>11075.55</v>
      </c>
      <c r="Y40" s="562"/>
      <c r="Z40" s="565">
        <v>82384.84</v>
      </c>
    </row>
    <row r="41" spans="1:26" ht="15.75">
      <c r="A41" s="562"/>
      <c r="B41" s="562"/>
      <c r="C41" s="562"/>
      <c r="D41" s="562"/>
      <c r="E41" s="562"/>
      <c r="F41" s="562" t="s">
        <v>1164</v>
      </c>
      <c r="G41" s="562"/>
      <c r="H41" s="563">
        <v>43281</v>
      </c>
      <c r="I41" s="562"/>
      <c r="J41" s="562" t="s">
        <v>1165</v>
      </c>
      <c r="K41" s="562"/>
      <c r="L41" s="562"/>
      <c r="M41" s="562"/>
      <c r="N41" s="562"/>
      <c r="O41" s="562"/>
      <c r="P41" s="562" t="s">
        <v>512</v>
      </c>
      <c r="Q41" s="562"/>
      <c r="R41" s="564"/>
      <c r="S41" s="562"/>
      <c r="T41" s="562" t="s">
        <v>395</v>
      </c>
      <c r="U41" s="562"/>
      <c r="V41" s="565">
        <v>31149.99</v>
      </c>
      <c r="W41" s="562"/>
      <c r="X41" s="565"/>
      <c r="Y41" s="562"/>
      <c r="Z41" s="565">
        <v>113534.83</v>
      </c>
    </row>
    <row r="42" spans="1:26" ht="15.75">
      <c r="A42" s="562"/>
      <c r="B42" s="562"/>
      <c r="C42" s="562"/>
      <c r="D42" s="562"/>
      <c r="E42" s="562"/>
      <c r="F42" s="562" t="s">
        <v>1164</v>
      </c>
      <c r="G42" s="562"/>
      <c r="H42" s="563">
        <v>43281</v>
      </c>
      <c r="I42" s="562"/>
      <c r="J42" s="562" t="s">
        <v>1165</v>
      </c>
      <c r="K42" s="562"/>
      <c r="L42" s="562"/>
      <c r="M42" s="562"/>
      <c r="N42" s="562"/>
      <c r="O42" s="562"/>
      <c r="P42" s="562" t="s">
        <v>512</v>
      </c>
      <c r="Q42" s="562"/>
      <c r="R42" s="564"/>
      <c r="S42" s="562"/>
      <c r="T42" s="562" t="s">
        <v>395</v>
      </c>
      <c r="U42" s="562"/>
      <c r="V42" s="565">
        <v>6442.28</v>
      </c>
      <c r="W42" s="562"/>
      <c r="X42" s="565"/>
      <c r="Y42" s="562"/>
      <c r="Z42" s="565">
        <v>119977.11</v>
      </c>
    </row>
    <row r="43" spans="1:26" ht="15.75">
      <c r="A43" s="562"/>
      <c r="B43" s="562"/>
      <c r="C43" s="562"/>
      <c r="D43" s="562"/>
      <c r="E43" s="562"/>
      <c r="F43" s="562" t="s">
        <v>1164</v>
      </c>
      <c r="G43" s="562"/>
      <c r="H43" s="563">
        <v>43281</v>
      </c>
      <c r="I43" s="562"/>
      <c r="J43" s="562" t="s">
        <v>1165</v>
      </c>
      <c r="K43" s="562"/>
      <c r="L43" s="562"/>
      <c r="M43" s="562"/>
      <c r="N43" s="562"/>
      <c r="O43" s="562"/>
      <c r="P43" s="562" t="s">
        <v>512</v>
      </c>
      <c r="Q43" s="562"/>
      <c r="R43" s="564"/>
      <c r="S43" s="562"/>
      <c r="T43" s="562" t="s">
        <v>395</v>
      </c>
      <c r="U43" s="562"/>
      <c r="V43" s="565">
        <v>10734.06</v>
      </c>
      <c r="W43" s="562"/>
      <c r="X43" s="565"/>
      <c r="Y43" s="562"/>
      <c r="Z43" s="565">
        <v>130711.17</v>
      </c>
    </row>
    <row r="44" spans="1:26" ht="15.75">
      <c r="A44" s="562"/>
      <c r="B44" s="562"/>
      <c r="C44" s="562"/>
      <c r="D44" s="562"/>
      <c r="E44" s="562"/>
      <c r="F44" s="562" t="s">
        <v>1164</v>
      </c>
      <c r="G44" s="562"/>
      <c r="H44" s="563">
        <v>43281</v>
      </c>
      <c r="I44" s="562"/>
      <c r="J44" s="562" t="s">
        <v>1165</v>
      </c>
      <c r="K44" s="562"/>
      <c r="L44" s="562"/>
      <c r="M44" s="562"/>
      <c r="N44" s="562"/>
      <c r="O44" s="562"/>
      <c r="P44" s="562" t="s">
        <v>512</v>
      </c>
      <c r="Q44" s="562"/>
      <c r="R44" s="564"/>
      <c r="S44" s="562"/>
      <c r="T44" s="562" t="s">
        <v>395</v>
      </c>
      <c r="U44" s="562"/>
      <c r="V44" s="565">
        <v>15044.29</v>
      </c>
      <c r="W44" s="562"/>
      <c r="X44" s="565"/>
      <c r="Y44" s="562"/>
      <c r="Z44" s="565">
        <v>145755.46</v>
      </c>
    </row>
    <row r="45" spans="1:26" ht="15.75">
      <c r="A45" s="562"/>
      <c r="B45" s="562"/>
      <c r="C45" s="562"/>
      <c r="D45" s="562"/>
      <c r="E45" s="562"/>
      <c r="F45" s="562" t="s">
        <v>1164</v>
      </c>
      <c r="G45" s="562"/>
      <c r="H45" s="563">
        <v>43281</v>
      </c>
      <c r="I45" s="562"/>
      <c r="J45" s="562" t="s">
        <v>1165</v>
      </c>
      <c r="K45" s="562"/>
      <c r="L45" s="562"/>
      <c r="M45" s="562"/>
      <c r="N45" s="562"/>
      <c r="O45" s="562"/>
      <c r="P45" s="562" t="s">
        <v>1166</v>
      </c>
      <c r="Q45" s="562"/>
      <c r="R45" s="564"/>
      <c r="S45" s="562"/>
      <c r="T45" s="562" t="s">
        <v>395</v>
      </c>
      <c r="U45" s="562"/>
      <c r="V45" s="565">
        <v>10734.06</v>
      </c>
      <c r="W45" s="562"/>
      <c r="X45" s="565"/>
      <c r="Y45" s="562"/>
      <c r="Z45" s="565">
        <v>156489.51999999999</v>
      </c>
    </row>
    <row r="46" spans="1:26" ht="15.75">
      <c r="A46" s="562"/>
      <c r="B46" s="562"/>
      <c r="C46" s="562"/>
      <c r="D46" s="562"/>
      <c r="E46" s="562"/>
      <c r="F46" s="562" t="s">
        <v>1164</v>
      </c>
      <c r="G46" s="562"/>
      <c r="H46" s="563">
        <v>43281</v>
      </c>
      <c r="I46" s="562"/>
      <c r="J46" s="562" t="s">
        <v>1165</v>
      </c>
      <c r="K46" s="562"/>
      <c r="L46" s="562"/>
      <c r="M46" s="562"/>
      <c r="N46" s="562"/>
      <c r="O46" s="562"/>
      <c r="P46" s="562" t="s">
        <v>512</v>
      </c>
      <c r="Q46" s="562"/>
      <c r="R46" s="564"/>
      <c r="S46" s="562"/>
      <c r="T46" s="562" t="s">
        <v>395</v>
      </c>
      <c r="U46" s="562"/>
      <c r="V46" s="565">
        <v>5307.03</v>
      </c>
      <c r="W46" s="562"/>
      <c r="X46" s="565"/>
      <c r="Y46" s="562"/>
      <c r="Z46" s="565">
        <v>161796.54999999999</v>
      </c>
    </row>
    <row r="47" spans="1:26" ht="15.75">
      <c r="A47" s="562"/>
      <c r="B47" s="562"/>
      <c r="C47" s="562"/>
      <c r="D47" s="562"/>
      <c r="E47" s="562"/>
      <c r="F47" s="562" t="s">
        <v>1164</v>
      </c>
      <c r="G47" s="562"/>
      <c r="H47" s="563">
        <v>43281</v>
      </c>
      <c r="I47" s="562"/>
      <c r="J47" s="562" t="s">
        <v>1165</v>
      </c>
      <c r="K47" s="562"/>
      <c r="L47" s="562"/>
      <c r="M47" s="562"/>
      <c r="N47" s="562"/>
      <c r="O47" s="562"/>
      <c r="P47" s="562" t="s">
        <v>512</v>
      </c>
      <c r="Q47" s="562"/>
      <c r="R47" s="564"/>
      <c r="S47" s="562"/>
      <c r="T47" s="562" t="s">
        <v>395</v>
      </c>
      <c r="U47" s="562"/>
      <c r="V47" s="565">
        <v>6442.28</v>
      </c>
      <c r="W47" s="562"/>
      <c r="X47" s="565"/>
      <c r="Y47" s="562"/>
      <c r="Z47" s="565">
        <v>168238.83</v>
      </c>
    </row>
    <row r="48" spans="1:26" ht="15.75">
      <c r="A48" s="562"/>
      <c r="B48" s="562"/>
      <c r="C48" s="562"/>
      <c r="D48" s="562"/>
      <c r="E48" s="562"/>
      <c r="F48" s="562" t="s">
        <v>1164</v>
      </c>
      <c r="G48" s="562"/>
      <c r="H48" s="563">
        <v>43281</v>
      </c>
      <c r="I48" s="562"/>
      <c r="J48" s="562" t="s">
        <v>1165</v>
      </c>
      <c r="K48" s="562"/>
      <c r="L48" s="562"/>
      <c r="M48" s="562"/>
      <c r="N48" s="562"/>
      <c r="O48" s="562"/>
      <c r="P48" s="562" t="s">
        <v>1166</v>
      </c>
      <c r="Q48" s="562"/>
      <c r="R48" s="564"/>
      <c r="S48" s="562"/>
      <c r="T48" s="562" t="s">
        <v>395</v>
      </c>
      <c r="U48" s="562"/>
      <c r="V48" s="565">
        <v>6442.27</v>
      </c>
      <c r="W48" s="562"/>
      <c r="X48" s="565"/>
      <c r="Y48" s="562"/>
      <c r="Z48" s="565">
        <v>174681.1</v>
      </c>
    </row>
    <row r="49" spans="1:26" ht="15.75">
      <c r="A49" s="562"/>
      <c r="B49" s="562"/>
      <c r="C49" s="562"/>
      <c r="D49" s="562"/>
      <c r="E49" s="562"/>
      <c r="F49" s="562" t="s">
        <v>1164</v>
      </c>
      <c r="G49" s="562"/>
      <c r="H49" s="563">
        <v>43281</v>
      </c>
      <c r="I49" s="562"/>
      <c r="J49" s="562" t="s">
        <v>1165</v>
      </c>
      <c r="K49" s="562"/>
      <c r="L49" s="562"/>
      <c r="M49" s="562"/>
      <c r="N49" s="562"/>
      <c r="O49" s="562"/>
      <c r="P49" s="562" t="s">
        <v>512</v>
      </c>
      <c r="Q49" s="562"/>
      <c r="R49" s="564"/>
      <c r="S49" s="562"/>
      <c r="T49" s="562" t="s">
        <v>395</v>
      </c>
      <c r="U49" s="562"/>
      <c r="V49" s="565"/>
      <c r="W49" s="562"/>
      <c r="X49" s="565">
        <v>81220.710000000006</v>
      </c>
      <c r="Y49" s="562"/>
      <c r="Z49" s="565">
        <v>93460.39</v>
      </c>
    </row>
    <row r="50" spans="1:26" ht="15.75">
      <c r="A50" s="562"/>
      <c r="B50" s="562"/>
      <c r="C50" s="562"/>
      <c r="D50" s="562"/>
      <c r="E50" s="562"/>
      <c r="F50" s="562" t="s">
        <v>1164</v>
      </c>
      <c r="G50" s="562"/>
      <c r="H50" s="563">
        <v>43465</v>
      </c>
      <c r="I50" s="562"/>
      <c r="J50" s="562" t="s">
        <v>1165</v>
      </c>
      <c r="K50" s="562"/>
      <c r="L50" s="562"/>
      <c r="M50" s="562"/>
      <c r="N50" s="562"/>
      <c r="O50" s="562"/>
      <c r="P50" s="562" t="s">
        <v>1166</v>
      </c>
      <c r="Q50" s="562"/>
      <c r="R50" s="564"/>
      <c r="S50" s="562"/>
      <c r="T50" s="562" t="s">
        <v>1167</v>
      </c>
      <c r="U50" s="562"/>
      <c r="V50" s="565"/>
      <c r="W50" s="562"/>
      <c r="X50" s="565">
        <v>11151.86</v>
      </c>
      <c r="Y50" s="562"/>
      <c r="Z50" s="565">
        <v>175247.5</v>
      </c>
    </row>
    <row r="51" spans="1:26" ht="15.75">
      <c r="A51" s="562"/>
      <c r="B51" s="562"/>
      <c r="C51" s="562"/>
      <c r="D51" s="562"/>
      <c r="E51" s="562"/>
      <c r="F51" s="562" t="s">
        <v>1164</v>
      </c>
      <c r="G51" s="562"/>
      <c r="H51" s="563">
        <v>43465</v>
      </c>
      <c r="I51" s="562"/>
      <c r="J51" s="562" t="s">
        <v>1165</v>
      </c>
      <c r="K51" s="562"/>
      <c r="L51" s="562"/>
      <c r="M51" s="562"/>
      <c r="N51" s="562"/>
      <c r="O51" s="562"/>
      <c r="P51" s="562" t="s">
        <v>512</v>
      </c>
      <c r="Q51" s="562"/>
      <c r="R51" s="564"/>
      <c r="S51" s="562"/>
      <c r="T51" s="562" t="s">
        <v>395</v>
      </c>
      <c r="U51" s="562"/>
      <c r="V51" s="565"/>
      <c r="W51" s="562"/>
      <c r="X51" s="565">
        <v>81144.399999999994</v>
      </c>
      <c r="Y51" s="562"/>
      <c r="Z51" s="565">
        <v>94103.1</v>
      </c>
    </row>
    <row r="52" spans="1:26" ht="15.75">
      <c r="A52" s="562"/>
      <c r="B52" s="562"/>
      <c r="C52" s="562"/>
      <c r="D52" s="562"/>
      <c r="E52" s="562"/>
      <c r="F52" s="562" t="s">
        <v>1164</v>
      </c>
      <c r="G52" s="562"/>
      <c r="H52" s="563">
        <v>43465</v>
      </c>
      <c r="I52" s="562"/>
      <c r="J52" s="562" t="s">
        <v>1165</v>
      </c>
      <c r="K52" s="562"/>
      <c r="L52" s="562"/>
      <c r="M52" s="562"/>
      <c r="N52" s="562"/>
      <c r="O52" s="562"/>
      <c r="P52" s="562" t="s">
        <v>512</v>
      </c>
      <c r="Q52" s="562"/>
      <c r="R52" s="564"/>
      <c r="S52" s="562"/>
      <c r="T52" s="562" t="s">
        <v>395</v>
      </c>
      <c r="U52" s="562"/>
      <c r="V52" s="565">
        <v>31149.99</v>
      </c>
      <c r="W52" s="562"/>
      <c r="X52" s="565"/>
      <c r="Y52" s="562"/>
      <c r="Z52" s="565">
        <v>125253.09</v>
      </c>
    </row>
    <row r="53" spans="1:26" ht="15.75">
      <c r="A53" s="562"/>
      <c r="B53" s="562"/>
      <c r="C53" s="562"/>
      <c r="D53" s="562"/>
      <c r="E53" s="562"/>
      <c r="F53" s="562" t="s">
        <v>1164</v>
      </c>
      <c r="G53" s="562"/>
      <c r="H53" s="563">
        <v>43465</v>
      </c>
      <c r="I53" s="562"/>
      <c r="J53" s="562" t="s">
        <v>1165</v>
      </c>
      <c r="K53" s="562"/>
      <c r="L53" s="562"/>
      <c r="M53" s="562"/>
      <c r="N53" s="562"/>
      <c r="O53" s="562"/>
      <c r="P53" s="562" t="s">
        <v>512</v>
      </c>
      <c r="Q53" s="562"/>
      <c r="R53" s="564"/>
      <c r="S53" s="562"/>
      <c r="T53" s="562" t="s">
        <v>395</v>
      </c>
      <c r="U53" s="562"/>
      <c r="V53" s="565">
        <v>6442.28</v>
      </c>
      <c r="W53" s="562"/>
      <c r="X53" s="565"/>
      <c r="Y53" s="562"/>
      <c r="Z53" s="565">
        <v>131695.37</v>
      </c>
    </row>
    <row r="54" spans="1:26" ht="15.75">
      <c r="A54" s="562"/>
      <c r="B54" s="562"/>
      <c r="C54" s="562"/>
      <c r="D54" s="562"/>
      <c r="E54" s="562"/>
      <c r="F54" s="562" t="s">
        <v>1164</v>
      </c>
      <c r="G54" s="562"/>
      <c r="H54" s="563">
        <v>43465</v>
      </c>
      <c r="I54" s="562"/>
      <c r="J54" s="562" t="s">
        <v>1165</v>
      </c>
      <c r="K54" s="562"/>
      <c r="L54" s="562"/>
      <c r="M54" s="562"/>
      <c r="N54" s="562"/>
      <c r="O54" s="562"/>
      <c r="P54" s="562" t="s">
        <v>512</v>
      </c>
      <c r="Q54" s="562"/>
      <c r="R54" s="564"/>
      <c r="S54" s="562"/>
      <c r="T54" s="562" t="s">
        <v>395</v>
      </c>
      <c r="U54" s="562"/>
      <c r="V54" s="565">
        <v>10734.06</v>
      </c>
      <c r="W54" s="562"/>
      <c r="X54" s="565"/>
      <c r="Y54" s="562"/>
      <c r="Z54" s="565">
        <v>142429.43</v>
      </c>
    </row>
    <row r="55" spans="1:26" ht="15.75">
      <c r="A55" s="562"/>
      <c r="B55" s="562"/>
      <c r="C55" s="562"/>
      <c r="D55" s="562"/>
      <c r="E55" s="562"/>
      <c r="F55" s="562" t="s">
        <v>1164</v>
      </c>
      <c r="G55" s="562"/>
      <c r="H55" s="563">
        <v>43465</v>
      </c>
      <c r="I55" s="562"/>
      <c r="J55" s="562" t="s">
        <v>1165</v>
      </c>
      <c r="K55" s="562"/>
      <c r="L55" s="562"/>
      <c r="M55" s="562"/>
      <c r="N55" s="562"/>
      <c r="O55" s="562"/>
      <c r="P55" s="562" t="s">
        <v>512</v>
      </c>
      <c r="Q55" s="562"/>
      <c r="R55" s="564"/>
      <c r="S55" s="562"/>
      <c r="T55" s="562" t="s">
        <v>395</v>
      </c>
      <c r="U55" s="562"/>
      <c r="V55" s="565">
        <v>15044.29</v>
      </c>
      <c r="W55" s="562"/>
      <c r="X55" s="565"/>
      <c r="Y55" s="562"/>
      <c r="Z55" s="565">
        <v>157473.72</v>
      </c>
    </row>
    <row r="56" spans="1:26" ht="15.75">
      <c r="A56" s="562"/>
      <c r="B56" s="562"/>
      <c r="C56" s="562"/>
      <c r="D56" s="562"/>
      <c r="E56" s="562"/>
      <c r="F56" s="562" t="s">
        <v>1164</v>
      </c>
      <c r="G56" s="562"/>
      <c r="H56" s="563">
        <v>43465</v>
      </c>
      <c r="I56" s="562"/>
      <c r="J56" s="562" t="s">
        <v>1165</v>
      </c>
      <c r="K56" s="562"/>
      <c r="L56" s="562"/>
      <c r="M56" s="562"/>
      <c r="N56" s="562"/>
      <c r="O56" s="562"/>
      <c r="P56" s="562" t="s">
        <v>1166</v>
      </c>
      <c r="Q56" s="562"/>
      <c r="R56" s="564"/>
      <c r="S56" s="562"/>
      <c r="T56" s="562" t="s">
        <v>395</v>
      </c>
      <c r="U56" s="562"/>
      <c r="V56" s="565">
        <v>10734.06</v>
      </c>
      <c r="W56" s="562"/>
      <c r="X56" s="565"/>
      <c r="Y56" s="562"/>
      <c r="Z56" s="565">
        <v>168207.78</v>
      </c>
    </row>
    <row r="57" spans="1:26" ht="15.75">
      <c r="A57" s="562"/>
      <c r="B57" s="562"/>
      <c r="C57" s="562"/>
      <c r="D57" s="562"/>
      <c r="E57" s="562"/>
      <c r="F57" s="562" t="s">
        <v>1164</v>
      </c>
      <c r="G57" s="562"/>
      <c r="H57" s="563">
        <v>43465</v>
      </c>
      <c r="I57" s="562"/>
      <c r="J57" s="562" t="s">
        <v>1165</v>
      </c>
      <c r="K57" s="562"/>
      <c r="L57" s="562"/>
      <c r="M57" s="562"/>
      <c r="N57" s="562"/>
      <c r="O57" s="562"/>
      <c r="P57" s="562" t="s">
        <v>512</v>
      </c>
      <c r="Q57" s="562"/>
      <c r="R57" s="564"/>
      <c r="S57" s="562"/>
      <c r="T57" s="562" t="s">
        <v>395</v>
      </c>
      <c r="U57" s="562"/>
      <c r="V57" s="565">
        <v>5307.03</v>
      </c>
      <c r="W57" s="562"/>
      <c r="X57" s="565"/>
      <c r="Y57" s="562"/>
      <c r="Z57" s="565">
        <v>173514.81</v>
      </c>
    </row>
    <row r="58" spans="1:26" ht="15.75">
      <c r="A58" s="562"/>
      <c r="B58" s="562"/>
      <c r="C58" s="562"/>
      <c r="D58" s="562"/>
      <c r="E58" s="562"/>
      <c r="F58" s="562" t="s">
        <v>1164</v>
      </c>
      <c r="G58" s="562"/>
      <c r="H58" s="563">
        <v>43465</v>
      </c>
      <c r="I58" s="562"/>
      <c r="J58" s="562" t="s">
        <v>1165</v>
      </c>
      <c r="K58" s="562"/>
      <c r="L58" s="562"/>
      <c r="M58" s="562"/>
      <c r="N58" s="562"/>
      <c r="O58" s="562"/>
      <c r="P58" s="562" t="s">
        <v>512</v>
      </c>
      <c r="Q58" s="562"/>
      <c r="R58" s="564"/>
      <c r="S58" s="562"/>
      <c r="T58" s="562" t="s">
        <v>395</v>
      </c>
      <c r="U58" s="562"/>
      <c r="V58" s="565">
        <v>6442.28</v>
      </c>
      <c r="W58" s="562"/>
      <c r="X58" s="565"/>
      <c r="Y58" s="562"/>
      <c r="Z58" s="565">
        <v>179957.09</v>
      </c>
    </row>
    <row r="59" spans="1:26" ht="15.75">
      <c r="A59" s="562"/>
      <c r="B59" s="562"/>
      <c r="C59" s="562"/>
      <c r="D59" s="562"/>
      <c r="E59" s="562"/>
      <c r="F59" s="562" t="s">
        <v>1164</v>
      </c>
      <c r="G59" s="562"/>
      <c r="H59" s="563">
        <v>43465</v>
      </c>
      <c r="I59" s="562"/>
      <c r="J59" s="562" t="s">
        <v>1165</v>
      </c>
      <c r="K59" s="562"/>
      <c r="L59" s="562"/>
      <c r="M59" s="562"/>
      <c r="N59" s="562"/>
      <c r="O59" s="562"/>
      <c r="P59" s="562" t="s">
        <v>1166</v>
      </c>
      <c r="Q59" s="562"/>
      <c r="R59" s="564"/>
      <c r="S59" s="562"/>
      <c r="T59" s="562" t="s">
        <v>395</v>
      </c>
      <c r="U59" s="562"/>
      <c r="V59" s="565">
        <v>6442.27</v>
      </c>
      <c r="W59" s="562"/>
      <c r="X59" s="565"/>
      <c r="Y59" s="562"/>
      <c r="Z59" s="565">
        <v>186399.35999999999</v>
      </c>
    </row>
    <row r="60" spans="1:26" ht="15.75">
      <c r="A60" s="562"/>
      <c r="B60" s="562"/>
      <c r="C60" s="562"/>
      <c r="D60" s="562"/>
      <c r="E60" s="562"/>
      <c r="F60" s="562" t="s">
        <v>1164</v>
      </c>
      <c r="G60" s="562"/>
      <c r="H60" s="563">
        <v>43465</v>
      </c>
      <c r="I60" s="562"/>
      <c r="J60" s="562" t="s">
        <v>1165</v>
      </c>
      <c r="K60" s="562"/>
      <c r="L60" s="562"/>
      <c r="M60" s="562"/>
      <c r="N60" s="562"/>
      <c r="O60" s="562"/>
      <c r="P60" s="562" t="s">
        <v>1166</v>
      </c>
      <c r="Q60" s="562"/>
      <c r="R60" s="564"/>
      <c r="S60" s="562"/>
      <c r="T60" s="562" t="s">
        <v>1167</v>
      </c>
      <c r="U60" s="562"/>
      <c r="V60" s="565"/>
      <c r="W60" s="562"/>
      <c r="X60" s="565">
        <v>11151.86</v>
      </c>
      <c r="Y60" s="562"/>
      <c r="Z60" s="565">
        <v>175247.5</v>
      </c>
    </row>
    <row r="61" spans="1:26" ht="15.75">
      <c r="A61" s="562"/>
      <c r="B61" s="562"/>
      <c r="C61" s="562"/>
      <c r="D61" s="562"/>
      <c r="E61" s="562"/>
      <c r="F61" s="562" t="s">
        <v>1164</v>
      </c>
      <c r="G61" s="562"/>
      <c r="H61" s="563">
        <v>43465</v>
      </c>
      <c r="I61" s="562"/>
      <c r="J61" s="562" t="s">
        <v>1165</v>
      </c>
      <c r="K61" s="562"/>
      <c r="L61" s="562"/>
      <c r="M61" s="562"/>
      <c r="N61" s="562"/>
      <c r="O61" s="562"/>
      <c r="P61" s="562" t="s">
        <v>512</v>
      </c>
      <c r="Q61" s="562"/>
      <c r="R61" s="564"/>
      <c r="S61" s="562"/>
      <c r="T61" s="562" t="s">
        <v>395</v>
      </c>
      <c r="U61" s="562"/>
      <c r="V61" s="565"/>
      <c r="W61" s="562"/>
      <c r="X61" s="565">
        <v>81144.399999999994</v>
      </c>
      <c r="Y61" s="562"/>
      <c r="Z61" s="565">
        <v>94103.1</v>
      </c>
    </row>
    <row r="62" spans="1:26" ht="15.75">
      <c r="A62" s="562"/>
      <c r="B62" s="562"/>
      <c r="C62" s="562"/>
      <c r="D62" s="562"/>
      <c r="E62" s="562"/>
      <c r="F62" s="562" t="s">
        <v>1164</v>
      </c>
      <c r="G62" s="562"/>
      <c r="H62" s="563">
        <v>43465</v>
      </c>
      <c r="I62" s="562"/>
      <c r="J62" s="562" t="s">
        <v>1165</v>
      </c>
      <c r="K62" s="562"/>
      <c r="L62" s="562"/>
      <c r="M62" s="562"/>
      <c r="N62" s="562"/>
      <c r="O62" s="562"/>
      <c r="P62" s="562" t="s">
        <v>512</v>
      </c>
      <c r="Q62" s="562"/>
      <c r="R62" s="564"/>
      <c r="S62" s="562"/>
      <c r="T62" s="562" t="s">
        <v>395</v>
      </c>
      <c r="U62" s="562"/>
      <c r="V62" s="565">
        <v>31149.99</v>
      </c>
      <c r="W62" s="562"/>
      <c r="X62" s="565"/>
      <c r="Y62" s="562"/>
      <c r="Z62" s="565">
        <v>125253.09</v>
      </c>
    </row>
    <row r="63" spans="1:26" ht="15.75">
      <c r="A63" s="562"/>
      <c r="B63" s="562"/>
      <c r="C63" s="562"/>
      <c r="D63" s="562"/>
      <c r="E63" s="562"/>
      <c r="F63" s="562" t="s">
        <v>1164</v>
      </c>
      <c r="G63" s="562"/>
      <c r="H63" s="563">
        <v>43465</v>
      </c>
      <c r="I63" s="562"/>
      <c r="J63" s="562" t="s">
        <v>1165</v>
      </c>
      <c r="K63" s="562"/>
      <c r="L63" s="562"/>
      <c r="M63" s="562"/>
      <c r="N63" s="562"/>
      <c r="O63" s="562"/>
      <c r="P63" s="562" t="s">
        <v>512</v>
      </c>
      <c r="Q63" s="562"/>
      <c r="R63" s="564"/>
      <c r="S63" s="562"/>
      <c r="T63" s="562" t="s">
        <v>395</v>
      </c>
      <c r="U63" s="562"/>
      <c r="V63" s="565">
        <v>6442.28</v>
      </c>
      <c r="W63" s="562"/>
      <c r="X63" s="565"/>
      <c r="Y63" s="562"/>
      <c r="Z63" s="565">
        <v>131695.37</v>
      </c>
    </row>
    <row r="64" spans="1:26" ht="15.75">
      <c r="A64" s="562"/>
      <c r="B64" s="562"/>
      <c r="C64" s="562"/>
      <c r="D64" s="562"/>
      <c r="E64" s="562"/>
      <c r="F64" s="562" t="s">
        <v>1164</v>
      </c>
      <c r="G64" s="562"/>
      <c r="H64" s="563">
        <v>43465</v>
      </c>
      <c r="I64" s="562"/>
      <c r="J64" s="562" t="s">
        <v>1165</v>
      </c>
      <c r="K64" s="562"/>
      <c r="L64" s="562"/>
      <c r="M64" s="562"/>
      <c r="N64" s="562"/>
      <c r="O64" s="562"/>
      <c r="P64" s="562" t="s">
        <v>512</v>
      </c>
      <c r="Q64" s="562"/>
      <c r="R64" s="564"/>
      <c r="S64" s="562"/>
      <c r="T64" s="562" t="s">
        <v>395</v>
      </c>
      <c r="U64" s="562"/>
      <c r="V64" s="565">
        <v>10734.06</v>
      </c>
      <c r="W64" s="562"/>
      <c r="X64" s="565"/>
      <c r="Y64" s="562"/>
      <c r="Z64" s="565">
        <v>142429.43</v>
      </c>
    </row>
    <row r="65" spans="1:27" ht="15.75">
      <c r="A65" s="562"/>
      <c r="B65" s="562"/>
      <c r="C65" s="562"/>
      <c r="D65" s="562"/>
      <c r="E65" s="562"/>
      <c r="F65" s="562" t="s">
        <v>1164</v>
      </c>
      <c r="G65" s="562"/>
      <c r="H65" s="563">
        <v>43465</v>
      </c>
      <c r="I65" s="562"/>
      <c r="J65" s="562" t="s">
        <v>1165</v>
      </c>
      <c r="K65" s="562"/>
      <c r="L65" s="562"/>
      <c r="M65" s="562"/>
      <c r="N65" s="562"/>
      <c r="O65" s="562"/>
      <c r="P65" s="562" t="s">
        <v>512</v>
      </c>
      <c r="Q65" s="562"/>
      <c r="R65" s="564"/>
      <c r="S65" s="562"/>
      <c r="T65" s="562" t="s">
        <v>395</v>
      </c>
      <c r="U65" s="562"/>
      <c r="V65" s="565">
        <v>15044.29</v>
      </c>
      <c r="W65" s="562"/>
      <c r="X65" s="565"/>
      <c r="Y65" s="562"/>
      <c r="Z65" s="565">
        <v>157473.72</v>
      </c>
    </row>
    <row r="66" spans="1:27" ht="15.75">
      <c r="A66" s="562"/>
      <c r="B66" s="562"/>
      <c r="C66" s="562"/>
      <c r="D66" s="562"/>
      <c r="E66" s="562"/>
      <c r="F66" s="562" t="s">
        <v>1164</v>
      </c>
      <c r="G66" s="562"/>
      <c r="H66" s="563">
        <v>43465</v>
      </c>
      <c r="I66" s="562"/>
      <c r="J66" s="562" t="s">
        <v>1165</v>
      </c>
      <c r="K66" s="562"/>
      <c r="L66" s="562"/>
      <c r="M66" s="562"/>
      <c r="N66" s="562"/>
      <c r="O66" s="562"/>
      <c r="P66" s="562" t="s">
        <v>1166</v>
      </c>
      <c r="Q66" s="562"/>
      <c r="R66" s="564"/>
      <c r="S66" s="562"/>
      <c r="T66" s="562" t="s">
        <v>395</v>
      </c>
      <c r="U66" s="562"/>
      <c r="V66" s="565">
        <v>10734.06</v>
      </c>
      <c r="W66" s="562"/>
      <c r="X66" s="565"/>
      <c r="Y66" s="562"/>
      <c r="Z66" s="565">
        <v>168207.78</v>
      </c>
    </row>
    <row r="67" spans="1:27" ht="15.75">
      <c r="A67" s="562"/>
      <c r="B67" s="562"/>
      <c r="C67" s="562"/>
      <c r="D67" s="562"/>
      <c r="E67" s="562"/>
      <c r="F67" s="562" t="s">
        <v>1164</v>
      </c>
      <c r="G67" s="562"/>
      <c r="H67" s="563">
        <v>43465</v>
      </c>
      <c r="I67" s="562"/>
      <c r="J67" s="562" t="s">
        <v>1165</v>
      </c>
      <c r="K67" s="562"/>
      <c r="L67" s="562"/>
      <c r="M67" s="562"/>
      <c r="N67" s="562"/>
      <c r="O67" s="562"/>
      <c r="P67" s="562" t="s">
        <v>512</v>
      </c>
      <c r="Q67" s="562"/>
      <c r="R67" s="564"/>
      <c r="S67" s="562"/>
      <c r="T67" s="562" t="s">
        <v>395</v>
      </c>
      <c r="U67" s="562"/>
      <c r="V67" s="565">
        <v>5307.03</v>
      </c>
      <c r="W67" s="562"/>
      <c r="X67" s="565"/>
      <c r="Y67" s="562"/>
      <c r="Z67" s="565">
        <v>173514.81</v>
      </c>
    </row>
    <row r="68" spans="1:27" ht="15.75">
      <c r="A68" s="562"/>
      <c r="B68" s="562"/>
      <c r="C68" s="562"/>
      <c r="D68" s="562"/>
      <c r="E68" s="562"/>
      <c r="F68" s="562" t="s">
        <v>1164</v>
      </c>
      <c r="G68" s="562"/>
      <c r="H68" s="563">
        <v>43465</v>
      </c>
      <c r="I68" s="562"/>
      <c r="J68" s="562" t="s">
        <v>1165</v>
      </c>
      <c r="K68" s="562"/>
      <c r="L68" s="562"/>
      <c r="M68" s="562"/>
      <c r="N68" s="562"/>
      <c r="O68" s="562"/>
      <c r="P68" s="562" t="s">
        <v>512</v>
      </c>
      <c r="Q68" s="562"/>
      <c r="R68" s="564"/>
      <c r="S68" s="562"/>
      <c r="T68" s="562" t="s">
        <v>395</v>
      </c>
      <c r="U68" s="562"/>
      <c r="V68" s="565">
        <v>6442.28</v>
      </c>
      <c r="W68" s="562"/>
      <c r="X68" s="565"/>
      <c r="Y68" s="562"/>
      <c r="Z68" s="565">
        <v>179957.09</v>
      </c>
    </row>
    <row r="69" spans="1:27" ht="15.75">
      <c r="A69" s="562"/>
      <c r="B69" s="562"/>
      <c r="C69" s="562"/>
      <c r="D69" s="562"/>
      <c r="E69" s="562"/>
      <c r="F69" s="562" t="s">
        <v>1164</v>
      </c>
      <c r="G69" s="562"/>
      <c r="H69" s="563">
        <v>43465</v>
      </c>
      <c r="I69" s="562"/>
      <c r="J69" s="562" t="s">
        <v>1165</v>
      </c>
      <c r="K69" s="562"/>
      <c r="L69" s="562"/>
      <c r="M69" s="562"/>
      <c r="N69" s="562"/>
      <c r="O69" s="562"/>
      <c r="P69" s="562" t="s">
        <v>1166</v>
      </c>
      <c r="Q69" s="562"/>
      <c r="R69" s="564"/>
      <c r="S69" s="562"/>
      <c r="T69" s="562" t="s">
        <v>395</v>
      </c>
      <c r="U69" s="562"/>
      <c r="V69" s="565">
        <v>6442.27</v>
      </c>
      <c r="W69" s="562"/>
      <c r="X69" s="565"/>
      <c r="Y69" s="562"/>
      <c r="Z69" s="565">
        <v>186399.35999999999</v>
      </c>
    </row>
    <row r="70" spans="1:27" ht="15.75">
      <c r="A70" s="562"/>
      <c r="B70" s="562"/>
      <c r="C70" s="562"/>
      <c r="D70" s="562"/>
      <c r="E70" s="562"/>
      <c r="F70" s="562" t="s">
        <v>1164</v>
      </c>
      <c r="G70" s="562"/>
      <c r="H70" s="563">
        <v>43465</v>
      </c>
      <c r="I70" s="562"/>
      <c r="J70" s="562" t="s">
        <v>1165</v>
      </c>
      <c r="K70" s="562"/>
      <c r="L70" s="562"/>
      <c r="M70" s="562"/>
      <c r="N70" s="562"/>
      <c r="O70" s="562"/>
      <c r="P70" s="562" t="s">
        <v>1151</v>
      </c>
      <c r="Q70" s="562"/>
      <c r="R70" s="564"/>
      <c r="S70" s="562"/>
      <c r="T70" s="562" t="s">
        <v>1167</v>
      </c>
      <c r="U70" s="562"/>
      <c r="V70" s="565"/>
      <c r="W70" s="562"/>
      <c r="X70" s="565">
        <v>185228.44</v>
      </c>
      <c r="Y70" s="562"/>
      <c r="Z70" s="565">
        <v>1170.92</v>
      </c>
    </row>
    <row r="71" spans="1:27" ht="15.75">
      <c r="A71" s="562"/>
      <c r="B71" s="562"/>
      <c r="C71" s="562"/>
      <c r="D71" s="562"/>
      <c r="E71" s="562"/>
      <c r="F71" s="562" t="s">
        <v>1164</v>
      </c>
      <c r="G71" s="562"/>
      <c r="H71" s="563">
        <v>43465</v>
      </c>
      <c r="I71" s="562"/>
      <c r="J71" s="562" t="s">
        <v>1165</v>
      </c>
      <c r="K71" s="562"/>
      <c r="L71" s="562"/>
      <c r="M71" s="562"/>
      <c r="N71" s="562"/>
      <c r="O71" s="562"/>
      <c r="P71" s="562" t="s">
        <v>1166</v>
      </c>
      <c r="Q71" s="562"/>
      <c r="R71" s="564"/>
      <c r="S71" s="562"/>
      <c r="T71" s="562" t="s">
        <v>395</v>
      </c>
      <c r="U71" s="562"/>
      <c r="V71" s="565">
        <v>22227.41</v>
      </c>
      <c r="W71" s="562"/>
      <c r="X71" s="565"/>
      <c r="Y71" s="562"/>
      <c r="Z71" s="565">
        <v>23398.33</v>
      </c>
    </row>
    <row r="72" spans="1:27" ht="16.5" thickBot="1">
      <c r="A72" s="562"/>
      <c r="B72" s="562"/>
      <c r="C72" s="562"/>
      <c r="D72" s="562"/>
      <c r="E72" s="562"/>
      <c r="F72" s="562" t="s">
        <v>1164</v>
      </c>
      <c r="G72" s="562"/>
      <c r="H72" s="563">
        <v>43465</v>
      </c>
      <c r="I72" s="562"/>
      <c r="J72" s="562" t="s">
        <v>1165</v>
      </c>
      <c r="K72" s="562"/>
      <c r="L72" s="562"/>
      <c r="M72" s="562"/>
      <c r="N72" s="562"/>
      <c r="O72" s="562"/>
      <c r="P72" s="562" t="s">
        <v>512</v>
      </c>
      <c r="Q72" s="562"/>
      <c r="R72" s="564"/>
      <c r="S72" s="562"/>
      <c r="T72" s="562" t="s">
        <v>395</v>
      </c>
      <c r="U72" s="562"/>
      <c r="V72" s="566">
        <v>163001.03</v>
      </c>
      <c r="W72" s="562"/>
      <c r="X72" s="566"/>
      <c r="Y72" s="562"/>
      <c r="Z72" s="566">
        <v>186399.35999999999</v>
      </c>
    </row>
    <row r="73" spans="1:27" ht="16.5" thickBot="1">
      <c r="A73" s="562"/>
      <c r="B73" s="562"/>
      <c r="C73" s="562" t="s">
        <v>1181</v>
      </c>
      <c r="D73" s="562"/>
      <c r="E73" s="562"/>
      <c r="F73" s="562"/>
      <c r="G73" s="562"/>
      <c r="H73" s="563"/>
      <c r="I73" s="562"/>
      <c r="J73" s="562"/>
      <c r="K73" s="562"/>
      <c r="L73" s="562"/>
      <c r="M73" s="562"/>
      <c r="N73" s="562"/>
      <c r="O73" s="562"/>
      <c r="P73" s="562"/>
      <c r="Q73" s="562"/>
      <c r="R73" s="562"/>
      <c r="S73" s="562"/>
      <c r="T73" s="562"/>
      <c r="U73" s="562"/>
      <c r="V73" s="567">
        <f>ROUND(SUM(V3:V72),5)</f>
        <v>648516.57999999996</v>
      </c>
      <c r="W73" s="562"/>
      <c r="X73" s="567">
        <f>ROUND(SUM(X3:X72),5)</f>
        <v>462117.22</v>
      </c>
      <c r="Y73" s="562"/>
      <c r="Z73" s="567">
        <f>Z72</f>
        <v>186399.35999999999</v>
      </c>
    </row>
    <row r="74" spans="1:27" ht="16.5" thickBot="1">
      <c r="A74" s="562"/>
      <c r="B74" s="562" t="s">
        <v>397</v>
      </c>
      <c r="C74" s="562"/>
      <c r="D74" s="562"/>
      <c r="E74" s="562"/>
      <c r="F74" s="562"/>
      <c r="G74" s="562"/>
      <c r="H74" s="563"/>
      <c r="I74" s="562"/>
      <c r="J74" s="562"/>
      <c r="K74" s="562"/>
      <c r="L74" s="562"/>
      <c r="M74" s="562"/>
      <c r="N74" s="562"/>
      <c r="O74" s="562"/>
      <c r="P74" s="562"/>
      <c r="Q74" s="562"/>
      <c r="R74" s="562"/>
      <c r="S74" s="562"/>
      <c r="T74" s="562"/>
      <c r="U74" s="562"/>
      <c r="V74" s="567">
        <f>V73</f>
        <v>648516.57999999996</v>
      </c>
      <c r="W74" s="562"/>
      <c r="X74" s="567">
        <f>X73</f>
        <v>462117.22</v>
      </c>
      <c r="Y74" s="562"/>
      <c r="Z74" s="567">
        <f>Z73</f>
        <v>186399.35999999999</v>
      </c>
    </row>
    <row r="75" spans="1:27" ht="16.5" thickBot="1">
      <c r="A75" s="559" t="s">
        <v>127</v>
      </c>
      <c r="B75" s="559"/>
      <c r="C75" s="559"/>
      <c r="D75" s="559"/>
      <c r="E75" s="559"/>
      <c r="F75" s="559"/>
      <c r="G75" s="559"/>
      <c r="H75" s="560"/>
      <c r="I75" s="559"/>
      <c r="J75" s="559"/>
      <c r="K75" s="559"/>
      <c r="L75" s="559"/>
      <c r="M75" s="559"/>
      <c r="N75" s="559"/>
      <c r="O75" s="559"/>
      <c r="P75" s="559"/>
      <c r="Q75" s="559"/>
      <c r="R75" s="559"/>
      <c r="S75" s="559"/>
      <c r="T75" s="559"/>
      <c r="U75" s="559"/>
      <c r="V75" s="568">
        <f>V74</f>
        <v>648516.57999999996</v>
      </c>
      <c r="W75" s="559"/>
      <c r="X75" s="568">
        <f>X74</f>
        <v>462117.22</v>
      </c>
      <c r="Y75" s="559"/>
      <c r="Z75" s="568">
        <f>Z74</f>
        <v>186399.35999999999</v>
      </c>
    </row>
    <row r="76" spans="1:27" ht="16.5" thickTop="1">
      <c r="A76" s="569"/>
      <c r="B76" s="569"/>
      <c r="C76" s="569"/>
      <c r="D76" s="569"/>
      <c r="E76" s="569"/>
      <c r="F76" s="569"/>
      <c r="G76" s="569"/>
      <c r="H76" s="569"/>
      <c r="I76" s="569"/>
      <c r="J76" s="569"/>
      <c r="K76" s="569"/>
      <c r="L76" s="569"/>
      <c r="M76" s="569"/>
      <c r="N76" s="569"/>
      <c r="O76" s="569"/>
      <c r="P76" s="569"/>
      <c r="Q76" s="569"/>
      <c r="R76" s="569"/>
      <c r="S76" s="569"/>
      <c r="T76" s="569"/>
      <c r="U76" s="569"/>
      <c r="V76" s="569"/>
      <c r="W76" s="569"/>
      <c r="X76" s="569"/>
      <c r="Y76" s="569"/>
      <c r="Z76" s="569"/>
    </row>
    <row r="77" spans="1:27" ht="15.7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7" ht="15.75">
      <c r="A78" s="89"/>
      <c r="B78" s="89" t="s">
        <v>1257</v>
      </c>
      <c r="C78" s="89"/>
      <c r="D78" s="89"/>
      <c r="E78" s="89"/>
      <c r="F78" s="89"/>
      <c r="G78" s="89"/>
      <c r="H78" s="89"/>
      <c r="I78" s="89"/>
      <c r="J78" s="89"/>
      <c r="K78" s="89"/>
      <c r="L78" s="89"/>
      <c r="M78" s="89"/>
      <c r="N78" s="89"/>
      <c r="O78" s="89"/>
      <c r="P78" s="89"/>
      <c r="Q78" s="89"/>
      <c r="R78" s="89"/>
      <c r="S78" s="89"/>
      <c r="T78" s="89"/>
      <c r="U78" s="89"/>
      <c r="V78" s="89"/>
      <c r="W78" s="89"/>
      <c r="X78" s="89"/>
      <c r="Y78" s="89"/>
      <c r="Z78" s="89"/>
      <c r="AA78" s="516"/>
    </row>
    <row r="79" spans="1:27" ht="15.75">
      <c r="A79" s="89"/>
      <c r="B79" s="89"/>
      <c r="C79" s="89"/>
      <c r="D79" s="89"/>
      <c r="E79" s="89"/>
      <c r="F79" s="89" t="s">
        <v>1154</v>
      </c>
      <c r="G79" s="89"/>
      <c r="H79" s="89"/>
      <c r="I79" s="89"/>
      <c r="J79" s="89"/>
      <c r="K79" s="89"/>
      <c r="M79" s="89"/>
      <c r="N79" s="89"/>
      <c r="O79" s="89"/>
      <c r="P79" s="89"/>
      <c r="Q79" s="89"/>
      <c r="R79" s="89"/>
      <c r="S79" s="89"/>
      <c r="U79" s="89"/>
      <c r="V79" s="573">
        <f>SUM(V4:V16)</f>
        <v>139164</v>
      </c>
      <c r="W79" s="89"/>
      <c r="X79" s="89"/>
      <c r="Y79" s="89"/>
      <c r="Z79" s="89"/>
      <c r="AA79" s="516"/>
    </row>
    <row r="80" spans="1:27" ht="15.75">
      <c r="A80" s="89"/>
      <c r="B80" s="89"/>
      <c r="C80" s="89"/>
      <c r="D80" s="89"/>
      <c r="E80" s="89"/>
      <c r="F80" s="89"/>
      <c r="G80" s="89"/>
      <c r="H80" s="89"/>
      <c r="I80" s="89"/>
      <c r="J80" s="89"/>
      <c r="K80" s="89"/>
      <c r="M80" s="89"/>
      <c r="N80" s="89"/>
      <c r="O80" s="89"/>
      <c r="P80" s="89"/>
      <c r="Q80" s="89"/>
      <c r="R80" s="89"/>
      <c r="S80" s="89"/>
      <c r="U80" s="89"/>
      <c r="V80" s="572">
        <f>182650.5-V79</f>
        <v>43486.5</v>
      </c>
      <c r="W80" s="89"/>
      <c r="X80" s="89"/>
      <c r="Y80" s="89"/>
      <c r="Z80" s="89"/>
      <c r="AA80" s="516"/>
    </row>
    <row r="81" spans="1:27" ht="15.75">
      <c r="A81" s="89"/>
      <c r="B81" s="89"/>
      <c r="C81" s="89"/>
      <c r="D81" s="89"/>
      <c r="E81" s="89"/>
      <c r="F81" s="89"/>
      <c r="G81" s="89"/>
      <c r="H81" s="89"/>
      <c r="I81" s="89"/>
      <c r="J81" s="89"/>
      <c r="K81" s="89"/>
      <c r="M81" s="89"/>
      <c r="N81" s="89"/>
      <c r="O81" s="89"/>
      <c r="P81" s="89"/>
      <c r="Q81" s="89"/>
      <c r="R81" s="89"/>
      <c r="S81" s="89"/>
      <c r="U81" s="89"/>
      <c r="V81" s="573">
        <f>SUM(V79:V80)</f>
        <v>182650.5</v>
      </c>
      <c r="W81" s="89"/>
      <c r="X81" s="89"/>
      <c r="Y81" s="89"/>
      <c r="Z81" s="89"/>
      <c r="AA81" s="516"/>
    </row>
    <row r="82" spans="1:27" ht="15.75">
      <c r="A82" s="89"/>
      <c r="B82" s="89"/>
      <c r="C82" s="89"/>
      <c r="D82" s="89"/>
      <c r="E82" s="89"/>
      <c r="F82" s="89"/>
      <c r="G82" s="89"/>
      <c r="H82" s="89"/>
      <c r="I82" s="89"/>
      <c r="J82" s="89"/>
      <c r="K82" s="89"/>
      <c r="M82" s="89"/>
      <c r="N82" s="89"/>
      <c r="O82" s="89"/>
      <c r="P82" s="89"/>
      <c r="Q82" s="89"/>
      <c r="R82" s="89"/>
      <c r="S82" s="89"/>
      <c r="U82" s="89"/>
      <c r="V82" s="570"/>
      <c r="W82" s="89"/>
      <c r="X82" s="89"/>
      <c r="Y82" s="89"/>
      <c r="Z82" s="89"/>
      <c r="AA82" s="516"/>
    </row>
    <row r="83" spans="1:27" ht="15.75">
      <c r="A83" s="89"/>
      <c r="B83" s="89"/>
      <c r="C83" s="89"/>
      <c r="D83" s="89"/>
      <c r="E83" s="89"/>
      <c r="F83" s="571" t="s">
        <v>1153</v>
      </c>
      <c r="G83" s="89"/>
      <c r="H83" s="89"/>
      <c r="I83" s="89"/>
      <c r="J83" s="89"/>
      <c r="K83" s="89"/>
      <c r="M83" s="89"/>
      <c r="N83" s="89"/>
      <c r="O83" s="89"/>
      <c r="P83" s="89"/>
      <c r="Q83" s="89"/>
      <c r="R83" s="89"/>
      <c r="S83" s="89"/>
      <c r="U83" s="89"/>
      <c r="V83" s="570">
        <f>SUM(V17:V27)</f>
        <v>39720</v>
      </c>
      <c r="W83" s="89"/>
      <c r="X83" s="89"/>
      <c r="Y83" s="89"/>
      <c r="Z83" s="89"/>
      <c r="AA83" s="516"/>
    </row>
    <row r="84" spans="1:27" ht="15.75">
      <c r="A84" s="89"/>
      <c r="B84" s="89"/>
      <c r="C84" s="89"/>
      <c r="D84" s="89"/>
      <c r="E84" s="89"/>
      <c r="F84" s="571"/>
      <c r="G84" s="89"/>
      <c r="H84" s="89"/>
      <c r="I84" s="89"/>
      <c r="J84" s="89"/>
      <c r="K84" s="89"/>
      <c r="M84" s="89"/>
      <c r="N84" s="89"/>
      <c r="O84" s="89"/>
      <c r="P84" s="89"/>
      <c r="Q84" s="89"/>
      <c r="R84" s="89"/>
      <c r="S84" s="89"/>
      <c r="U84" s="89"/>
      <c r="V84" s="572">
        <f>63073-V83</f>
        <v>23353</v>
      </c>
      <c r="W84" s="89"/>
      <c r="X84" s="89"/>
      <c r="Y84" s="89"/>
      <c r="Z84" s="89"/>
      <c r="AA84" s="516"/>
    </row>
    <row r="85" spans="1:27" ht="15.75">
      <c r="A85" s="89"/>
      <c r="B85" s="89"/>
      <c r="C85" s="89"/>
      <c r="D85" s="89"/>
      <c r="E85" s="89"/>
      <c r="F85" s="571"/>
      <c r="G85" s="89"/>
      <c r="H85" s="89"/>
      <c r="I85" s="89"/>
      <c r="J85" s="89"/>
      <c r="K85" s="89"/>
      <c r="M85" s="89"/>
      <c r="N85" s="89"/>
      <c r="O85" s="89"/>
      <c r="P85" s="89"/>
      <c r="Q85" s="89"/>
      <c r="R85" s="89"/>
      <c r="S85" s="89"/>
      <c r="U85" s="89"/>
      <c r="V85" s="570">
        <f>SUM(V83:V84)</f>
        <v>63073</v>
      </c>
      <c r="W85" s="89"/>
      <c r="X85" s="89"/>
      <c r="Y85" s="89"/>
      <c r="Z85" s="89"/>
      <c r="AA85" s="516"/>
    </row>
    <row r="86" spans="1:27" ht="15.75">
      <c r="A86" s="89"/>
      <c r="B86" s="89"/>
      <c r="C86" s="89"/>
      <c r="D86" s="89"/>
      <c r="E86" s="89"/>
      <c r="F86" s="571"/>
      <c r="G86" s="89"/>
      <c r="H86" s="89"/>
      <c r="I86" s="89"/>
      <c r="J86" s="89"/>
      <c r="K86" s="89"/>
      <c r="M86" s="89"/>
      <c r="N86" s="89"/>
      <c r="O86" s="89"/>
      <c r="P86" s="89"/>
      <c r="Q86" s="89"/>
      <c r="R86" s="89"/>
      <c r="S86" s="89"/>
      <c r="U86" s="89"/>
      <c r="V86" s="570"/>
      <c r="W86" s="89"/>
      <c r="X86" s="89"/>
      <c r="Y86" s="89"/>
      <c r="Z86" s="89"/>
      <c r="AA86" s="516"/>
    </row>
    <row r="87" spans="1:27" ht="15.75">
      <c r="A87" s="89"/>
      <c r="B87" s="89"/>
      <c r="C87" s="89"/>
      <c r="D87" s="89"/>
      <c r="E87" s="89"/>
      <c r="F87" s="571" t="s">
        <v>1150</v>
      </c>
      <c r="G87" s="89"/>
      <c r="H87" s="89"/>
      <c r="I87" s="89"/>
      <c r="J87" s="89"/>
      <c r="K87" s="89"/>
      <c r="M87" s="89"/>
      <c r="N87" s="89"/>
      <c r="O87" s="89"/>
      <c r="P87" s="89"/>
      <c r="Q87" s="89"/>
      <c r="R87" s="89"/>
      <c r="S87" s="89"/>
      <c r="U87" s="89"/>
      <c r="V87" s="573">
        <f>SUM(V28:V39)</f>
        <v>7515.36</v>
      </c>
      <c r="W87" s="89"/>
      <c r="X87" s="89"/>
      <c r="Y87" s="89"/>
      <c r="Z87" s="89"/>
      <c r="AA87" s="516"/>
    </row>
    <row r="88" spans="1:27" ht="15.75">
      <c r="A88" s="89"/>
      <c r="B88" s="89"/>
      <c r="C88" s="89"/>
      <c r="D88" s="89"/>
      <c r="E88" s="89"/>
      <c r="F88" s="571" t="s">
        <v>1258</v>
      </c>
      <c r="G88" s="89"/>
      <c r="H88" s="89"/>
      <c r="I88" s="89"/>
      <c r="J88" s="89"/>
      <c r="K88" s="89"/>
      <c r="M88" s="89"/>
      <c r="N88" s="89"/>
      <c r="O88" s="89"/>
      <c r="P88" s="89"/>
      <c r="Q88" s="89"/>
      <c r="R88" s="89"/>
      <c r="S88" s="89"/>
      <c r="U88" s="89"/>
      <c r="V88" s="573">
        <v>-585.46</v>
      </c>
      <c r="W88" s="89"/>
      <c r="X88" s="89"/>
      <c r="Y88" s="89"/>
      <c r="Z88" s="89"/>
      <c r="AA88" s="516"/>
    </row>
    <row r="89" spans="1:27" ht="15.75">
      <c r="A89" s="89"/>
      <c r="B89" s="89"/>
      <c r="C89" s="89"/>
      <c r="D89" s="89"/>
      <c r="E89" s="89"/>
      <c r="F89" s="571" t="s">
        <v>1259</v>
      </c>
      <c r="G89" s="89"/>
      <c r="H89" s="89"/>
      <c r="I89" s="89"/>
      <c r="J89" s="89"/>
      <c r="K89" s="89"/>
      <c r="M89" s="89"/>
      <c r="N89" s="89"/>
      <c r="O89" s="89"/>
      <c r="P89" s="89"/>
      <c r="Q89" s="89"/>
      <c r="R89" s="89"/>
      <c r="S89" s="89"/>
      <c r="U89" s="89"/>
      <c r="V89" s="572">
        <f>8*15.79</f>
        <v>126.32</v>
      </c>
      <c r="W89" s="89"/>
      <c r="X89" s="89"/>
      <c r="Y89" s="89"/>
      <c r="Z89" s="89"/>
      <c r="AA89" s="516"/>
    </row>
    <row r="90" spans="1:27" ht="15.75">
      <c r="A90" s="89"/>
      <c r="B90" s="89"/>
      <c r="C90" s="89"/>
      <c r="D90" s="89"/>
      <c r="E90" s="89"/>
      <c r="F90" s="571"/>
      <c r="G90" s="89"/>
      <c r="H90" s="89"/>
      <c r="I90" s="89"/>
      <c r="J90" s="89"/>
      <c r="K90" s="89"/>
      <c r="M90" s="89"/>
      <c r="N90" s="89"/>
      <c r="O90" s="89"/>
      <c r="P90" s="89"/>
      <c r="Q90" s="89"/>
      <c r="R90" s="89"/>
      <c r="S90" s="89"/>
      <c r="U90" s="89"/>
      <c r="V90" s="574">
        <f>SUM(V87:V89)</f>
        <v>7056.2199999999993</v>
      </c>
      <c r="W90" s="89"/>
      <c r="X90" s="89"/>
      <c r="Y90" s="89"/>
      <c r="Z90" s="89"/>
      <c r="AA90" s="516"/>
    </row>
    <row r="91" spans="1:27" ht="15.75">
      <c r="A91" s="89"/>
      <c r="B91" s="89"/>
      <c r="C91" s="89"/>
      <c r="D91" s="89"/>
      <c r="E91" s="89"/>
      <c r="F91" s="89" t="s">
        <v>1260</v>
      </c>
      <c r="G91" s="89"/>
      <c r="H91" s="89"/>
      <c r="I91" s="89"/>
      <c r="J91" s="89"/>
      <c r="K91" s="89"/>
      <c r="M91" s="89"/>
      <c r="N91" s="89"/>
      <c r="O91" s="89"/>
      <c r="P91" s="89"/>
      <c r="Q91" s="89"/>
      <c r="R91" s="89"/>
      <c r="S91" s="89"/>
      <c r="U91" s="89"/>
      <c r="V91" s="570">
        <f>+V81+V85+V90</f>
        <v>252779.72</v>
      </c>
      <c r="W91" s="89"/>
      <c r="X91" s="89"/>
      <c r="Y91" s="89"/>
      <c r="Z91" s="89"/>
      <c r="AA91" s="516"/>
    </row>
    <row r="92" spans="1:27" ht="15.75">
      <c r="A92" s="89"/>
      <c r="B92" s="89"/>
      <c r="C92" s="89"/>
      <c r="D92" s="89"/>
      <c r="E92" s="89"/>
      <c r="F92" s="89" t="s">
        <v>1261</v>
      </c>
      <c r="G92" s="89"/>
      <c r="H92" s="89"/>
      <c r="I92" s="89"/>
      <c r="J92" s="89"/>
      <c r="K92" s="89"/>
      <c r="L92" s="89"/>
      <c r="M92" s="89"/>
      <c r="N92" s="89"/>
      <c r="O92" s="89"/>
      <c r="P92" s="89"/>
      <c r="Q92" s="89"/>
      <c r="R92" s="89"/>
      <c r="S92" s="89"/>
      <c r="T92" s="89"/>
      <c r="U92" s="89"/>
      <c r="V92" s="572">
        <f>+Z74</f>
        <v>186399.35999999999</v>
      </c>
      <c r="W92" s="89"/>
      <c r="X92" s="89"/>
      <c r="Y92" s="89"/>
      <c r="Z92" s="89"/>
      <c r="AA92" s="516"/>
    </row>
    <row r="93" spans="1:27" ht="15.75">
      <c r="A93" s="89"/>
      <c r="B93" s="89"/>
      <c r="C93" s="89"/>
      <c r="D93" s="89"/>
      <c r="E93" s="89"/>
      <c r="F93" s="89" t="s">
        <v>688</v>
      </c>
      <c r="G93" s="89"/>
      <c r="H93" s="89"/>
      <c r="I93" s="89"/>
      <c r="J93" s="89"/>
      <c r="K93" s="89"/>
      <c r="L93" s="89"/>
      <c r="M93" s="89"/>
      <c r="N93" s="89"/>
      <c r="O93" s="89"/>
      <c r="P93" s="89"/>
      <c r="Q93" s="89"/>
      <c r="R93" s="89"/>
      <c r="S93" s="89"/>
      <c r="T93" s="89"/>
      <c r="U93" s="89"/>
      <c r="V93" s="575">
        <f>+V91-V92</f>
        <v>66380.360000000015</v>
      </c>
      <c r="W93" s="89"/>
      <c r="X93" s="89"/>
      <c r="Y93" s="89"/>
      <c r="Z93" s="89"/>
      <c r="AA93" s="516"/>
    </row>
    <row r="94" spans="1:27" ht="15.7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516"/>
    </row>
    <row r="95" spans="1:27" ht="15.7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516"/>
    </row>
    <row r="96" spans="1:27" ht="15.7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516"/>
    </row>
    <row r="97" spans="1:27" ht="15.7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516"/>
    </row>
    <row r="98" spans="1:27" ht="15.7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516"/>
    </row>
    <row r="99" spans="1:27" ht="15.7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516"/>
    </row>
    <row r="100" spans="1:27" ht="15.7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7" ht="15.7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7" ht="15.7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7" ht="15.7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7" ht="15.7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7" ht="15.7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7" ht="15.7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7" ht="15.7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7" ht="15.7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7" ht="15.7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sheetData>
  <sortState ref="F4:Z72">
    <sortCondition ref="L4:L72"/>
  </sortStat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DA17-5107-46D8-B3E6-896EEA076DDF}">
  <dimension ref="A1:Z41"/>
  <sheetViews>
    <sheetView topLeftCell="A22" workbookViewId="0">
      <selection activeCell="H27" sqref="H27"/>
    </sheetView>
  </sheetViews>
  <sheetFormatPr defaultRowHeight="15"/>
  <cols>
    <col min="1" max="2" width="2.33203125" customWidth="1"/>
    <col min="3" max="3" width="5.6640625" customWidth="1"/>
    <col min="4" max="5" width="1.77734375" customWidth="1"/>
    <col min="6" max="6" width="11.109375" bestFit="1" customWidth="1"/>
    <col min="7" max="7" width="1.77734375" customWidth="1"/>
    <col min="8" max="8" width="8.21875" bestFit="1" customWidth="1"/>
    <col min="9" max="9" width="1.77734375" customWidth="1"/>
    <col min="10" max="10" width="7.88671875" bestFit="1" customWidth="1"/>
    <col min="11" max="11" width="1.77734375" customWidth="1"/>
    <col min="12" max="12" width="20.21875" bestFit="1" customWidth="1"/>
    <col min="13" max="13" width="1.77734375" customWidth="1"/>
    <col min="14" max="14" width="21.44140625" bestFit="1" customWidth="1"/>
    <col min="15" max="15" width="1.77734375" customWidth="1"/>
    <col min="16" max="19" width="0" hidden="1" customWidth="1"/>
    <col min="20" max="20" width="18" bestFit="1" customWidth="1"/>
    <col min="21" max="21" width="1.77734375" customWidth="1"/>
    <col min="22" max="22" width="7.5546875" bestFit="1" customWidth="1"/>
    <col min="23" max="23" width="1.77734375" customWidth="1"/>
    <col min="24" max="24" width="8.21875" bestFit="1" customWidth="1"/>
    <col min="25" max="25" width="1.77734375" customWidth="1"/>
    <col min="26" max="26" width="9.109375" bestFit="1" customWidth="1"/>
  </cols>
  <sheetData>
    <row r="1" spans="1:26" ht="15.75" thickBot="1">
      <c r="A1" s="524"/>
      <c r="B1" s="524"/>
      <c r="C1" s="524"/>
      <c r="D1" s="524"/>
      <c r="E1" s="524"/>
      <c r="F1" s="525" t="s">
        <v>1092</v>
      </c>
      <c r="G1" s="524"/>
      <c r="H1" s="525" t="s">
        <v>1138</v>
      </c>
      <c r="I1" s="524"/>
      <c r="J1" s="525" t="s">
        <v>1139</v>
      </c>
      <c r="K1" s="524"/>
      <c r="L1" s="525" t="s">
        <v>1140</v>
      </c>
      <c r="M1" s="524"/>
      <c r="N1" s="525" t="s">
        <v>1141</v>
      </c>
      <c r="O1" s="524"/>
      <c r="P1" s="525" t="s">
        <v>1142</v>
      </c>
      <c r="Q1" s="524"/>
      <c r="R1" s="525" t="s">
        <v>1143</v>
      </c>
      <c r="S1" s="524"/>
      <c r="T1" s="525" t="s">
        <v>1144</v>
      </c>
      <c r="U1" s="524"/>
      <c r="V1" s="525" t="s">
        <v>1145</v>
      </c>
      <c r="W1" s="524"/>
      <c r="X1" s="525" t="s">
        <v>1146</v>
      </c>
      <c r="Y1" s="524"/>
      <c r="Z1" s="525" t="s">
        <v>1147</v>
      </c>
    </row>
    <row r="2" spans="1:26" ht="15.75" thickTop="1">
      <c r="A2" s="526"/>
      <c r="B2" s="526" t="s">
        <v>275</v>
      </c>
      <c r="C2" s="526"/>
      <c r="D2" s="526"/>
      <c r="E2" s="526"/>
      <c r="F2" s="526"/>
      <c r="G2" s="526"/>
      <c r="H2" s="527"/>
      <c r="I2" s="526"/>
      <c r="J2" s="526"/>
      <c r="K2" s="526"/>
      <c r="L2" s="526"/>
      <c r="M2" s="526"/>
      <c r="N2" s="526"/>
      <c r="O2" s="526"/>
      <c r="P2" s="526"/>
      <c r="Q2" s="526"/>
      <c r="R2" s="526"/>
      <c r="S2" s="526"/>
      <c r="T2" s="526"/>
      <c r="U2" s="526"/>
      <c r="V2" s="528"/>
      <c r="W2" s="526"/>
      <c r="X2" s="528"/>
      <c r="Y2" s="526"/>
      <c r="Z2" s="528"/>
    </row>
    <row r="3" spans="1:26">
      <c r="A3" s="526"/>
      <c r="B3" s="526"/>
      <c r="C3" s="526" t="s">
        <v>286</v>
      </c>
      <c r="D3" s="526"/>
      <c r="E3" s="526"/>
      <c r="F3" s="526"/>
      <c r="G3" s="526"/>
      <c r="H3" s="527"/>
      <c r="I3" s="526"/>
      <c r="J3" s="526"/>
      <c r="K3" s="526"/>
      <c r="L3" s="526"/>
      <c r="M3" s="526"/>
      <c r="N3" s="526"/>
      <c r="O3" s="526"/>
      <c r="P3" s="526"/>
      <c r="Q3" s="526"/>
      <c r="R3" s="526"/>
      <c r="S3" s="526"/>
      <c r="T3" s="526"/>
      <c r="U3" s="526"/>
      <c r="V3" s="528"/>
      <c r="W3" s="526"/>
      <c r="X3" s="528"/>
      <c r="Y3" s="526"/>
      <c r="Z3" s="528"/>
    </row>
    <row r="4" spans="1:26">
      <c r="A4" s="529"/>
      <c r="B4" s="529"/>
      <c r="C4" s="529"/>
      <c r="D4" s="529"/>
      <c r="E4" s="529"/>
      <c r="F4" s="529" t="s">
        <v>1148</v>
      </c>
      <c r="G4" s="529"/>
      <c r="H4" s="530">
        <v>43151</v>
      </c>
      <c r="I4" s="529"/>
      <c r="J4" s="529" t="s">
        <v>1182</v>
      </c>
      <c r="K4" s="529"/>
      <c r="L4" s="529" t="s">
        <v>1183</v>
      </c>
      <c r="M4" s="529"/>
      <c r="N4" s="529" t="s">
        <v>1184</v>
      </c>
      <c r="O4" s="529"/>
      <c r="P4" s="529"/>
      <c r="Q4" s="529"/>
      <c r="R4" s="531"/>
      <c r="S4" s="529"/>
      <c r="T4" s="529" t="s">
        <v>80</v>
      </c>
      <c r="U4" s="529"/>
      <c r="V4" s="532">
        <v>0</v>
      </c>
      <c r="W4" s="529"/>
      <c r="X4" s="532"/>
      <c r="Y4" s="529"/>
      <c r="Z4" s="532">
        <v>5960</v>
      </c>
    </row>
    <row r="5" spans="1:26">
      <c r="A5" s="529"/>
      <c r="B5" s="529"/>
      <c r="C5" s="529"/>
      <c r="D5" s="529"/>
      <c r="E5" s="529"/>
      <c r="F5" s="529" t="s">
        <v>1185</v>
      </c>
      <c r="G5" s="529"/>
      <c r="H5" s="530">
        <v>43151</v>
      </c>
      <c r="I5" s="529"/>
      <c r="J5" s="529"/>
      <c r="K5" s="529"/>
      <c r="L5" s="529" t="s">
        <v>1183</v>
      </c>
      <c r="M5" s="529"/>
      <c r="N5" s="529"/>
      <c r="O5" s="529"/>
      <c r="P5" s="529" t="s">
        <v>1151</v>
      </c>
      <c r="Q5" s="529"/>
      <c r="R5" s="531"/>
      <c r="S5" s="529"/>
      <c r="T5" s="529" t="s">
        <v>86</v>
      </c>
      <c r="U5" s="529"/>
      <c r="V5" s="532">
        <v>255</v>
      </c>
      <c r="W5" s="529"/>
      <c r="X5" s="532"/>
      <c r="Y5" s="529"/>
      <c r="Z5" s="532">
        <v>6715</v>
      </c>
    </row>
    <row r="6" spans="1:26">
      <c r="A6" s="529"/>
      <c r="B6" s="529"/>
      <c r="C6" s="529"/>
      <c r="D6" s="529"/>
      <c r="E6" s="529"/>
      <c r="F6" s="529" t="s">
        <v>1148</v>
      </c>
      <c r="G6" s="529"/>
      <c r="H6" s="530">
        <v>43171</v>
      </c>
      <c r="I6" s="529"/>
      <c r="J6" s="529" t="s">
        <v>1182</v>
      </c>
      <c r="K6" s="529"/>
      <c r="L6" s="529" t="s">
        <v>1183</v>
      </c>
      <c r="M6" s="529"/>
      <c r="N6" s="529"/>
      <c r="O6" s="529"/>
      <c r="P6" s="529"/>
      <c r="Q6" s="529"/>
      <c r="R6" s="531"/>
      <c r="S6" s="529"/>
      <c r="T6" s="529" t="s">
        <v>80</v>
      </c>
      <c r="U6" s="529"/>
      <c r="V6" s="532">
        <v>0</v>
      </c>
      <c r="W6" s="529"/>
      <c r="X6" s="532"/>
      <c r="Y6" s="529"/>
      <c r="Z6" s="532">
        <v>9365</v>
      </c>
    </row>
    <row r="7" spans="1:26">
      <c r="A7" s="529"/>
      <c r="B7" s="529"/>
      <c r="C7" s="529"/>
      <c r="D7" s="529"/>
      <c r="E7" s="529"/>
      <c r="F7" s="529" t="s">
        <v>1148</v>
      </c>
      <c r="G7" s="529"/>
      <c r="H7" s="530">
        <v>43193</v>
      </c>
      <c r="I7" s="529"/>
      <c r="J7" s="529" t="s">
        <v>1182</v>
      </c>
      <c r="K7" s="529"/>
      <c r="L7" s="529" t="s">
        <v>1183</v>
      </c>
      <c r="M7" s="529"/>
      <c r="N7" s="529"/>
      <c r="O7" s="529"/>
      <c r="P7" s="529"/>
      <c r="Q7" s="529"/>
      <c r="R7" s="531"/>
      <c r="S7" s="529"/>
      <c r="T7" s="529" t="s">
        <v>80</v>
      </c>
      <c r="U7" s="529"/>
      <c r="V7" s="532">
        <v>0</v>
      </c>
      <c r="W7" s="529"/>
      <c r="X7" s="532"/>
      <c r="Y7" s="529"/>
      <c r="Z7" s="532">
        <v>12353</v>
      </c>
    </row>
    <row r="8" spans="1:26">
      <c r="A8" s="529"/>
      <c r="B8" s="529"/>
      <c r="C8" s="529"/>
      <c r="D8" s="529"/>
      <c r="E8" s="529"/>
      <c r="F8" s="529" t="s">
        <v>1148</v>
      </c>
      <c r="G8" s="529"/>
      <c r="H8" s="530">
        <v>43202</v>
      </c>
      <c r="I8" s="529"/>
      <c r="J8" s="529" t="s">
        <v>1182</v>
      </c>
      <c r="K8" s="529"/>
      <c r="L8" s="529" t="s">
        <v>1183</v>
      </c>
      <c r="M8" s="529"/>
      <c r="N8" s="529"/>
      <c r="O8" s="529"/>
      <c r="P8" s="529"/>
      <c r="Q8" s="529"/>
      <c r="R8" s="531"/>
      <c r="S8" s="529"/>
      <c r="T8" s="529" t="s">
        <v>80</v>
      </c>
      <c r="U8" s="529"/>
      <c r="V8" s="532">
        <v>0</v>
      </c>
      <c r="W8" s="529"/>
      <c r="X8" s="532"/>
      <c r="Y8" s="529"/>
      <c r="Z8" s="532">
        <v>12353</v>
      </c>
    </row>
    <row r="9" spans="1:26">
      <c r="A9" s="529"/>
      <c r="B9" s="529"/>
      <c r="C9" s="529"/>
      <c r="D9" s="529"/>
      <c r="E9" s="529"/>
      <c r="F9" s="529" t="s">
        <v>1185</v>
      </c>
      <c r="G9" s="529"/>
      <c r="H9" s="530">
        <v>43140</v>
      </c>
      <c r="I9" s="529"/>
      <c r="J9" s="529"/>
      <c r="K9" s="529"/>
      <c r="L9" s="529" t="s">
        <v>1186</v>
      </c>
      <c r="M9" s="529"/>
      <c r="N9" s="529"/>
      <c r="O9" s="529"/>
      <c r="P9" s="529" t="s">
        <v>1151</v>
      </c>
      <c r="Q9" s="529"/>
      <c r="R9" s="531"/>
      <c r="S9" s="529"/>
      <c r="T9" s="529" t="s">
        <v>86</v>
      </c>
      <c r="U9" s="529"/>
      <c r="V9" s="532">
        <v>660</v>
      </c>
      <c r="W9" s="529"/>
      <c r="X9" s="532"/>
      <c r="Y9" s="529"/>
      <c r="Z9" s="532">
        <v>5960</v>
      </c>
    </row>
    <row r="10" spans="1:26">
      <c r="A10" s="529"/>
      <c r="B10" s="529"/>
      <c r="C10" s="529"/>
      <c r="D10" s="529"/>
      <c r="E10" s="529"/>
      <c r="F10" s="529" t="s">
        <v>1185</v>
      </c>
      <c r="G10" s="529"/>
      <c r="H10" s="530">
        <v>43151</v>
      </c>
      <c r="I10" s="529"/>
      <c r="J10" s="529" t="s">
        <v>1182</v>
      </c>
      <c r="K10" s="529"/>
      <c r="L10" s="529" t="s">
        <v>1187</v>
      </c>
      <c r="M10" s="529"/>
      <c r="N10" s="529"/>
      <c r="O10" s="529"/>
      <c r="P10" s="529" t="s">
        <v>1151</v>
      </c>
      <c r="Q10" s="529"/>
      <c r="R10" s="531"/>
      <c r="S10" s="529"/>
      <c r="T10" s="529" t="s">
        <v>85</v>
      </c>
      <c r="U10" s="529"/>
      <c r="V10" s="532">
        <v>500</v>
      </c>
      <c r="W10" s="529"/>
      <c r="X10" s="532"/>
      <c r="Y10" s="529"/>
      <c r="Z10" s="532">
        <v>6460</v>
      </c>
    </row>
    <row r="11" spans="1:26">
      <c r="A11" s="529"/>
      <c r="B11" s="529"/>
      <c r="C11" s="529"/>
      <c r="D11" s="529"/>
      <c r="E11" s="529"/>
      <c r="F11" s="529" t="s">
        <v>1148</v>
      </c>
      <c r="G11" s="529"/>
      <c r="H11" s="530">
        <v>43374</v>
      </c>
      <c r="I11" s="529"/>
      <c r="J11" s="529" t="s">
        <v>1188</v>
      </c>
      <c r="K11" s="529"/>
      <c r="L11" s="529" t="s">
        <v>1189</v>
      </c>
      <c r="M11" s="529"/>
      <c r="N11" s="529" t="s">
        <v>1190</v>
      </c>
      <c r="O11" s="529"/>
      <c r="P11" s="529" t="s">
        <v>1151</v>
      </c>
      <c r="Q11" s="529"/>
      <c r="R11" s="531"/>
      <c r="S11" s="529"/>
      <c r="T11" s="529" t="s">
        <v>80</v>
      </c>
      <c r="U11" s="529"/>
      <c r="V11" s="532">
        <v>600</v>
      </c>
      <c r="W11" s="529"/>
      <c r="X11" s="532"/>
      <c r="Y11" s="529"/>
      <c r="Z11" s="532">
        <v>26723</v>
      </c>
    </row>
    <row r="12" spans="1:26">
      <c r="A12" s="529"/>
      <c r="B12" s="529"/>
      <c r="C12" s="529"/>
      <c r="D12" s="529"/>
      <c r="E12" s="529"/>
      <c r="F12" s="529" t="s">
        <v>1148</v>
      </c>
      <c r="G12" s="529"/>
      <c r="H12" s="530">
        <v>43185</v>
      </c>
      <c r="I12" s="529"/>
      <c r="J12" s="529" t="s">
        <v>1182</v>
      </c>
      <c r="K12" s="529"/>
      <c r="L12" s="529" t="s">
        <v>1191</v>
      </c>
      <c r="M12" s="529"/>
      <c r="N12" s="529"/>
      <c r="O12" s="529"/>
      <c r="P12" s="529" t="s">
        <v>1151</v>
      </c>
      <c r="Q12" s="529"/>
      <c r="R12" s="531"/>
      <c r="S12" s="529"/>
      <c r="T12" s="529" t="s">
        <v>80</v>
      </c>
      <c r="U12" s="529"/>
      <c r="V12" s="532">
        <v>338</v>
      </c>
      <c r="W12" s="529"/>
      <c r="X12" s="532"/>
      <c r="Y12" s="529"/>
      <c r="Z12" s="532">
        <v>9703</v>
      </c>
    </row>
    <row r="13" spans="1:26">
      <c r="A13" s="529"/>
      <c r="B13" s="529"/>
      <c r="C13" s="529"/>
      <c r="D13" s="529"/>
      <c r="E13" s="529"/>
      <c r="F13" s="529" t="s">
        <v>1148</v>
      </c>
      <c r="G13" s="529"/>
      <c r="H13" s="530">
        <v>43282</v>
      </c>
      <c r="I13" s="529"/>
      <c r="J13" s="529" t="s">
        <v>1192</v>
      </c>
      <c r="K13" s="529"/>
      <c r="L13" s="529" t="s">
        <v>1193</v>
      </c>
      <c r="M13" s="529"/>
      <c r="N13" s="529"/>
      <c r="O13" s="529"/>
      <c r="P13" s="529" t="s">
        <v>1151</v>
      </c>
      <c r="Q13" s="529"/>
      <c r="R13" s="531"/>
      <c r="S13" s="529"/>
      <c r="T13" s="529" t="s">
        <v>80</v>
      </c>
      <c r="U13" s="529"/>
      <c r="V13" s="532">
        <v>500</v>
      </c>
      <c r="W13" s="529"/>
      <c r="X13" s="532"/>
      <c r="Y13" s="529"/>
      <c r="Z13" s="532">
        <v>20563</v>
      </c>
    </row>
    <row r="14" spans="1:26">
      <c r="A14" s="529"/>
      <c r="B14" s="529"/>
      <c r="C14" s="529"/>
      <c r="D14" s="529"/>
      <c r="E14" s="529"/>
      <c r="F14" s="529" t="s">
        <v>1148</v>
      </c>
      <c r="G14" s="529"/>
      <c r="H14" s="530">
        <v>43101</v>
      </c>
      <c r="I14" s="529"/>
      <c r="J14" s="529" t="s">
        <v>1194</v>
      </c>
      <c r="K14" s="529"/>
      <c r="L14" s="529" t="s">
        <v>1195</v>
      </c>
      <c r="M14" s="529"/>
      <c r="N14" s="529"/>
      <c r="O14" s="529"/>
      <c r="P14" s="529" t="s">
        <v>1151</v>
      </c>
      <c r="Q14" s="529"/>
      <c r="R14" s="531"/>
      <c r="S14" s="529"/>
      <c r="T14" s="529" t="s">
        <v>80</v>
      </c>
      <c r="U14" s="529"/>
      <c r="V14" s="532">
        <v>2650</v>
      </c>
      <c r="W14" s="529"/>
      <c r="X14" s="532"/>
      <c r="Y14" s="529"/>
      <c r="Z14" s="532">
        <v>2650</v>
      </c>
    </row>
    <row r="15" spans="1:26">
      <c r="A15" s="529"/>
      <c r="B15" s="529"/>
      <c r="C15" s="529"/>
      <c r="D15" s="529"/>
      <c r="E15" s="529"/>
      <c r="F15" s="529" t="s">
        <v>1148</v>
      </c>
      <c r="G15" s="529"/>
      <c r="H15" s="530">
        <v>43132</v>
      </c>
      <c r="I15" s="529"/>
      <c r="J15" s="529" t="s">
        <v>1196</v>
      </c>
      <c r="K15" s="529"/>
      <c r="L15" s="529" t="s">
        <v>1195</v>
      </c>
      <c r="M15" s="529"/>
      <c r="N15" s="529"/>
      <c r="O15" s="529"/>
      <c r="P15" s="529" t="s">
        <v>1151</v>
      </c>
      <c r="Q15" s="529"/>
      <c r="R15" s="531"/>
      <c r="S15" s="529"/>
      <c r="T15" s="529" t="s">
        <v>80</v>
      </c>
      <c r="U15" s="529"/>
      <c r="V15" s="532">
        <v>2650</v>
      </c>
      <c r="W15" s="529"/>
      <c r="X15" s="532"/>
      <c r="Y15" s="529"/>
      <c r="Z15" s="532">
        <v>5300</v>
      </c>
    </row>
    <row r="16" spans="1:26">
      <c r="A16" s="529"/>
      <c r="B16" s="529"/>
      <c r="C16" s="529"/>
      <c r="D16" s="529"/>
      <c r="E16" s="529"/>
      <c r="F16" s="529" t="s">
        <v>1148</v>
      </c>
      <c r="G16" s="529"/>
      <c r="H16" s="530">
        <v>43160</v>
      </c>
      <c r="I16" s="529"/>
      <c r="J16" s="529" t="s">
        <v>1197</v>
      </c>
      <c r="K16" s="529"/>
      <c r="L16" s="529" t="s">
        <v>1195</v>
      </c>
      <c r="M16" s="529"/>
      <c r="N16" s="529"/>
      <c r="O16" s="529"/>
      <c r="P16" s="529" t="s">
        <v>1151</v>
      </c>
      <c r="Q16" s="529"/>
      <c r="R16" s="531"/>
      <c r="S16" s="529"/>
      <c r="T16" s="529" t="s">
        <v>80</v>
      </c>
      <c r="U16" s="529"/>
      <c r="V16" s="532">
        <v>2650</v>
      </c>
      <c r="W16" s="529"/>
      <c r="X16" s="532"/>
      <c r="Y16" s="529"/>
      <c r="Z16" s="532">
        <v>9365</v>
      </c>
    </row>
    <row r="17" spans="1:26">
      <c r="A17" s="529"/>
      <c r="B17" s="529"/>
      <c r="C17" s="529"/>
      <c r="D17" s="529"/>
      <c r="E17" s="529"/>
      <c r="F17" s="529" t="s">
        <v>1148</v>
      </c>
      <c r="G17" s="529"/>
      <c r="H17" s="530">
        <v>43191</v>
      </c>
      <c r="I17" s="529"/>
      <c r="J17" s="529" t="s">
        <v>1198</v>
      </c>
      <c r="K17" s="529"/>
      <c r="L17" s="529" t="s">
        <v>1195</v>
      </c>
      <c r="M17" s="529"/>
      <c r="N17" s="529"/>
      <c r="O17" s="529"/>
      <c r="P17" s="529" t="s">
        <v>1151</v>
      </c>
      <c r="Q17" s="529"/>
      <c r="R17" s="531"/>
      <c r="S17" s="529"/>
      <c r="T17" s="529" t="s">
        <v>80</v>
      </c>
      <c r="U17" s="529"/>
      <c r="V17" s="532">
        <v>2650</v>
      </c>
      <c r="W17" s="529"/>
      <c r="X17" s="532"/>
      <c r="Y17" s="529"/>
      <c r="Z17" s="532">
        <v>12353</v>
      </c>
    </row>
    <row r="18" spans="1:26">
      <c r="A18" s="529"/>
      <c r="B18" s="529"/>
      <c r="C18" s="529"/>
      <c r="D18" s="529"/>
      <c r="E18" s="529"/>
      <c r="F18" s="529" t="s">
        <v>1148</v>
      </c>
      <c r="G18" s="529"/>
      <c r="H18" s="530">
        <v>43221</v>
      </c>
      <c r="I18" s="529"/>
      <c r="J18" s="529" t="s">
        <v>1160</v>
      </c>
      <c r="K18" s="529"/>
      <c r="L18" s="529" t="s">
        <v>1195</v>
      </c>
      <c r="M18" s="529"/>
      <c r="N18" s="529"/>
      <c r="O18" s="529"/>
      <c r="P18" s="529" t="s">
        <v>1151</v>
      </c>
      <c r="Q18" s="529"/>
      <c r="R18" s="531"/>
      <c r="S18" s="529"/>
      <c r="T18" s="529" t="s">
        <v>80</v>
      </c>
      <c r="U18" s="529"/>
      <c r="V18" s="532">
        <v>2650</v>
      </c>
      <c r="W18" s="529"/>
      <c r="X18" s="532"/>
      <c r="Y18" s="529"/>
      <c r="Z18" s="532">
        <v>15003</v>
      </c>
    </row>
    <row r="19" spans="1:26">
      <c r="A19" s="529"/>
      <c r="B19" s="529"/>
      <c r="C19" s="529"/>
      <c r="D19" s="529"/>
      <c r="E19" s="529"/>
      <c r="F19" s="529" t="s">
        <v>1148</v>
      </c>
      <c r="G19" s="529"/>
      <c r="H19" s="530">
        <v>43252</v>
      </c>
      <c r="I19" s="529"/>
      <c r="J19" s="529" t="s">
        <v>1199</v>
      </c>
      <c r="K19" s="529"/>
      <c r="L19" s="529" t="s">
        <v>1195</v>
      </c>
      <c r="M19" s="529"/>
      <c r="N19" s="529"/>
      <c r="O19" s="529"/>
      <c r="P19" s="529" t="s">
        <v>1151</v>
      </c>
      <c r="Q19" s="529"/>
      <c r="R19" s="531"/>
      <c r="S19" s="529"/>
      <c r="T19" s="529" t="s">
        <v>80</v>
      </c>
      <c r="U19" s="529"/>
      <c r="V19" s="532">
        <v>2530</v>
      </c>
      <c r="W19" s="529"/>
      <c r="X19" s="532"/>
      <c r="Y19" s="529"/>
      <c r="Z19" s="532">
        <v>17533</v>
      </c>
    </row>
    <row r="20" spans="1:26">
      <c r="A20" s="529"/>
      <c r="B20" s="529"/>
      <c r="C20" s="529"/>
      <c r="D20" s="529"/>
      <c r="E20" s="529"/>
      <c r="F20" s="529" t="s">
        <v>1148</v>
      </c>
      <c r="G20" s="529"/>
      <c r="H20" s="530">
        <v>43282</v>
      </c>
      <c r="I20" s="529"/>
      <c r="J20" s="529" t="s">
        <v>1200</v>
      </c>
      <c r="K20" s="529"/>
      <c r="L20" s="529" t="s">
        <v>1195</v>
      </c>
      <c r="M20" s="529"/>
      <c r="N20" s="529"/>
      <c r="O20" s="529"/>
      <c r="P20" s="529" t="s">
        <v>1151</v>
      </c>
      <c r="Q20" s="529"/>
      <c r="R20" s="531"/>
      <c r="S20" s="529"/>
      <c r="T20" s="529" t="s">
        <v>80</v>
      </c>
      <c r="U20" s="529"/>
      <c r="V20" s="532">
        <v>2530</v>
      </c>
      <c r="W20" s="529"/>
      <c r="X20" s="532"/>
      <c r="Y20" s="529"/>
      <c r="Z20" s="532">
        <v>20063</v>
      </c>
    </row>
    <row r="21" spans="1:26">
      <c r="A21" s="529"/>
      <c r="B21" s="529"/>
      <c r="C21" s="529"/>
      <c r="D21" s="529"/>
      <c r="E21" s="529"/>
      <c r="F21" s="529" t="s">
        <v>1148</v>
      </c>
      <c r="G21" s="529"/>
      <c r="H21" s="530">
        <v>43313</v>
      </c>
      <c r="I21" s="529"/>
      <c r="J21" s="529" t="s">
        <v>1201</v>
      </c>
      <c r="K21" s="529"/>
      <c r="L21" s="529" t="s">
        <v>1195</v>
      </c>
      <c r="M21" s="529"/>
      <c r="N21" s="529"/>
      <c r="O21" s="529"/>
      <c r="P21" s="529" t="s">
        <v>1151</v>
      </c>
      <c r="Q21" s="529"/>
      <c r="R21" s="531"/>
      <c r="S21" s="529"/>
      <c r="T21" s="529" t="s">
        <v>80</v>
      </c>
      <c r="U21" s="529"/>
      <c r="V21" s="532">
        <v>2530</v>
      </c>
      <c r="W21" s="529"/>
      <c r="X21" s="532"/>
      <c r="Y21" s="529"/>
      <c r="Z21" s="532">
        <v>23093</v>
      </c>
    </row>
    <row r="22" spans="1:26">
      <c r="A22" s="529"/>
      <c r="B22" s="529"/>
      <c r="C22" s="529"/>
      <c r="D22" s="529"/>
      <c r="E22" s="529"/>
      <c r="F22" s="529" t="s">
        <v>1148</v>
      </c>
      <c r="G22" s="529"/>
      <c r="H22" s="530">
        <v>43344</v>
      </c>
      <c r="I22" s="529"/>
      <c r="J22" s="529" t="s">
        <v>1202</v>
      </c>
      <c r="K22" s="529"/>
      <c r="L22" s="529" t="s">
        <v>1195</v>
      </c>
      <c r="M22" s="529"/>
      <c r="N22" s="529"/>
      <c r="O22" s="529"/>
      <c r="P22" s="529" t="s">
        <v>1151</v>
      </c>
      <c r="Q22" s="529"/>
      <c r="R22" s="531"/>
      <c r="S22" s="529"/>
      <c r="T22" s="529" t="s">
        <v>80</v>
      </c>
      <c r="U22" s="529"/>
      <c r="V22" s="532">
        <v>2530</v>
      </c>
      <c r="W22" s="529"/>
      <c r="X22" s="532"/>
      <c r="Y22" s="529"/>
      <c r="Z22" s="532">
        <v>25623</v>
      </c>
    </row>
    <row r="23" spans="1:26">
      <c r="A23" s="529"/>
      <c r="B23" s="529"/>
      <c r="C23" s="529"/>
      <c r="D23" s="529"/>
      <c r="E23" s="529"/>
      <c r="F23" s="529" t="s">
        <v>1148</v>
      </c>
      <c r="G23" s="529"/>
      <c r="H23" s="530">
        <v>43370</v>
      </c>
      <c r="I23" s="529"/>
      <c r="J23" s="529" t="s">
        <v>1203</v>
      </c>
      <c r="K23" s="529"/>
      <c r="L23" s="529" t="s">
        <v>1195</v>
      </c>
      <c r="M23" s="529"/>
      <c r="N23" s="529" t="s">
        <v>1220</v>
      </c>
      <c r="O23" s="529"/>
      <c r="P23" s="529" t="s">
        <v>1151</v>
      </c>
      <c r="Q23" s="529"/>
      <c r="R23" s="531"/>
      <c r="S23" s="529"/>
      <c r="T23" s="529" t="s">
        <v>80</v>
      </c>
      <c r="U23" s="529"/>
      <c r="V23" s="532">
        <v>500</v>
      </c>
      <c r="W23" s="529"/>
      <c r="X23" s="532"/>
      <c r="Y23" s="529"/>
      <c r="Z23" s="532">
        <v>26123</v>
      </c>
    </row>
    <row r="24" spans="1:26">
      <c r="A24" s="529"/>
      <c r="B24" s="529"/>
      <c r="C24" s="529"/>
      <c r="D24" s="529"/>
      <c r="E24" s="529"/>
      <c r="F24" s="529" t="s">
        <v>1148</v>
      </c>
      <c r="G24" s="529"/>
      <c r="H24" s="530">
        <v>43374</v>
      </c>
      <c r="I24" s="529"/>
      <c r="J24" s="529" t="s">
        <v>1204</v>
      </c>
      <c r="K24" s="529"/>
      <c r="L24" s="529" t="s">
        <v>1195</v>
      </c>
      <c r="M24" s="529"/>
      <c r="N24" s="529"/>
      <c r="O24" s="529"/>
      <c r="P24" s="529" t="s">
        <v>1151</v>
      </c>
      <c r="Q24" s="529"/>
      <c r="R24" s="531"/>
      <c r="S24" s="529"/>
      <c r="T24" s="529" t="s">
        <v>80</v>
      </c>
      <c r="U24" s="529"/>
      <c r="V24" s="532">
        <v>2530</v>
      </c>
      <c r="W24" s="529"/>
      <c r="X24" s="532"/>
      <c r="Y24" s="529"/>
      <c r="Z24" s="532">
        <v>29253</v>
      </c>
    </row>
    <row r="25" spans="1:26">
      <c r="A25" s="529"/>
      <c r="B25" s="529"/>
      <c r="C25" s="529"/>
      <c r="D25" s="529"/>
      <c r="E25" s="529"/>
      <c r="F25" s="529" t="s">
        <v>1148</v>
      </c>
      <c r="G25" s="529"/>
      <c r="H25" s="530">
        <v>43405</v>
      </c>
      <c r="I25" s="529"/>
      <c r="J25" s="529" t="s">
        <v>1205</v>
      </c>
      <c r="K25" s="529"/>
      <c r="L25" s="529" t="s">
        <v>1195</v>
      </c>
      <c r="M25" s="529"/>
      <c r="N25" s="529"/>
      <c r="O25" s="529"/>
      <c r="P25" s="529" t="s">
        <v>1151</v>
      </c>
      <c r="Q25" s="529"/>
      <c r="R25" s="531"/>
      <c r="S25" s="529"/>
      <c r="T25" s="529" t="s">
        <v>80</v>
      </c>
      <c r="U25" s="529"/>
      <c r="V25" s="532">
        <v>2530</v>
      </c>
      <c r="W25" s="529"/>
      <c r="X25" s="532"/>
      <c r="Y25" s="529"/>
      <c r="Z25" s="532">
        <v>31783</v>
      </c>
    </row>
    <row r="26" spans="1:26">
      <c r="A26" s="529"/>
      <c r="B26" s="529"/>
      <c r="C26" s="529"/>
      <c r="D26" s="529"/>
      <c r="E26" s="529"/>
      <c r="F26" s="529" t="s">
        <v>1148</v>
      </c>
      <c r="G26" s="529"/>
      <c r="H26" s="530">
        <v>43435</v>
      </c>
      <c r="I26" s="529"/>
      <c r="J26" s="529" t="s">
        <v>1206</v>
      </c>
      <c r="K26" s="529"/>
      <c r="L26" s="529" t="s">
        <v>1195</v>
      </c>
      <c r="M26" s="529"/>
      <c r="N26" s="529"/>
      <c r="O26" s="529"/>
      <c r="P26" s="529" t="s">
        <v>1151</v>
      </c>
      <c r="Q26" s="529"/>
      <c r="R26" s="531"/>
      <c r="S26" s="529"/>
      <c r="T26" s="529" t="s">
        <v>80</v>
      </c>
      <c r="U26" s="529"/>
      <c r="V26" s="532">
        <v>2530</v>
      </c>
      <c r="W26" s="529"/>
      <c r="X26" s="532"/>
      <c r="Y26" s="529"/>
      <c r="Z26" s="532">
        <v>34313</v>
      </c>
    </row>
    <row r="27" spans="1:26">
      <c r="A27" s="529"/>
      <c r="B27" s="529"/>
      <c r="C27" s="529"/>
      <c r="D27" s="529"/>
      <c r="E27" s="529"/>
      <c r="F27" s="529" t="s">
        <v>1148</v>
      </c>
      <c r="G27" s="529"/>
      <c r="H27" s="530">
        <v>43191</v>
      </c>
      <c r="I27" s="529"/>
      <c r="J27" s="529" t="s">
        <v>1207</v>
      </c>
      <c r="K27" s="529"/>
      <c r="L27" s="529" t="s">
        <v>1208</v>
      </c>
      <c r="M27" s="529"/>
      <c r="N27" s="529"/>
      <c r="O27" s="529"/>
      <c r="P27" s="529"/>
      <c r="Q27" s="529"/>
      <c r="R27" s="531"/>
      <c r="S27" s="529"/>
      <c r="T27" s="529" t="s">
        <v>80</v>
      </c>
      <c r="U27" s="529"/>
      <c r="V27" s="532">
        <v>0</v>
      </c>
      <c r="W27" s="529"/>
      <c r="X27" s="532"/>
      <c r="Y27" s="529"/>
      <c r="Z27" s="532">
        <v>12353</v>
      </c>
    </row>
    <row r="28" spans="1:26">
      <c r="A28" s="529"/>
      <c r="B28" s="529"/>
      <c r="C28" s="529"/>
      <c r="D28" s="529"/>
      <c r="E28" s="529"/>
      <c r="F28" s="529" t="s">
        <v>1148</v>
      </c>
      <c r="G28" s="529"/>
      <c r="H28" s="530">
        <v>43221</v>
      </c>
      <c r="I28" s="529"/>
      <c r="J28" s="529" t="s">
        <v>1209</v>
      </c>
      <c r="K28" s="529"/>
      <c r="L28" s="529" t="s">
        <v>1208</v>
      </c>
      <c r="M28" s="529"/>
      <c r="N28" s="529"/>
      <c r="O28" s="529"/>
      <c r="P28" s="529"/>
      <c r="Q28" s="529"/>
      <c r="R28" s="531"/>
      <c r="S28" s="529"/>
      <c r="T28" s="529" t="s">
        <v>80</v>
      </c>
      <c r="U28" s="529"/>
      <c r="V28" s="532">
        <v>0</v>
      </c>
      <c r="W28" s="529"/>
      <c r="X28" s="532"/>
      <c r="Y28" s="529"/>
      <c r="Z28" s="532">
        <v>15003</v>
      </c>
    </row>
    <row r="29" spans="1:26">
      <c r="A29" s="529"/>
      <c r="B29" s="529"/>
      <c r="C29" s="529"/>
      <c r="D29" s="529"/>
      <c r="E29" s="529"/>
      <c r="F29" s="529" t="s">
        <v>1148</v>
      </c>
      <c r="G29" s="529"/>
      <c r="H29" s="530">
        <v>43252</v>
      </c>
      <c r="I29" s="529"/>
      <c r="J29" s="529" t="s">
        <v>1210</v>
      </c>
      <c r="K29" s="529"/>
      <c r="L29" s="529" t="s">
        <v>1208</v>
      </c>
      <c r="M29" s="529"/>
      <c r="N29" s="529"/>
      <c r="O29" s="529"/>
      <c r="P29" s="529"/>
      <c r="Q29" s="529"/>
      <c r="R29" s="531"/>
      <c r="S29" s="529"/>
      <c r="T29" s="529" t="s">
        <v>80</v>
      </c>
      <c r="U29" s="529"/>
      <c r="V29" s="532">
        <v>0</v>
      </c>
      <c r="W29" s="529"/>
      <c r="X29" s="532"/>
      <c r="Y29" s="529"/>
      <c r="Z29" s="532">
        <v>17533</v>
      </c>
    </row>
    <row r="30" spans="1:26">
      <c r="A30" s="529"/>
      <c r="B30" s="529"/>
      <c r="C30" s="529"/>
      <c r="D30" s="529"/>
      <c r="E30" s="529"/>
      <c r="F30" s="529" t="s">
        <v>1148</v>
      </c>
      <c r="G30" s="529"/>
      <c r="H30" s="530">
        <v>43282</v>
      </c>
      <c r="I30" s="529"/>
      <c r="J30" s="529" t="s">
        <v>1211</v>
      </c>
      <c r="K30" s="529"/>
      <c r="L30" s="529" t="s">
        <v>1208</v>
      </c>
      <c r="M30" s="529"/>
      <c r="N30" s="529"/>
      <c r="O30" s="529"/>
      <c r="P30" s="529"/>
      <c r="Q30" s="529"/>
      <c r="R30" s="531"/>
      <c r="S30" s="529"/>
      <c r="T30" s="529" t="s">
        <v>80</v>
      </c>
      <c r="U30" s="529"/>
      <c r="V30" s="532">
        <v>0</v>
      </c>
      <c r="W30" s="529"/>
      <c r="X30" s="532"/>
      <c r="Y30" s="529"/>
      <c r="Z30" s="532">
        <v>20063</v>
      </c>
    </row>
    <row r="31" spans="1:26">
      <c r="A31" s="529"/>
      <c r="B31" s="529"/>
      <c r="C31" s="529"/>
      <c r="D31" s="529"/>
      <c r="E31" s="529"/>
      <c r="F31" s="529" t="s">
        <v>1148</v>
      </c>
      <c r="G31" s="529"/>
      <c r="H31" s="530">
        <v>43318</v>
      </c>
      <c r="I31" s="529"/>
      <c r="J31" s="529" t="s">
        <v>1212</v>
      </c>
      <c r="K31" s="529"/>
      <c r="L31" s="529" t="s">
        <v>1208</v>
      </c>
      <c r="M31" s="529"/>
      <c r="N31" s="529"/>
      <c r="O31" s="529"/>
      <c r="P31" s="529"/>
      <c r="Q31" s="529"/>
      <c r="R31" s="531"/>
      <c r="S31" s="529"/>
      <c r="T31" s="529" t="s">
        <v>80</v>
      </c>
      <c r="U31" s="529"/>
      <c r="V31" s="532">
        <v>0</v>
      </c>
      <c r="W31" s="529"/>
      <c r="X31" s="532"/>
      <c r="Y31" s="529"/>
      <c r="Z31" s="532">
        <v>23093</v>
      </c>
    </row>
    <row r="32" spans="1:26">
      <c r="A32" s="529"/>
      <c r="B32" s="529"/>
      <c r="C32" s="529"/>
      <c r="D32" s="529"/>
      <c r="E32" s="529"/>
      <c r="F32" s="529" t="s">
        <v>1148</v>
      </c>
      <c r="G32" s="529"/>
      <c r="H32" s="530">
        <v>43353</v>
      </c>
      <c r="I32" s="529"/>
      <c r="J32" s="529" t="s">
        <v>1213</v>
      </c>
      <c r="K32" s="529"/>
      <c r="L32" s="529" t="s">
        <v>1208</v>
      </c>
      <c r="M32" s="529"/>
      <c r="N32" s="529"/>
      <c r="O32" s="529"/>
      <c r="P32" s="529"/>
      <c r="Q32" s="529"/>
      <c r="R32" s="531"/>
      <c r="S32" s="529"/>
      <c r="T32" s="529" t="s">
        <v>80</v>
      </c>
      <c r="U32" s="529"/>
      <c r="V32" s="532">
        <v>0</v>
      </c>
      <c r="W32" s="529"/>
      <c r="X32" s="532"/>
      <c r="Y32" s="529"/>
      <c r="Z32" s="532">
        <v>25623</v>
      </c>
    </row>
    <row r="33" spans="1:26">
      <c r="A33" s="529"/>
      <c r="B33" s="529"/>
      <c r="C33" s="529"/>
      <c r="D33" s="529"/>
      <c r="E33" s="529"/>
      <c r="F33" s="529" t="s">
        <v>1148</v>
      </c>
      <c r="G33" s="529"/>
      <c r="H33" s="530">
        <v>43374</v>
      </c>
      <c r="I33" s="529"/>
      <c r="J33" s="529" t="s">
        <v>1214</v>
      </c>
      <c r="K33" s="529"/>
      <c r="L33" s="529" t="s">
        <v>1208</v>
      </c>
      <c r="M33" s="529"/>
      <c r="N33" s="529"/>
      <c r="O33" s="529"/>
      <c r="P33" s="529"/>
      <c r="Q33" s="529"/>
      <c r="R33" s="531"/>
      <c r="S33" s="529"/>
      <c r="T33" s="529" t="s">
        <v>80</v>
      </c>
      <c r="U33" s="529"/>
      <c r="V33" s="532">
        <v>0</v>
      </c>
      <c r="W33" s="529"/>
      <c r="X33" s="532"/>
      <c r="Y33" s="529"/>
      <c r="Z33" s="532">
        <v>29253</v>
      </c>
    </row>
    <row r="34" spans="1:26">
      <c r="A34" s="529"/>
      <c r="B34" s="529"/>
      <c r="C34" s="529"/>
      <c r="D34" s="529"/>
      <c r="E34" s="529"/>
      <c r="F34" s="529" t="s">
        <v>1148</v>
      </c>
      <c r="G34" s="529"/>
      <c r="H34" s="530">
        <v>43412</v>
      </c>
      <c r="I34" s="529"/>
      <c r="J34" s="529" t="s">
        <v>1215</v>
      </c>
      <c r="K34" s="529"/>
      <c r="L34" s="529" t="s">
        <v>1208</v>
      </c>
      <c r="M34" s="529"/>
      <c r="N34" s="529"/>
      <c r="O34" s="529"/>
      <c r="P34" s="529"/>
      <c r="Q34" s="529"/>
      <c r="R34" s="531"/>
      <c r="S34" s="529"/>
      <c r="T34" s="529" t="s">
        <v>80</v>
      </c>
      <c r="U34" s="529"/>
      <c r="V34" s="532">
        <v>0</v>
      </c>
      <c r="W34" s="529"/>
      <c r="X34" s="532"/>
      <c r="Y34" s="529"/>
      <c r="Z34" s="532">
        <v>31783</v>
      </c>
    </row>
    <row r="35" spans="1:26" ht="15.75" thickBot="1">
      <c r="A35" s="529"/>
      <c r="B35" s="529"/>
      <c r="C35" s="529"/>
      <c r="D35" s="529"/>
      <c r="E35" s="529"/>
      <c r="F35" s="529" t="s">
        <v>1148</v>
      </c>
      <c r="G35" s="529"/>
      <c r="H35" s="530">
        <v>43439</v>
      </c>
      <c r="I35" s="529"/>
      <c r="J35" s="529" t="s">
        <v>1216</v>
      </c>
      <c r="K35" s="529"/>
      <c r="L35" s="529" t="s">
        <v>1208</v>
      </c>
      <c r="M35" s="529"/>
      <c r="N35" s="529"/>
      <c r="O35" s="529"/>
      <c r="P35" s="529"/>
      <c r="Q35" s="529"/>
      <c r="R35" s="531"/>
      <c r="S35" s="529"/>
      <c r="T35" s="529" t="s">
        <v>80</v>
      </c>
      <c r="U35" s="529"/>
      <c r="V35" s="533">
        <v>0</v>
      </c>
      <c r="W35" s="529"/>
      <c r="X35" s="533"/>
      <c r="Y35" s="529"/>
      <c r="Z35" s="533">
        <v>34313</v>
      </c>
    </row>
    <row r="36" spans="1:26" ht="15.75" thickBot="1">
      <c r="A36" s="529"/>
      <c r="B36" s="529"/>
      <c r="C36" s="529" t="s">
        <v>1217</v>
      </c>
      <c r="D36" s="529"/>
      <c r="E36" s="529"/>
      <c r="F36" s="529"/>
      <c r="G36" s="529"/>
      <c r="H36" s="530"/>
      <c r="I36" s="529"/>
      <c r="J36" s="529"/>
      <c r="K36" s="529"/>
      <c r="L36" s="529"/>
      <c r="M36" s="529"/>
      <c r="N36" s="529"/>
      <c r="O36" s="529"/>
      <c r="P36" s="529"/>
      <c r="Q36" s="529"/>
      <c r="R36" s="529"/>
      <c r="S36" s="529"/>
      <c r="T36" s="529"/>
      <c r="U36" s="529"/>
      <c r="V36" s="534">
        <f>ROUND(SUM(V3:V35),5)</f>
        <v>34313</v>
      </c>
      <c r="W36" s="529"/>
      <c r="X36" s="534">
        <f>ROUND(SUM(X3:X35),5)</f>
        <v>0</v>
      </c>
      <c r="Y36" s="529"/>
      <c r="Z36" s="534">
        <f>Z35</f>
        <v>34313</v>
      </c>
    </row>
    <row r="37" spans="1:26" ht="15.75" thickBot="1">
      <c r="A37" s="529"/>
      <c r="B37" s="529" t="s">
        <v>290</v>
      </c>
      <c r="C37" s="529"/>
      <c r="D37" s="529"/>
      <c r="E37" s="529"/>
      <c r="F37" s="529"/>
      <c r="G37" s="529"/>
      <c r="H37" s="530"/>
      <c r="I37" s="529"/>
      <c r="J37" s="529"/>
      <c r="K37" s="529"/>
      <c r="L37" s="529"/>
      <c r="M37" s="529"/>
      <c r="N37" s="529"/>
      <c r="O37" s="529"/>
      <c r="P37" s="529"/>
      <c r="Q37" s="529"/>
      <c r="R37" s="529"/>
      <c r="S37" s="529"/>
      <c r="T37" s="529"/>
      <c r="U37" s="529"/>
      <c r="V37" s="534">
        <f>V36</f>
        <v>34313</v>
      </c>
      <c r="W37" s="529"/>
      <c r="X37" s="534">
        <f>X36</f>
        <v>0</v>
      </c>
      <c r="Y37" s="529"/>
      <c r="Z37" s="534">
        <f>Z36</f>
        <v>34313</v>
      </c>
    </row>
    <row r="38" spans="1:26" ht="15.75" thickBot="1">
      <c r="A38" s="526" t="s">
        <v>127</v>
      </c>
      <c r="B38" s="526"/>
      <c r="C38" s="526"/>
      <c r="D38" s="526"/>
      <c r="E38" s="526"/>
      <c r="F38" s="526"/>
      <c r="G38" s="526"/>
      <c r="H38" s="527"/>
      <c r="I38" s="526"/>
      <c r="J38" s="526"/>
      <c r="K38" s="526"/>
      <c r="L38" s="526"/>
      <c r="M38" s="526"/>
      <c r="N38" s="526"/>
      <c r="O38" s="526"/>
      <c r="P38" s="526"/>
      <c r="Q38" s="526"/>
      <c r="R38" s="526"/>
      <c r="S38" s="526"/>
      <c r="T38" s="526"/>
      <c r="U38" s="526"/>
      <c r="V38" s="535">
        <f>V37</f>
        <v>34313</v>
      </c>
      <c r="W38" s="526"/>
      <c r="X38" s="535">
        <f>X37</f>
        <v>0</v>
      </c>
      <c r="Y38" s="526"/>
      <c r="Z38" s="535">
        <f>Z37</f>
        <v>34313</v>
      </c>
    </row>
    <row r="39" spans="1:26" ht="15.75" thickTop="1">
      <c r="A39" s="522"/>
      <c r="B39" s="522"/>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row>
    <row r="40" spans="1:26">
      <c r="A40" s="522"/>
      <c r="B40" s="522"/>
      <c r="C40" s="522"/>
      <c r="D40" s="522"/>
      <c r="E40" s="522"/>
      <c r="F40" s="522"/>
      <c r="G40" s="522"/>
      <c r="H40" s="522"/>
      <c r="I40" s="522"/>
      <c r="J40" s="522"/>
      <c r="K40" s="522"/>
      <c r="L40" s="522" t="s">
        <v>1218</v>
      </c>
      <c r="M40" s="522"/>
      <c r="N40" s="522"/>
      <c r="O40" s="522"/>
      <c r="P40" s="522"/>
      <c r="Q40" s="522"/>
      <c r="R40" s="522"/>
      <c r="S40" s="522"/>
      <c r="T40" s="522"/>
      <c r="U40" s="522"/>
      <c r="V40" s="523">
        <f>SUM(V14:V26)-500</f>
        <v>30960</v>
      </c>
      <c r="W40" s="522"/>
      <c r="X40" s="522"/>
      <c r="Y40" s="522"/>
      <c r="Z40" s="522"/>
    </row>
    <row r="41" spans="1:26">
      <c r="A41" s="522"/>
      <c r="B41" s="522"/>
      <c r="C41" s="522"/>
      <c r="D41" s="522"/>
      <c r="E41" s="522"/>
      <c r="F41" s="522"/>
      <c r="G41" s="522"/>
      <c r="H41" s="522"/>
      <c r="I41" s="522"/>
      <c r="J41" s="522"/>
      <c r="K41" s="522"/>
      <c r="L41" s="522" t="s">
        <v>1219</v>
      </c>
      <c r="M41" s="522"/>
      <c r="N41" s="522"/>
      <c r="O41" s="522"/>
      <c r="P41" s="522"/>
      <c r="Q41" s="522"/>
      <c r="R41" s="522"/>
      <c r="S41" s="522"/>
      <c r="T41" s="522"/>
      <c r="U41" s="522"/>
      <c r="V41" s="518">
        <f>+V40*0.18</f>
        <v>5572.8</v>
      </c>
      <c r="W41" s="522"/>
      <c r="X41" s="522"/>
      <c r="Y41" s="522"/>
      <c r="Z41" s="52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0174-5E66-4595-8BE8-731ED2A4E0D1}">
  <dimension ref="A1:Z54"/>
  <sheetViews>
    <sheetView topLeftCell="A34" workbookViewId="0">
      <selection activeCell="AR14" sqref="AR14"/>
    </sheetView>
  </sheetViews>
  <sheetFormatPr defaultRowHeight="15"/>
  <cols>
    <col min="1" max="2" width="2.33203125" customWidth="1"/>
    <col min="3" max="3" width="7.88671875" customWidth="1"/>
    <col min="4" max="5" width="1.77734375" customWidth="1"/>
    <col min="6" max="6" width="11.109375" bestFit="1" customWidth="1"/>
    <col min="7" max="7" width="1.77734375" customWidth="1"/>
    <col min="8" max="8" width="8.77734375" bestFit="1" customWidth="1"/>
    <col min="9" max="9" width="1.77734375" customWidth="1"/>
    <col min="11" max="11" width="1.77734375" customWidth="1"/>
    <col min="12" max="12" width="20.6640625" customWidth="1"/>
    <col min="13" max="13" width="1.77734375" customWidth="1"/>
    <col min="14" max="14" width="12.88671875" bestFit="1" customWidth="1"/>
    <col min="15" max="15" width="1.77734375" customWidth="1"/>
    <col min="16" max="16" width="7.77734375" bestFit="1" customWidth="1"/>
    <col min="17" max="19" width="0" hidden="1" customWidth="1"/>
    <col min="20" max="20" width="24" bestFit="1" customWidth="1"/>
    <col min="21" max="21" width="1.77734375" customWidth="1"/>
    <col min="22" max="22" width="7.88671875" bestFit="1" customWidth="1"/>
    <col min="23" max="23" width="1.77734375" customWidth="1"/>
    <col min="24" max="24" width="8.21875" bestFit="1" customWidth="1"/>
    <col min="25" max="25" width="1.77734375" customWidth="1"/>
    <col min="26" max="26" width="9.109375" bestFit="1" customWidth="1"/>
  </cols>
  <sheetData>
    <row r="1" spans="1:26" ht="16.5" thickBot="1">
      <c r="A1" s="536"/>
      <c r="B1" s="536"/>
      <c r="C1" s="536"/>
      <c r="D1" s="536"/>
      <c r="E1" s="536"/>
      <c r="F1" s="538" t="s">
        <v>1092</v>
      </c>
      <c r="G1" s="536"/>
      <c r="H1" s="538" t="s">
        <v>1138</v>
      </c>
      <c r="I1" s="536"/>
      <c r="J1" s="538" t="s">
        <v>1139</v>
      </c>
      <c r="K1" s="536"/>
      <c r="L1" s="538" t="s">
        <v>1140</v>
      </c>
      <c r="M1" s="536"/>
      <c r="N1" s="538" t="s">
        <v>1141</v>
      </c>
      <c r="O1" s="536"/>
      <c r="P1" s="538" t="s">
        <v>1142</v>
      </c>
      <c r="Q1" s="536"/>
      <c r="R1" s="538" t="s">
        <v>1143</v>
      </c>
      <c r="S1" s="536"/>
      <c r="T1" s="538" t="s">
        <v>1144</v>
      </c>
      <c r="U1" s="536"/>
      <c r="V1" s="538" t="s">
        <v>1145</v>
      </c>
      <c r="W1" s="536"/>
      <c r="X1" s="538" t="s">
        <v>1146</v>
      </c>
      <c r="Y1" s="536"/>
      <c r="Z1" s="538" t="s">
        <v>1147</v>
      </c>
    </row>
    <row r="2" spans="1:26" ht="16.5" thickTop="1">
      <c r="A2" s="539"/>
      <c r="B2" s="539" t="s">
        <v>317</v>
      </c>
      <c r="C2" s="539"/>
      <c r="D2" s="539"/>
      <c r="E2" s="539"/>
      <c r="F2" s="539"/>
      <c r="G2" s="539"/>
      <c r="H2" s="540"/>
      <c r="I2" s="539"/>
      <c r="J2" s="539"/>
      <c r="K2" s="539"/>
      <c r="L2" s="539"/>
      <c r="M2" s="539"/>
      <c r="N2" s="539"/>
      <c r="O2" s="539"/>
      <c r="P2" s="539"/>
      <c r="Q2" s="539"/>
      <c r="R2" s="539"/>
      <c r="S2" s="539"/>
      <c r="T2" s="539"/>
      <c r="U2" s="539"/>
      <c r="V2" s="541"/>
      <c r="W2" s="539"/>
      <c r="X2" s="541"/>
      <c r="Y2" s="539"/>
      <c r="Z2" s="541"/>
    </row>
    <row r="3" spans="1:26" ht="15.75">
      <c r="A3" s="539"/>
      <c r="B3" s="539"/>
      <c r="C3" s="539" t="s">
        <v>329</v>
      </c>
      <c r="D3" s="539"/>
      <c r="E3" s="539"/>
      <c r="F3" s="539"/>
      <c r="G3" s="539"/>
      <c r="H3" s="540"/>
      <c r="I3" s="539"/>
      <c r="J3" s="539"/>
      <c r="K3" s="539"/>
      <c r="L3" s="539"/>
      <c r="M3" s="539"/>
      <c r="N3" s="539"/>
      <c r="O3" s="539"/>
      <c r="P3" s="539"/>
      <c r="Q3" s="539"/>
      <c r="R3" s="539"/>
      <c r="S3" s="539"/>
      <c r="T3" s="539"/>
      <c r="U3" s="539"/>
      <c r="V3" s="541"/>
      <c r="W3" s="539"/>
      <c r="X3" s="541"/>
      <c r="Y3" s="539"/>
      <c r="Z3" s="541"/>
    </row>
    <row r="4" spans="1:26">
      <c r="A4" s="542"/>
      <c r="B4" s="542"/>
      <c r="C4" s="542"/>
      <c r="D4" s="542"/>
      <c r="E4" s="542"/>
      <c r="F4" s="542" t="s">
        <v>1148</v>
      </c>
      <c r="G4" s="542"/>
      <c r="H4" s="543">
        <v>43101</v>
      </c>
      <c r="I4" s="542"/>
      <c r="J4" s="542" t="s">
        <v>1182</v>
      </c>
      <c r="K4" s="542"/>
      <c r="L4" s="542" t="s">
        <v>1221</v>
      </c>
      <c r="M4" s="542"/>
      <c r="N4" s="542"/>
      <c r="O4" s="542"/>
      <c r="P4" s="542" t="s">
        <v>1151</v>
      </c>
      <c r="Q4" s="542"/>
      <c r="R4" s="544"/>
      <c r="S4" s="542"/>
      <c r="T4" s="542" t="s">
        <v>80</v>
      </c>
      <c r="U4" s="542"/>
      <c r="V4" s="545">
        <v>250</v>
      </c>
      <c r="W4" s="542"/>
      <c r="X4" s="545"/>
      <c r="Y4" s="542"/>
      <c r="Z4" s="545">
        <v>250</v>
      </c>
    </row>
    <row r="5" spans="1:26">
      <c r="A5" s="542"/>
      <c r="B5" s="542"/>
      <c r="C5" s="542"/>
      <c r="D5" s="542"/>
      <c r="E5" s="542"/>
      <c r="F5" s="542" t="s">
        <v>1185</v>
      </c>
      <c r="G5" s="542"/>
      <c r="H5" s="543">
        <v>43117</v>
      </c>
      <c r="I5" s="542"/>
      <c r="J5" s="542"/>
      <c r="K5" s="542"/>
      <c r="L5" s="542" t="s">
        <v>1222</v>
      </c>
      <c r="M5" s="542"/>
      <c r="N5" s="542" t="s">
        <v>1223</v>
      </c>
      <c r="O5" s="542"/>
      <c r="P5" s="542" t="s">
        <v>1151</v>
      </c>
      <c r="Q5" s="542"/>
      <c r="R5" s="544"/>
      <c r="S5" s="542"/>
      <c r="T5" s="542" t="s">
        <v>85</v>
      </c>
      <c r="U5" s="542"/>
      <c r="V5" s="545">
        <v>80</v>
      </c>
      <c r="W5" s="542"/>
      <c r="X5" s="545"/>
      <c r="Y5" s="542"/>
      <c r="Z5" s="545">
        <v>680</v>
      </c>
    </row>
    <row r="6" spans="1:26">
      <c r="A6" s="542"/>
      <c r="B6" s="542"/>
      <c r="C6" s="542"/>
      <c r="D6" s="542"/>
      <c r="E6" s="542"/>
      <c r="F6" s="542" t="s">
        <v>1148</v>
      </c>
      <c r="G6" s="542"/>
      <c r="H6" s="543">
        <v>43151</v>
      </c>
      <c r="I6" s="542"/>
      <c r="J6" s="542" t="s">
        <v>1182</v>
      </c>
      <c r="K6" s="542"/>
      <c r="L6" s="542" t="s">
        <v>1183</v>
      </c>
      <c r="M6" s="542"/>
      <c r="N6" s="542" t="s">
        <v>1184</v>
      </c>
      <c r="O6" s="542"/>
      <c r="P6" s="542" t="s">
        <v>1151</v>
      </c>
      <c r="Q6" s="542"/>
      <c r="R6" s="544"/>
      <c r="S6" s="542"/>
      <c r="T6" s="542" t="s">
        <v>80</v>
      </c>
      <c r="U6" s="542"/>
      <c r="V6" s="545">
        <v>1100</v>
      </c>
      <c r="W6" s="542"/>
      <c r="X6" s="545"/>
      <c r="Y6" s="542"/>
      <c r="Z6" s="545">
        <v>3005</v>
      </c>
    </row>
    <row r="7" spans="1:26">
      <c r="A7" s="542"/>
      <c r="B7" s="542"/>
      <c r="C7" s="542"/>
      <c r="D7" s="542"/>
      <c r="E7" s="542"/>
      <c r="F7" s="542" t="s">
        <v>1148</v>
      </c>
      <c r="G7" s="542"/>
      <c r="H7" s="543">
        <v>43171</v>
      </c>
      <c r="I7" s="542"/>
      <c r="J7" s="542" t="s">
        <v>1182</v>
      </c>
      <c r="K7" s="542"/>
      <c r="L7" s="542" t="s">
        <v>1183</v>
      </c>
      <c r="M7" s="542"/>
      <c r="N7" s="542" t="s">
        <v>1224</v>
      </c>
      <c r="O7" s="542"/>
      <c r="P7" s="542" t="s">
        <v>1151</v>
      </c>
      <c r="Q7" s="542"/>
      <c r="R7" s="544"/>
      <c r="S7" s="542"/>
      <c r="T7" s="542" t="s">
        <v>80</v>
      </c>
      <c r="U7" s="542"/>
      <c r="V7" s="545">
        <v>1000</v>
      </c>
      <c r="W7" s="542"/>
      <c r="X7" s="545"/>
      <c r="Y7" s="542"/>
      <c r="Z7" s="545">
        <v>5730</v>
      </c>
    </row>
    <row r="8" spans="1:26">
      <c r="A8" s="542"/>
      <c r="B8" s="542"/>
      <c r="C8" s="542"/>
      <c r="D8" s="542"/>
      <c r="E8" s="542"/>
      <c r="F8" s="542" t="s">
        <v>1148</v>
      </c>
      <c r="G8" s="542"/>
      <c r="H8" s="543">
        <v>43193</v>
      </c>
      <c r="I8" s="542"/>
      <c r="J8" s="542" t="s">
        <v>1182</v>
      </c>
      <c r="K8" s="542"/>
      <c r="L8" s="542" t="s">
        <v>1183</v>
      </c>
      <c r="M8" s="542"/>
      <c r="N8" s="542"/>
      <c r="O8" s="542"/>
      <c r="P8" s="542" t="s">
        <v>1151</v>
      </c>
      <c r="Q8" s="542"/>
      <c r="R8" s="544"/>
      <c r="S8" s="542"/>
      <c r="T8" s="542" t="s">
        <v>80</v>
      </c>
      <c r="U8" s="542"/>
      <c r="V8" s="545">
        <v>100</v>
      </c>
      <c r="W8" s="542"/>
      <c r="X8" s="545"/>
      <c r="Y8" s="542"/>
      <c r="Z8" s="545">
        <v>8155</v>
      </c>
    </row>
    <row r="9" spans="1:26">
      <c r="A9" s="542"/>
      <c r="B9" s="542"/>
      <c r="C9" s="542"/>
      <c r="D9" s="542"/>
      <c r="E9" s="542"/>
      <c r="F9" s="542" t="s">
        <v>1148</v>
      </c>
      <c r="G9" s="542"/>
      <c r="H9" s="543">
        <v>43202</v>
      </c>
      <c r="I9" s="542"/>
      <c r="J9" s="542" t="s">
        <v>1182</v>
      </c>
      <c r="K9" s="542"/>
      <c r="L9" s="542" t="s">
        <v>1183</v>
      </c>
      <c r="M9" s="542"/>
      <c r="N9" s="542" t="s">
        <v>1225</v>
      </c>
      <c r="O9" s="542"/>
      <c r="P9" s="542" t="s">
        <v>1151</v>
      </c>
      <c r="Q9" s="542"/>
      <c r="R9" s="544"/>
      <c r="S9" s="542"/>
      <c r="T9" s="542" t="s">
        <v>80</v>
      </c>
      <c r="U9" s="542"/>
      <c r="V9" s="545">
        <v>80</v>
      </c>
      <c r="W9" s="542"/>
      <c r="X9" s="545"/>
      <c r="Y9" s="542"/>
      <c r="Z9" s="545">
        <v>8235</v>
      </c>
    </row>
    <row r="10" spans="1:26">
      <c r="A10" s="542"/>
      <c r="B10" s="542"/>
      <c r="C10" s="542"/>
      <c r="D10" s="542"/>
      <c r="E10" s="542"/>
      <c r="F10" s="542" t="s">
        <v>1185</v>
      </c>
      <c r="G10" s="542"/>
      <c r="H10" s="543">
        <v>43188</v>
      </c>
      <c r="I10" s="542"/>
      <c r="J10" s="542"/>
      <c r="K10" s="542"/>
      <c r="L10" s="542" t="s">
        <v>1226</v>
      </c>
      <c r="M10" s="542"/>
      <c r="N10" s="542" t="s">
        <v>1227</v>
      </c>
      <c r="O10" s="542"/>
      <c r="P10" s="542" t="s">
        <v>1151</v>
      </c>
      <c r="Q10" s="542"/>
      <c r="R10" s="544"/>
      <c r="S10" s="542"/>
      <c r="T10" s="542" t="s">
        <v>86</v>
      </c>
      <c r="U10" s="542"/>
      <c r="V10" s="545">
        <v>1200</v>
      </c>
      <c r="W10" s="542"/>
      <c r="X10" s="545"/>
      <c r="Y10" s="542"/>
      <c r="Z10" s="545">
        <v>7080</v>
      </c>
    </row>
    <row r="11" spans="1:26">
      <c r="A11" s="542"/>
      <c r="B11" s="542"/>
      <c r="C11" s="542"/>
      <c r="D11" s="542"/>
      <c r="E11" s="542"/>
      <c r="F11" s="542" t="s">
        <v>1148</v>
      </c>
      <c r="G11" s="542"/>
      <c r="H11" s="543">
        <v>43340</v>
      </c>
      <c r="I11" s="542"/>
      <c r="J11" s="542" t="s">
        <v>1228</v>
      </c>
      <c r="K11" s="542"/>
      <c r="L11" s="542" t="s">
        <v>1229</v>
      </c>
      <c r="M11" s="542"/>
      <c r="N11" s="542"/>
      <c r="O11" s="542"/>
      <c r="P11" s="542" t="s">
        <v>1151</v>
      </c>
      <c r="Q11" s="542"/>
      <c r="R11" s="544"/>
      <c r="S11" s="542"/>
      <c r="T11" s="542" t="s">
        <v>80</v>
      </c>
      <c r="U11" s="542"/>
      <c r="V11" s="545">
        <v>500</v>
      </c>
      <c r="W11" s="542"/>
      <c r="X11" s="545"/>
      <c r="Y11" s="542"/>
      <c r="Z11" s="545">
        <v>17346.849999999999</v>
      </c>
    </row>
    <row r="12" spans="1:26">
      <c r="A12" s="542"/>
      <c r="B12" s="542"/>
      <c r="C12" s="542"/>
      <c r="D12" s="542"/>
      <c r="E12" s="542"/>
      <c r="F12" s="542" t="s">
        <v>1148</v>
      </c>
      <c r="G12" s="542"/>
      <c r="H12" s="543">
        <v>43207</v>
      </c>
      <c r="I12" s="542"/>
      <c r="J12" s="542" t="s">
        <v>1182</v>
      </c>
      <c r="K12" s="542"/>
      <c r="L12" s="542" t="s">
        <v>1230</v>
      </c>
      <c r="M12" s="542"/>
      <c r="N12" s="542"/>
      <c r="O12" s="542"/>
      <c r="P12" s="542" t="s">
        <v>1151</v>
      </c>
      <c r="Q12" s="542"/>
      <c r="R12" s="544"/>
      <c r="S12" s="542"/>
      <c r="T12" s="542" t="s">
        <v>80</v>
      </c>
      <c r="U12" s="542"/>
      <c r="V12" s="545">
        <v>1000</v>
      </c>
      <c r="W12" s="542"/>
      <c r="X12" s="545"/>
      <c r="Y12" s="542"/>
      <c r="Z12" s="545">
        <v>9235</v>
      </c>
    </row>
    <row r="13" spans="1:26">
      <c r="A13" s="542"/>
      <c r="B13" s="542"/>
      <c r="C13" s="542"/>
      <c r="D13" s="542"/>
      <c r="E13" s="542"/>
      <c r="F13" s="542" t="s">
        <v>1148</v>
      </c>
      <c r="G13" s="542"/>
      <c r="H13" s="543">
        <v>43130</v>
      </c>
      <c r="I13" s="542"/>
      <c r="J13" s="542" t="s">
        <v>1182</v>
      </c>
      <c r="K13" s="542"/>
      <c r="L13" s="542" t="s">
        <v>1231</v>
      </c>
      <c r="M13" s="542"/>
      <c r="N13" s="542"/>
      <c r="O13" s="542"/>
      <c r="P13" s="542" t="s">
        <v>1151</v>
      </c>
      <c r="Q13" s="542"/>
      <c r="R13" s="544"/>
      <c r="S13" s="542"/>
      <c r="T13" s="542" t="s">
        <v>80</v>
      </c>
      <c r="U13" s="542"/>
      <c r="V13" s="545">
        <v>250</v>
      </c>
      <c r="W13" s="542"/>
      <c r="X13" s="545"/>
      <c r="Y13" s="542"/>
      <c r="Z13" s="545">
        <v>930</v>
      </c>
    </row>
    <row r="14" spans="1:26">
      <c r="A14" s="542"/>
      <c r="B14" s="542"/>
      <c r="C14" s="542"/>
      <c r="D14" s="542"/>
      <c r="E14" s="542"/>
      <c r="F14" s="542" t="s">
        <v>1148</v>
      </c>
      <c r="G14" s="542"/>
      <c r="H14" s="543">
        <v>43220</v>
      </c>
      <c r="I14" s="542"/>
      <c r="J14" s="542" t="s">
        <v>1182</v>
      </c>
      <c r="K14" s="542"/>
      <c r="L14" s="542" t="s">
        <v>1232</v>
      </c>
      <c r="M14" s="542"/>
      <c r="N14" s="542"/>
      <c r="O14" s="542"/>
      <c r="P14" s="542" t="s">
        <v>1151</v>
      </c>
      <c r="Q14" s="542"/>
      <c r="R14" s="544"/>
      <c r="S14" s="542"/>
      <c r="T14" s="542" t="s">
        <v>80</v>
      </c>
      <c r="U14" s="542"/>
      <c r="V14" s="545">
        <v>100</v>
      </c>
      <c r="W14" s="542"/>
      <c r="X14" s="545"/>
      <c r="Y14" s="542"/>
      <c r="Z14" s="545">
        <v>9335</v>
      </c>
    </row>
    <row r="15" spans="1:26">
      <c r="A15" s="542"/>
      <c r="B15" s="542"/>
      <c r="C15" s="542"/>
      <c r="D15" s="542"/>
      <c r="E15" s="542"/>
      <c r="F15" s="542" t="s">
        <v>1185</v>
      </c>
      <c r="G15" s="542"/>
      <c r="H15" s="543">
        <v>43293</v>
      </c>
      <c r="I15" s="542"/>
      <c r="J15" s="542" t="s">
        <v>1233</v>
      </c>
      <c r="K15" s="542"/>
      <c r="L15" s="542" t="s">
        <v>1234</v>
      </c>
      <c r="M15" s="542"/>
      <c r="N15" s="542"/>
      <c r="O15" s="542"/>
      <c r="P15" s="542" t="s">
        <v>1151</v>
      </c>
      <c r="Q15" s="542"/>
      <c r="R15" s="544"/>
      <c r="S15" s="542"/>
      <c r="T15" s="542" t="s">
        <v>86</v>
      </c>
      <c r="U15" s="542"/>
      <c r="V15" s="545">
        <v>10.85</v>
      </c>
      <c r="W15" s="542"/>
      <c r="X15" s="545"/>
      <c r="Y15" s="542"/>
      <c r="Z15" s="545">
        <v>14621.85</v>
      </c>
    </row>
    <row r="16" spans="1:26">
      <c r="A16" s="542"/>
      <c r="B16" s="542"/>
      <c r="C16" s="542"/>
      <c r="D16" s="542"/>
      <c r="E16" s="542"/>
      <c r="F16" s="542" t="s">
        <v>1148</v>
      </c>
      <c r="G16" s="542"/>
      <c r="H16" s="543">
        <v>43131</v>
      </c>
      <c r="I16" s="542"/>
      <c r="J16" s="542" t="s">
        <v>1152</v>
      </c>
      <c r="K16" s="542"/>
      <c r="L16" s="542" t="s">
        <v>1235</v>
      </c>
      <c r="M16" s="542"/>
      <c r="N16" s="542"/>
      <c r="O16" s="542"/>
      <c r="P16" s="542" t="s">
        <v>1151</v>
      </c>
      <c r="Q16" s="542"/>
      <c r="R16" s="544"/>
      <c r="S16" s="542"/>
      <c r="T16" s="542" t="s">
        <v>80</v>
      </c>
      <c r="U16" s="542"/>
      <c r="V16" s="545">
        <v>625</v>
      </c>
      <c r="W16" s="542"/>
      <c r="X16" s="545"/>
      <c r="Y16" s="542"/>
      <c r="Z16" s="545">
        <v>1555</v>
      </c>
    </row>
    <row r="17" spans="1:26">
      <c r="A17" s="542"/>
      <c r="B17" s="542"/>
      <c r="C17" s="542"/>
      <c r="D17" s="542"/>
      <c r="E17" s="542"/>
      <c r="F17" s="542" t="s">
        <v>1148</v>
      </c>
      <c r="G17" s="542"/>
      <c r="H17" s="543">
        <v>43159</v>
      </c>
      <c r="I17" s="542"/>
      <c r="J17" s="542" t="s">
        <v>1156</v>
      </c>
      <c r="K17" s="542"/>
      <c r="L17" s="542" t="s">
        <v>1235</v>
      </c>
      <c r="M17" s="542"/>
      <c r="N17" s="542"/>
      <c r="O17" s="542"/>
      <c r="P17" s="542" t="s">
        <v>1151</v>
      </c>
      <c r="Q17" s="542"/>
      <c r="R17" s="544"/>
      <c r="S17" s="542"/>
      <c r="T17" s="542" t="s">
        <v>80</v>
      </c>
      <c r="U17" s="542"/>
      <c r="V17" s="545">
        <v>625</v>
      </c>
      <c r="W17" s="542"/>
      <c r="X17" s="545"/>
      <c r="Y17" s="542"/>
      <c r="Z17" s="545">
        <v>4380</v>
      </c>
    </row>
    <row r="18" spans="1:26">
      <c r="A18" s="542"/>
      <c r="B18" s="542"/>
      <c r="C18" s="542"/>
      <c r="D18" s="542"/>
      <c r="E18" s="542"/>
      <c r="F18" s="542" t="s">
        <v>1148</v>
      </c>
      <c r="G18" s="542"/>
      <c r="H18" s="543">
        <v>43190</v>
      </c>
      <c r="I18" s="542"/>
      <c r="J18" s="542" t="s">
        <v>1158</v>
      </c>
      <c r="K18" s="542"/>
      <c r="L18" s="542" t="s">
        <v>1235</v>
      </c>
      <c r="M18" s="542"/>
      <c r="N18" s="542"/>
      <c r="O18" s="542"/>
      <c r="P18" s="542" t="s">
        <v>1151</v>
      </c>
      <c r="Q18" s="542"/>
      <c r="R18" s="544"/>
      <c r="S18" s="542"/>
      <c r="T18" s="542" t="s">
        <v>80</v>
      </c>
      <c r="U18" s="542"/>
      <c r="V18" s="545">
        <v>625</v>
      </c>
      <c r="W18" s="542"/>
      <c r="X18" s="545"/>
      <c r="Y18" s="542"/>
      <c r="Z18" s="545">
        <v>7705</v>
      </c>
    </row>
    <row r="19" spans="1:26">
      <c r="A19" s="542"/>
      <c r="B19" s="542"/>
      <c r="C19" s="542"/>
      <c r="D19" s="542"/>
      <c r="E19" s="542"/>
      <c r="F19" s="542" t="s">
        <v>1148</v>
      </c>
      <c r="G19" s="542"/>
      <c r="H19" s="543">
        <v>43220</v>
      </c>
      <c r="I19" s="542"/>
      <c r="J19" s="542" t="s">
        <v>1159</v>
      </c>
      <c r="K19" s="542"/>
      <c r="L19" s="542" t="s">
        <v>1235</v>
      </c>
      <c r="M19" s="542"/>
      <c r="N19" s="542"/>
      <c r="O19" s="542"/>
      <c r="P19" s="542" t="s">
        <v>1151</v>
      </c>
      <c r="Q19" s="542"/>
      <c r="R19" s="544"/>
      <c r="S19" s="542"/>
      <c r="T19" s="542" t="s">
        <v>80</v>
      </c>
      <c r="U19" s="542"/>
      <c r="V19" s="545">
        <v>625</v>
      </c>
      <c r="W19" s="542"/>
      <c r="X19" s="545"/>
      <c r="Y19" s="542"/>
      <c r="Z19" s="545">
        <v>10456</v>
      </c>
    </row>
    <row r="20" spans="1:26">
      <c r="A20" s="542"/>
      <c r="B20" s="542"/>
      <c r="C20" s="542"/>
      <c r="D20" s="542"/>
      <c r="E20" s="542"/>
      <c r="F20" s="542" t="s">
        <v>1148</v>
      </c>
      <c r="G20" s="542"/>
      <c r="H20" s="543">
        <v>43270</v>
      </c>
      <c r="I20" s="542"/>
      <c r="J20" s="542" t="s">
        <v>1236</v>
      </c>
      <c r="K20" s="542"/>
      <c r="L20" s="542" t="s">
        <v>1235</v>
      </c>
      <c r="M20" s="542"/>
      <c r="N20" s="542"/>
      <c r="O20" s="542"/>
      <c r="P20" s="542" t="s">
        <v>1151</v>
      </c>
      <c r="Q20" s="542"/>
      <c r="R20" s="544"/>
      <c r="S20" s="542"/>
      <c r="T20" s="542" t="s">
        <v>80</v>
      </c>
      <c r="U20" s="542"/>
      <c r="V20" s="545">
        <v>625</v>
      </c>
      <c r="W20" s="542"/>
      <c r="X20" s="545"/>
      <c r="Y20" s="542"/>
      <c r="Z20" s="545">
        <v>14261</v>
      </c>
    </row>
    <row r="21" spans="1:26">
      <c r="A21" s="542"/>
      <c r="B21" s="542"/>
      <c r="C21" s="542"/>
      <c r="D21" s="542"/>
      <c r="E21" s="542"/>
      <c r="F21" s="542" t="s">
        <v>1148</v>
      </c>
      <c r="G21" s="542"/>
      <c r="H21" s="543">
        <v>43294</v>
      </c>
      <c r="I21" s="542"/>
      <c r="J21" s="542" t="s">
        <v>1237</v>
      </c>
      <c r="K21" s="542"/>
      <c r="L21" s="542" t="s">
        <v>1235</v>
      </c>
      <c r="M21" s="542"/>
      <c r="N21" s="542" t="s">
        <v>948</v>
      </c>
      <c r="O21" s="542"/>
      <c r="P21" s="542" t="s">
        <v>1151</v>
      </c>
      <c r="Q21" s="542"/>
      <c r="R21" s="544"/>
      <c r="S21" s="542"/>
      <c r="T21" s="542" t="s">
        <v>80</v>
      </c>
      <c r="U21" s="542"/>
      <c r="V21" s="545">
        <v>625</v>
      </c>
      <c r="W21" s="542"/>
      <c r="X21" s="545"/>
      <c r="Y21" s="542"/>
      <c r="Z21" s="545">
        <v>15246.85</v>
      </c>
    </row>
    <row r="22" spans="1:26">
      <c r="A22" s="542"/>
      <c r="B22" s="542"/>
      <c r="C22" s="542"/>
      <c r="D22" s="542"/>
      <c r="E22" s="542"/>
      <c r="F22" s="542" t="s">
        <v>1148</v>
      </c>
      <c r="G22" s="542"/>
      <c r="H22" s="543">
        <v>43294</v>
      </c>
      <c r="I22" s="542"/>
      <c r="J22" s="542" t="s">
        <v>1238</v>
      </c>
      <c r="K22" s="542"/>
      <c r="L22" s="542" t="s">
        <v>1235</v>
      </c>
      <c r="M22" s="542"/>
      <c r="N22" s="542" t="s">
        <v>948</v>
      </c>
      <c r="O22" s="542"/>
      <c r="P22" s="542" t="s">
        <v>1151</v>
      </c>
      <c r="Q22" s="542"/>
      <c r="R22" s="544"/>
      <c r="S22" s="542"/>
      <c r="T22" s="542" t="s">
        <v>80</v>
      </c>
      <c r="U22" s="542"/>
      <c r="V22" s="545">
        <v>625</v>
      </c>
      <c r="W22" s="542"/>
      <c r="X22" s="545"/>
      <c r="Y22" s="542"/>
      <c r="Z22" s="545">
        <v>15871.85</v>
      </c>
    </row>
    <row r="23" spans="1:26">
      <c r="A23" s="542"/>
      <c r="B23" s="542"/>
      <c r="C23" s="542"/>
      <c r="D23" s="542"/>
      <c r="E23" s="542"/>
      <c r="F23" s="542" t="s">
        <v>1148</v>
      </c>
      <c r="G23" s="542"/>
      <c r="H23" s="543">
        <v>43333</v>
      </c>
      <c r="I23" s="542"/>
      <c r="J23" s="542" t="s">
        <v>1239</v>
      </c>
      <c r="K23" s="542"/>
      <c r="L23" s="542" t="s">
        <v>1235</v>
      </c>
      <c r="M23" s="542"/>
      <c r="N23" s="542"/>
      <c r="O23" s="542"/>
      <c r="P23" s="542" t="s">
        <v>1151</v>
      </c>
      <c r="Q23" s="542"/>
      <c r="R23" s="544"/>
      <c r="S23" s="542"/>
      <c r="T23" s="542" t="s">
        <v>80</v>
      </c>
      <c r="U23" s="542"/>
      <c r="V23" s="545">
        <v>625</v>
      </c>
      <c r="W23" s="542"/>
      <c r="X23" s="545"/>
      <c r="Y23" s="542"/>
      <c r="Z23" s="545">
        <v>16846.849999999999</v>
      </c>
    </row>
    <row r="24" spans="1:26">
      <c r="A24" s="542"/>
      <c r="B24" s="542"/>
      <c r="C24" s="542"/>
      <c r="D24" s="542"/>
      <c r="E24" s="542"/>
      <c r="F24" s="542" t="s">
        <v>1148</v>
      </c>
      <c r="G24" s="542"/>
      <c r="H24" s="543">
        <v>43354</v>
      </c>
      <c r="I24" s="542"/>
      <c r="J24" s="542" t="s">
        <v>1240</v>
      </c>
      <c r="K24" s="542"/>
      <c r="L24" s="542" t="s">
        <v>1235</v>
      </c>
      <c r="M24" s="542"/>
      <c r="N24" s="542"/>
      <c r="O24" s="542"/>
      <c r="P24" s="542" t="s">
        <v>1151</v>
      </c>
      <c r="Q24" s="542"/>
      <c r="R24" s="544"/>
      <c r="S24" s="542"/>
      <c r="T24" s="542" t="s">
        <v>80</v>
      </c>
      <c r="U24" s="542"/>
      <c r="V24" s="545">
        <v>625</v>
      </c>
      <c r="W24" s="542"/>
      <c r="X24" s="545"/>
      <c r="Y24" s="542"/>
      <c r="Z24" s="545">
        <v>18321.849999999999</v>
      </c>
    </row>
    <row r="25" spans="1:26">
      <c r="A25" s="542"/>
      <c r="B25" s="542"/>
      <c r="C25" s="542"/>
      <c r="D25" s="542"/>
      <c r="E25" s="542"/>
      <c r="F25" s="542" t="s">
        <v>1148</v>
      </c>
      <c r="G25" s="542"/>
      <c r="H25" s="543">
        <v>43373</v>
      </c>
      <c r="I25" s="542"/>
      <c r="J25" s="542" t="s">
        <v>1172</v>
      </c>
      <c r="K25" s="542"/>
      <c r="L25" s="542" t="s">
        <v>1235</v>
      </c>
      <c r="M25" s="542"/>
      <c r="N25" s="542"/>
      <c r="O25" s="542"/>
      <c r="P25" s="542" t="s">
        <v>1151</v>
      </c>
      <c r="Q25" s="542"/>
      <c r="R25" s="544"/>
      <c r="S25" s="542"/>
      <c r="T25" s="542" t="s">
        <v>80</v>
      </c>
      <c r="U25" s="542"/>
      <c r="V25" s="545">
        <v>625</v>
      </c>
      <c r="W25" s="542"/>
      <c r="X25" s="545"/>
      <c r="Y25" s="542"/>
      <c r="Z25" s="545">
        <v>18946.849999999999</v>
      </c>
    </row>
    <row r="26" spans="1:26">
      <c r="A26" s="542"/>
      <c r="B26" s="542"/>
      <c r="C26" s="542"/>
      <c r="D26" s="542"/>
      <c r="E26" s="542"/>
      <c r="F26" s="542" t="s">
        <v>1148</v>
      </c>
      <c r="G26" s="542"/>
      <c r="H26" s="543">
        <v>43404</v>
      </c>
      <c r="I26" s="542"/>
      <c r="J26" s="542" t="s">
        <v>1174</v>
      </c>
      <c r="K26" s="542"/>
      <c r="L26" s="542" t="s">
        <v>1235</v>
      </c>
      <c r="M26" s="542"/>
      <c r="N26" s="542"/>
      <c r="O26" s="542"/>
      <c r="P26" s="542" t="s">
        <v>1151</v>
      </c>
      <c r="Q26" s="542"/>
      <c r="R26" s="544"/>
      <c r="S26" s="542"/>
      <c r="T26" s="542" t="s">
        <v>80</v>
      </c>
      <c r="U26" s="542"/>
      <c r="V26" s="545">
        <v>625</v>
      </c>
      <c r="W26" s="542"/>
      <c r="X26" s="545"/>
      <c r="Y26" s="542"/>
      <c r="Z26" s="545">
        <v>19921.849999999999</v>
      </c>
    </row>
    <row r="27" spans="1:26">
      <c r="A27" s="542"/>
      <c r="B27" s="542"/>
      <c r="C27" s="542"/>
      <c r="D27" s="542"/>
      <c r="E27" s="542"/>
      <c r="F27" s="542" t="s">
        <v>1148</v>
      </c>
      <c r="G27" s="542"/>
      <c r="H27" s="543">
        <v>43454</v>
      </c>
      <c r="I27" s="542"/>
      <c r="J27" s="542" t="s">
        <v>1176</v>
      </c>
      <c r="K27" s="542"/>
      <c r="L27" s="542" t="s">
        <v>1235</v>
      </c>
      <c r="M27" s="542"/>
      <c r="N27" s="542"/>
      <c r="O27" s="542"/>
      <c r="P27" s="542" t="s">
        <v>1151</v>
      </c>
      <c r="Q27" s="542"/>
      <c r="R27" s="544"/>
      <c r="S27" s="542"/>
      <c r="T27" s="542" t="s">
        <v>80</v>
      </c>
      <c r="U27" s="542"/>
      <c r="V27" s="546">
        <v>625</v>
      </c>
      <c r="W27" s="542"/>
      <c r="X27" s="546"/>
      <c r="Y27" s="542"/>
      <c r="Z27" s="546">
        <v>21246.85</v>
      </c>
    </row>
    <row r="28" spans="1:26">
      <c r="A28" s="542"/>
      <c r="B28" s="542"/>
      <c r="C28" s="542"/>
      <c r="D28" s="542"/>
      <c r="E28" s="542"/>
      <c r="F28" s="542" t="s">
        <v>1148</v>
      </c>
      <c r="G28" s="542"/>
      <c r="H28" s="543">
        <v>43220</v>
      </c>
      <c r="I28" s="542"/>
      <c r="J28" s="542" t="s">
        <v>1182</v>
      </c>
      <c r="K28" s="542"/>
      <c r="L28" s="542" t="s">
        <v>1241</v>
      </c>
      <c r="M28" s="542"/>
      <c r="N28" s="542" t="s">
        <v>1242</v>
      </c>
      <c r="O28" s="542"/>
      <c r="P28" s="542" t="s">
        <v>1151</v>
      </c>
      <c r="Q28" s="542"/>
      <c r="R28" s="544"/>
      <c r="S28" s="542"/>
      <c r="T28" s="542" t="s">
        <v>80</v>
      </c>
      <c r="U28" s="542"/>
      <c r="V28" s="545">
        <v>496</v>
      </c>
      <c r="W28" s="542"/>
      <c r="X28" s="545"/>
      <c r="Y28" s="542"/>
      <c r="Z28" s="545">
        <v>9831</v>
      </c>
    </row>
    <row r="29" spans="1:26">
      <c r="A29" s="542"/>
      <c r="B29" s="542"/>
      <c r="C29" s="542"/>
      <c r="D29" s="542"/>
      <c r="E29" s="542"/>
      <c r="F29" s="542" t="s">
        <v>1148</v>
      </c>
      <c r="G29" s="542"/>
      <c r="H29" s="543">
        <v>43171</v>
      </c>
      <c r="I29" s="542"/>
      <c r="J29" s="542" t="s">
        <v>1243</v>
      </c>
      <c r="K29" s="542"/>
      <c r="L29" s="542" t="s">
        <v>1244</v>
      </c>
      <c r="M29" s="542"/>
      <c r="N29" s="542"/>
      <c r="O29" s="542"/>
      <c r="P29" s="542" t="s">
        <v>1151</v>
      </c>
      <c r="Q29" s="542"/>
      <c r="R29" s="544"/>
      <c r="S29" s="542"/>
      <c r="T29" s="542" t="s">
        <v>80</v>
      </c>
      <c r="U29" s="542"/>
      <c r="V29" s="545">
        <v>150</v>
      </c>
      <c r="W29" s="542"/>
      <c r="X29" s="545"/>
      <c r="Y29" s="542"/>
      <c r="Z29" s="545">
        <v>5880</v>
      </c>
    </row>
    <row r="30" spans="1:26">
      <c r="A30" s="542"/>
      <c r="B30" s="542"/>
      <c r="C30" s="542"/>
      <c r="D30" s="542"/>
      <c r="E30" s="542"/>
      <c r="F30" s="542" t="s">
        <v>1148</v>
      </c>
      <c r="G30" s="542"/>
      <c r="H30" s="543">
        <v>43155</v>
      </c>
      <c r="I30" s="542"/>
      <c r="J30" s="542" t="s">
        <v>1245</v>
      </c>
      <c r="K30" s="542"/>
      <c r="L30" s="542" t="s">
        <v>1195</v>
      </c>
      <c r="M30" s="542"/>
      <c r="N30" s="542"/>
      <c r="O30" s="542"/>
      <c r="P30" s="542" t="s">
        <v>1151</v>
      </c>
      <c r="Q30" s="542"/>
      <c r="R30" s="544"/>
      <c r="S30" s="542"/>
      <c r="T30" s="542" t="s">
        <v>80</v>
      </c>
      <c r="U30" s="542"/>
      <c r="V30" s="545">
        <v>750</v>
      </c>
      <c r="W30" s="542"/>
      <c r="X30" s="545"/>
      <c r="Y30" s="542"/>
      <c r="Z30" s="545">
        <v>3755</v>
      </c>
    </row>
    <row r="31" spans="1:26">
      <c r="A31" s="542"/>
      <c r="B31" s="542"/>
      <c r="C31" s="542"/>
      <c r="D31" s="542"/>
      <c r="E31" s="542"/>
      <c r="F31" s="542" t="s">
        <v>1148</v>
      </c>
      <c r="G31" s="542"/>
      <c r="H31" s="543">
        <v>43231</v>
      </c>
      <c r="I31" s="542"/>
      <c r="J31" s="542" t="s">
        <v>1246</v>
      </c>
      <c r="K31" s="542"/>
      <c r="L31" s="542" t="s">
        <v>1195</v>
      </c>
      <c r="M31" s="542"/>
      <c r="N31" s="542"/>
      <c r="O31" s="542"/>
      <c r="P31" s="542" t="s">
        <v>1151</v>
      </c>
      <c r="Q31" s="542"/>
      <c r="R31" s="544"/>
      <c r="S31" s="542"/>
      <c r="T31" s="542" t="s">
        <v>80</v>
      </c>
      <c r="U31" s="542"/>
      <c r="V31" s="545">
        <v>785</v>
      </c>
      <c r="W31" s="542"/>
      <c r="X31" s="545"/>
      <c r="Y31" s="542"/>
      <c r="Z31" s="545">
        <v>11591</v>
      </c>
    </row>
    <row r="32" spans="1:26">
      <c r="A32" s="542"/>
      <c r="B32" s="542"/>
      <c r="C32" s="542"/>
      <c r="D32" s="542"/>
      <c r="E32" s="542"/>
      <c r="F32" s="542" t="s">
        <v>1148</v>
      </c>
      <c r="G32" s="542"/>
      <c r="H32" s="543">
        <v>43231</v>
      </c>
      <c r="I32" s="542"/>
      <c r="J32" s="542" t="s">
        <v>1247</v>
      </c>
      <c r="K32" s="542"/>
      <c r="L32" s="542" t="s">
        <v>1195</v>
      </c>
      <c r="M32" s="542"/>
      <c r="N32" s="542"/>
      <c r="O32" s="542"/>
      <c r="P32" s="542" t="s">
        <v>1151</v>
      </c>
      <c r="Q32" s="542"/>
      <c r="R32" s="544"/>
      <c r="S32" s="542"/>
      <c r="T32" s="542" t="s">
        <v>80</v>
      </c>
      <c r="U32" s="542"/>
      <c r="V32" s="545">
        <v>785</v>
      </c>
      <c r="W32" s="542"/>
      <c r="X32" s="545"/>
      <c r="Y32" s="542"/>
      <c r="Z32" s="545">
        <v>12376</v>
      </c>
    </row>
    <row r="33" spans="1:26">
      <c r="A33" s="542"/>
      <c r="B33" s="542"/>
      <c r="C33" s="542"/>
      <c r="D33" s="542"/>
      <c r="E33" s="542"/>
      <c r="F33" s="542" t="s">
        <v>1148</v>
      </c>
      <c r="G33" s="542"/>
      <c r="H33" s="543">
        <v>43252</v>
      </c>
      <c r="I33" s="542"/>
      <c r="J33" s="542" t="s">
        <v>1248</v>
      </c>
      <c r="K33" s="542"/>
      <c r="L33" s="542" t="s">
        <v>1195</v>
      </c>
      <c r="M33" s="542"/>
      <c r="N33" s="542"/>
      <c r="O33" s="542"/>
      <c r="P33" s="542" t="s">
        <v>1151</v>
      </c>
      <c r="Q33" s="542"/>
      <c r="R33" s="544"/>
      <c r="S33" s="542"/>
      <c r="T33" s="542" t="s">
        <v>80</v>
      </c>
      <c r="U33" s="542"/>
      <c r="V33" s="545">
        <v>910</v>
      </c>
      <c r="W33" s="542"/>
      <c r="X33" s="545"/>
      <c r="Y33" s="542"/>
      <c r="Z33" s="545">
        <v>13286</v>
      </c>
    </row>
    <row r="34" spans="1:26">
      <c r="A34" s="542"/>
      <c r="B34" s="542"/>
      <c r="C34" s="542"/>
      <c r="D34" s="542"/>
      <c r="E34" s="542"/>
      <c r="F34" s="542" t="s">
        <v>1148</v>
      </c>
      <c r="G34" s="542"/>
      <c r="H34" s="543">
        <v>43101</v>
      </c>
      <c r="I34" s="542"/>
      <c r="J34" s="542" t="s">
        <v>1249</v>
      </c>
      <c r="K34" s="542"/>
      <c r="L34" s="542" t="s">
        <v>1208</v>
      </c>
      <c r="M34" s="542"/>
      <c r="N34" s="542"/>
      <c r="O34" s="542"/>
      <c r="P34" s="542" t="s">
        <v>1151</v>
      </c>
      <c r="Q34" s="542"/>
      <c r="R34" s="544"/>
      <c r="S34" s="542"/>
      <c r="T34" s="542" t="s">
        <v>80</v>
      </c>
      <c r="U34" s="542"/>
      <c r="V34" s="545">
        <v>350</v>
      </c>
      <c r="W34" s="542"/>
      <c r="X34" s="545"/>
      <c r="Y34" s="542"/>
      <c r="Z34" s="545">
        <v>600</v>
      </c>
    </row>
    <row r="35" spans="1:26">
      <c r="A35" s="542"/>
      <c r="B35" s="542"/>
      <c r="C35" s="542"/>
      <c r="D35" s="542"/>
      <c r="E35" s="542"/>
      <c r="F35" s="542" t="s">
        <v>1148</v>
      </c>
      <c r="G35" s="542"/>
      <c r="H35" s="543">
        <v>43132</v>
      </c>
      <c r="I35" s="542"/>
      <c r="J35" s="542" t="s">
        <v>1250</v>
      </c>
      <c r="K35" s="542"/>
      <c r="L35" s="542" t="s">
        <v>1208</v>
      </c>
      <c r="M35" s="542"/>
      <c r="N35" s="542"/>
      <c r="O35" s="542"/>
      <c r="P35" s="542" t="s">
        <v>1151</v>
      </c>
      <c r="Q35" s="542"/>
      <c r="R35" s="544"/>
      <c r="S35" s="542"/>
      <c r="T35" s="542" t="s">
        <v>80</v>
      </c>
      <c r="U35" s="542"/>
      <c r="V35" s="545">
        <v>350</v>
      </c>
      <c r="W35" s="542"/>
      <c r="X35" s="545"/>
      <c r="Y35" s="542"/>
      <c r="Z35" s="545">
        <v>1905</v>
      </c>
    </row>
    <row r="36" spans="1:26">
      <c r="A36" s="542"/>
      <c r="B36" s="542"/>
      <c r="C36" s="542"/>
      <c r="D36" s="542"/>
      <c r="E36" s="542"/>
      <c r="F36" s="542" t="s">
        <v>1148</v>
      </c>
      <c r="G36" s="542"/>
      <c r="H36" s="543">
        <v>43160</v>
      </c>
      <c r="I36" s="542"/>
      <c r="J36" s="542" t="s">
        <v>1251</v>
      </c>
      <c r="K36" s="542"/>
      <c r="L36" s="542" t="s">
        <v>1208</v>
      </c>
      <c r="M36" s="542"/>
      <c r="N36" s="542"/>
      <c r="O36" s="542"/>
      <c r="P36" s="542" t="s">
        <v>1151</v>
      </c>
      <c r="Q36" s="542"/>
      <c r="R36" s="544"/>
      <c r="S36" s="542"/>
      <c r="T36" s="542" t="s">
        <v>80</v>
      </c>
      <c r="U36" s="542"/>
      <c r="V36" s="545">
        <v>350</v>
      </c>
      <c r="W36" s="542"/>
      <c r="X36" s="545"/>
      <c r="Y36" s="542"/>
      <c r="Z36" s="545">
        <v>4730</v>
      </c>
    </row>
    <row r="37" spans="1:26">
      <c r="A37" s="542"/>
      <c r="B37" s="542"/>
      <c r="C37" s="542"/>
      <c r="D37" s="542"/>
      <c r="E37" s="542"/>
      <c r="F37" s="542" t="s">
        <v>1148</v>
      </c>
      <c r="G37" s="542"/>
      <c r="H37" s="543">
        <v>43191</v>
      </c>
      <c r="I37" s="542"/>
      <c r="J37" s="542" t="s">
        <v>1207</v>
      </c>
      <c r="K37" s="542"/>
      <c r="L37" s="542" t="s">
        <v>1208</v>
      </c>
      <c r="M37" s="542"/>
      <c r="N37" s="542"/>
      <c r="O37" s="542"/>
      <c r="P37" s="542" t="s">
        <v>1151</v>
      </c>
      <c r="Q37" s="542"/>
      <c r="R37" s="544"/>
      <c r="S37" s="542"/>
      <c r="T37" s="542" t="s">
        <v>80</v>
      </c>
      <c r="U37" s="542"/>
      <c r="V37" s="545">
        <v>350</v>
      </c>
      <c r="W37" s="542"/>
      <c r="X37" s="545"/>
      <c r="Y37" s="542"/>
      <c r="Z37" s="545">
        <v>8055</v>
      </c>
    </row>
    <row r="38" spans="1:26">
      <c r="A38" s="542"/>
      <c r="B38" s="542"/>
      <c r="C38" s="542"/>
      <c r="D38" s="542"/>
      <c r="E38" s="542"/>
      <c r="F38" s="542" t="s">
        <v>1148</v>
      </c>
      <c r="G38" s="542"/>
      <c r="H38" s="543">
        <v>43221</v>
      </c>
      <c r="I38" s="542"/>
      <c r="J38" s="542" t="s">
        <v>1209</v>
      </c>
      <c r="K38" s="542"/>
      <c r="L38" s="542" t="s">
        <v>1208</v>
      </c>
      <c r="M38" s="542"/>
      <c r="N38" s="542"/>
      <c r="O38" s="542"/>
      <c r="P38" s="542" t="s">
        <v>1151</v>
      </c>
      <c r="Q38" s="542"/>
      <c r="R38" s="544"/>
      <c r="S38" s="542"/>
      <c r="T38" s="542" t="s">
        <v>80</v>
      </c>
      <c r="U38" s="542"/>
      <c r="V38" s="545">
        <v>350</v>
      </c>
      <c r="W38" s="542"/>
      <c r="X38" s="545"/>
      <c r="Y38" s="542"/>
      <c r="Z38" s="545">
        <v>10806</v>
      </c>
    </row>
    <row r="39" spans="1:26">
      <c r="A39" s="542"/>
      <c r="B39" s="542"/>
      <c r="C39" s="542"/>
      <c r="D39" s="542"/>
      <c r="E39" s="542"/>
      <c r="F39" s="542" t="s">
        <v>1148</v>
      </c>
      <c r="G39" s="542"/>
      <c r="H39" s="543">
        <v>43252</v>
      </c>
      <c r="I39" s="542"/>
      <c r="J39" s="542" t="s">
        <v>1210</v>
      </c>
      <c r="K39" s="542"/>
      <c r="L39" s="542" t="s">
        <v>1208</v>
      </c>
      <c r="M39" s="542"/>
      <c r="N39" s="542"/>
      <c r="O39" s="542"/>
      <c r="P39" s="542" t="s">
        <v>1151</v>
      </c>
      <c r="Q39" s="542"/>
      <c r="R39" s="544"/>
      <c r="S39" s="542"/>
      <c r="T39" s="542" t="s">
        <v>80</v>
      </c>
      <c r="U39" s="542"/>
      <c r="V39" s="545">
        <v>350</v>
      </c>
      <c r="W39" s="542"/>
      <c r="X39" s="545"/>
      <c r="Y39" s="542"/>
      <c r="Z39" s="545">
        <v>13636</v>
      </c>
    </row>
    <row r="40" spans="1:26">
      <c r="A40" s="542"/>
      <c r="B40" s="542"/>
      <c r="C40" s="542"/>
      <c r="D40" s="542"/>
      <c r="E40" s="542"/>
      <c r="F40" s="542" t="s">
        <v>1148</v>
      </c>
      <c r="G40" s="542"/>
      <c r="H40" s="543">
        <v>43282</v>
      </c>
      <c r="I40" s="542"/>
      <c r="J40" s="542" t="s">
        <v>1211</v>
      </c>
      <c r="K40" s="542"/>
      <c r="L40" s="542" t="s">
        <v>1208</v>
      </c>
      <c r="M40" s="542"/>
      <c r="N40" s="542"/>
      <c r="O40" s="542"/>
      <c r="P40" s="542" t="s">
        <v>1151</v>
      </c>
      <c r="Q40" s="542"/>
      <c r="R40" s="544"/>
      <c r="S40" s="542"/>
      <c r="T40" s="542" t="s">
        <v>80</v>
      </c>
      <c r="U40" s="542"/>
      <c r="V40" s="545">
        <v>350</v>
      </c>
      <c r="W40" s="542"/>
      <c r="X40" s="545"/>
      <c r="Y40" s="542"/>
      <c r="Z40" s="545">
        <v>14611</v>
      </c>
    </row>
    <row r="41" spans="1:26">
      <c r="A41" s="542"/>
      <c r="B41" s="542"/>
      <c r="C41" s="542"/>
      <c r="D41" s="542"/>
      <c r="E41" s="542"/>
      <c r="F41" s="542" t="s">
        <v>1148</v>
      </c>
      <c r="G41" s="542"/>
      <c r="H41" s="543">
        <v>43318</v>
      </c>
      <c r="I41" s="542"/>
      <c r="J41" s="542" t="s">
        <v>1212</v>
      </c>
      <c r="K41" s="542"/>
      <c r="L41" s="542" t="s">
        <v>1208</v>
      </c>
      <c r="M41" s="542"/>
      <c r="N41" s="542"/>
      <c r="O41" s="542"/>
      <c r="P41" s="542" t="s">
        <v>1151</v>
      </c>
      <c r="Q41" s="542"/>
      <c r="R41" s="544"/>
      <c r="S41" s="542"/>
      <c r="T41" s="542" t="s">
        <v>80</v>
      </c>
      <c r="U41" s="542"/>
      <c r="V41" s="545">
        <v>350</v>
      </c>
      <c r="W41" s="542"/>
      <c r="X41" s="545"/>
      <c r="Y41" s="542"/>
      <c r="Z41" s="545">
        <v>16221.85</v>
      </c>
    </row>
    <row r="42" spans="1:26">
      <c r="A42" s="542"/>
      <c r="B42" s="542"/>
      <c r="C42" s="542"/>
      <c r="D42" s="542"/>
      <c r="E42" s="542"/>
      <c r="F42" s="542" t="s">
        <v>1148</v>
      </c>
      <c r="G42" s="542"/>
      <c r="H42" s="543">
        <v>43353</v>
      </c>
      <c r="I42" s="542"/>
      <c r="J42" s="542" t="s">
        <v>1213</v>
      </c>
      <c r="K42" s="542"/>
      <c r="L42" s="542" t="s">
        <v>1208</v>
      </c>
      <c r="M42" s="542"/>
      <c r="N42" s="542"/>
      <c r="O42" s="542"/>
      <c r="P42" s="542" t="s">
        <v>1151</v>
      </c>
      <c r="Q42" s="542"/>
      <c r="R42" s="544"/>
      <c r="S42" s="542"/>
      <c r="T42" s="542" t="s">
        <v>80</v>
      </c>
      <c r="U42" s="542"/>
      <c r="V42" s="545">
        <v>350</v>
      </c>
      <c r="W42" s="542"/>
      <c r="X42" s="545"/>
      <c r="Y42" s="542"/>
      <c r="Z42" s="545">
        <v>17696.849999999999</v>
      </c>
    </row>
    <row r="43" spans="1:26">
      <c r="A43" s="542"/>
      <c r="B43" s="542"/>
      <c r="C43" s="542"/>
      <c r="D43" s="542"/>
      <c r="E43" s="542"/>
      <c r="F43" s="542" t="s">
        <v>1148</v>
      </c>
      <c r="G43" s="542"/>
      <c r="H43" s="543">
        <v>43374</v>
      </c>
      <c r="I43" s="542"/>
      <c r="J43" s="542" t="s">
        <v>1214</v>
      </c>
      <c r="K43" s="542"/>
      <c r="L43" s="542" t="s">
        <v>1208</v>
      </c>
      <c r="M43" s="542"/>
      <c r="N43" s="542"/>
      <c r="O43" s="542"/>
      <c r="P43" s="542" t="s">
        <v>1151</v>
      </c>
      <c r="Q43" s="542"/>
      <c r="R43" s="544"/>
      <c r="S43" s="542"/>
      <c r="T43" s="542" t="s">
        <v>80</v>
      </c>
      <c r="U43" s="542"/>
      <c r="V43" s="545">
        <v>350</v>
      </c>
      <c r="W43" s="542"/>
      <c r="X43" s="545"/>
      <c r="Y43" s="542"/>
      <c r="Z43" s="545">
        <v>19296.849999999999</v>
      </c>
    </row>
    <row r="44" spans="1:26">
      <c r="A44" s="542"/>
      <c r="B44" s="542"/>
      <c r="C44" s="542"/>
      <c r="D44" s="542"/>
      <c r="E44" s="542"/>
      <c r="F44" s="542" t="s">
        <v>1148</v>
      </c>
      <c r="G44" s="542"/>
      <c r="H44" s="543">
        <v>43412</v>
      </c>
      <c r="I44" s="542"/>
      <c r="J44" s="542" t="s">
        <v>1215</v>
      </c>
      <c r="K44" s="542"/>
      <c r="L44" s="542" t="s">
        <v>1208</v>
      </c>
      <c r="M44" s="542"/>
      <c r="N44" s="542"/>
      <c r="O44" s="542"/>
      <c r="P44" s="542" t="s">
        <v>1151</v>
      </c>
      <c r="Q44" s="542"/>
      <c r="R44" s="544"/>
      <c r="S44" s="542"/>
      <c r="T44" s="542" t="s">
        <v>80</v>
      </c>
      <c r="U44" s="542"/>
      <c r="V44" s="545">
        <v>350</v>
      </c>
      <c r="W44" s="542"/>
      <c r="X44" s="545"/>
      <c r="Y44" s="542"/>
      <c r="Z44" s="545">
        <v>20271.849999999999</v>
      </c>
    </row>
    <row r="45" spans="1:26" ht="15.75" thickBot="1">
      <c r="A45" s="542"/>
      <c r="B45" s="542"/>
      <c r="C45" s="542"/>
      <c r="D45" s="542"/>
      <c r="E45" s="542"/>
      <c r="F45" s="542" t="s">
        <v>1148</v>
      </c>
      <c r="G45" s="542"/>
      <c r="H45" s="543">
        <v>43439</v>
      </c>
      <c r="I45" s="542"/>
      <c r="J45" s="542" t="s">
        <v>1216</v>
      </c>
      <c r="K45" s="542"/>
      <c r="L45" s="542" t="s">
        <v>1208</v>
      </c>
      <c r="M45" s="542"/>
      <c r="N45" s="542"/>
      <c r="O45" s="542"/>
      <c r="P45" s="542" t="s">
        <v>1151</v>
      </c>
      <c r="Q45" s="542"/>
      <c r="R45" s="544"/>
      <c r="S45" s="542"/>
      <c r="T45" s="542" t="s">
        <v>80</v>
      </c>
      <c r="U45" s="542"/>
      <c r="V45" s="545">
        <v>350</v>
      </c>
      <c r="W45" s="542"/>
      <c r="X45" s="545"/>
      <c r="Y45" s="542"/>
      <c r="Z45" s="545">
        <v>20621.849999999999</v>
      </c>
    </row>
    <row r="46" spans="1:26" ht="15.75" thickBot="1">
      <c r="A46" s="542"/>
      <c r="B46" s="542"/>
      <c r="C46" s="542" t="s">
        <v>1252</v>
      </c>
      <c r="D46" s="542"/>
      <c r="E46" s="542"/>
      <c r="F46" s="542"/>
      <c r="G46" s="542"/>
      <c r="H46" s="543"/>
      <c r="I46" s="542"/>
      <c r="J46" s="542"/>
      <c r="K46" s="542"/>
      <c r="L46" s="542"/>
      <c r="M46" s="542"/>
      <c r="N46" s="542"/>
      <c r="O46" s="542"/>
      <c r="P46" s="542"/>
      <c r="Q46" s="542"/>
      <c r="R46" s="542"/>
      <c r="S46" s="542"/>
      <c r="T46" s="542"/>
      <c r="U46" s="542"/>
      <c r="V46" s="547">
        <f>ROUND(SUM(V3:V45),5)</f>
        <v>21246.85</v>
      </c>
      <c r="W46" s="542"/>
      <c r="X46" s="547">
        <f>ROUND(SUM(X3:X45),5)</f>
        <v>0</v>
      </c>
      <c r="Y46" s="542"/>
      <c r="Z46" s="547">
        <f>Z45</f>
        <v>20621.849999999999</v>
      </c>
    </row>
    <row r="47" spans="1:26" ht="15.75" thickBot="1">
      <c r="A47" s="542"/>
      <c r="B47" s="542" t="s">
        <v>333</v>
      </c>
      <c r="C47" s="542"/>
      <c r="D47" s="542"/>
      <c r="E47" s="542"/>
      <c r="F47" s="542"/>
      <c r="G47" s="542"/>
      <c r="H47" s="543"/>
      <c r="I47" s="542"/>
      <c r="J47" s="542"/>
      <c r="K47" s="542"/>
      <c r="L47" s="542"/>
      <c r="M47" s="542"/>
      <c r="N47" s="542"/>
      <c r="O47" s="542"/>
      <c r="P47" s="542"/>
      <c r="Q47" s="542"/>
      <c r="R47" s="542"/>
      <c r="S47" s="542"/>
      <c r="T47" s="542"/>
      <c r="U47" s="542"/>
      <c r="V47" s="547">
        <f>V46</f>
        <v>21246.85</v>
      </c>
      <c r="W47" s="542"/>
      <c r="X47" s="547">
        <f>X46</f>
        <v>0</v>
      </c>
      <c r="Y47" s="542"/>
      <c r="Z47" s="547">
        <f>Z46</f>
        <v>20621.849999999999</v>
      </c>
    </row>
    <row r="48" spans="1:26" ht="16.5" thickBot="1">
      <c r="A48" s="539" t="s">
        <v>127</v>
      </c>
      <c r="B48" s="539"/>
      <c r="C48" s="539"/>
      <c r="D48" s="539"/>
      <c r="E48" s="539"/>
      <c r="F48" s="539"/>
      <c r="G48" s="539"/>
      <c r="H48" s="540"/>
      <c r="I48" s="539"/>
      <c r="J48" s="539"/>
      <c r="K48" s="539"/>
      <c r="L48" s="539"/>
      <c r="M48" s="539"/>
      <c r="N48" s="539"/>
      <c r="O48" s="539"/>
      <c r="P48" s="539"/>
      <c r="Q48" s="539"/>
      <c r="R48" s="539"/>
      <c r="S48" s="539"/>
      <c r="T48" s="539"/>
      <c r="U48" s="539"/>
      <c r="V48" s="548">
        <f>V47</f>
        <v>21246.85</v>
      </c>
      <c r="W48" s="539"/>
      <c r="X48" s="548">
        <f>X47</f>
        <v>0</v>
      </c>
      <c r="Y48" s="539"/>
      <c r="Z48" s="548">
        <f>Z47</f>
        <v>20621.849999999999</v>
      </c>
    </row>
    <row r="49" spans="1:26" ht="15.75" thickTop="1">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row>
    <row r="50" spans="1:26">
      <c r="A50" s="549"/>
      <c r="B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row>
    <row r="51" spans="1:26">
      <c r="A51" s="549"/>
      <c r="B51" s="549"/>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row>
    <row r="52" spans="1:26">
      <c r="A52" s="549"/>
      <c r="B52" s="549"/>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49"/>
    </row>
    <row r="53" spans="1:26">
      <c r="A53" s="549"/>
      <c r="B53" s="549"/>
      <c r="C53" s="549"/>
      <c r="D53" s="549"/>
      <c r="E53" s="549"/>
      <c r="F53" s="549"/>
      <c r="G53" s="549"/>
      <c r="H53" s="549"/>
      <c r="I53" s="549"/>
      <c r="J53" s="549"/>
      <c r="K53" s="549"/>
      <c r="L53" s="549"/>
      <c r="M53" s="549"/>
      <c r="N53" s="549"/>
      <c r="O53" s="549"/>
      <c r="P53" s="549"/>
      <c r="Q53" s="549"/>
      <c r="R53" s="549"/>
      <c r="S53" s="549"/>
      <c r="T53" s="549"/>
      <c r="U53" s="549"/>
      <c r="V53" s="549"/>
      <c r="W53" s="549"/>
      <c r="X53" s="549"/>
      <c r="Y53" s="549"/>
      <c r="Z53" s="549"/>
    </row>
    <row r="54" spans="1:26">
      <c r="A54" s="549"/>
      <c r="B54" s="549"/>
      <c r="C54" s="549"/>
      <c r="D54" s="549"/>
      <c r="E54" s="549"/>
      <c r="F54" s="549"/>
      <c r="G54" s="549"/>
      <c r="H54" s="549"/>
      <c r="I54" s="549"/>
      <c r="J54" s="549"/>
      <c r="K54" s="549"/>
      <c r="L54" s="542" t="s">
        <v>1208</v>
      </c>
      <c r="M54" s="549"/>
      <c r="N54" s="549"/>
      <c r="O54" s="549"/>
      <c r="P54" s="549"/>
      <c r="Q54" s="549"/>
      <c r="R54" s="549"/>
      <c r="S54" s="549"/>
      <c r="T54" s="549"/>
      <c r="U54" s="549"/>
      <c r="V54" s="550">
        <f>SUM(V34:V45)</f>
        <v>4200</v>
      </c>
      <c r="W54" s="549"/>
      <c r="X54" s="549"/>
      <c r="Y54" s="549"/>
      <c r="Z54" s="54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A494-5040-496A-A201-E8057B890736}">
  <sheetPr>
    <pageSetUpPr fitToPage="1"/>
  </sheetPr>
  <dimension ref="A1:AT113"/>
  <sheetViews>
    <sheetView workbookViewId="0">
      <selection activeCell="I13" sqref="I13"/>
    </sheetView>
  </sheetViews>
  <sheetFormatPr defaultRowHeight="15"/>
  <cols>
    <col min="1" max="1" width="3.77734375" customWidth="1"/>
    <col min="2" max="2" width="26.109375" bestFit="1" customWidth="1"/>
    <col min="3" max="3" width="16.5546875" customWidth="1"/>
    <col min="4" max="4" width="0" hidden="1" customWidth="1"/>
    <col min="5" max="5" width="5.6640625" customWidth="1"/>
    <col min="6" max="6" width="4.44140625" customWidth="1"/>
    <col min="7" max="7" width="6.6640625" customWidth="1"/>
    <col min="8" max="8" width="11.6640625" customWidth="1"/>
    <col min="9" max="9" width="13.77734375" customWidth="1"/>
    <col min="10" max="10" width="10.33203125" customWidth="1"/>
    <col min="11" max="11" width="11.77734375" bestFit="1" customWidth="1"/>
    <col min="12" max="13" width="14.33203125" customWidth="1"/>
    <col min="14" max="14" width="4.77734375" customWidth="1"/>
    <col min="15" max="15" width="4.88671875" customWidth="1"/>
    <col min="16" max="16" width="31.44140625" customWidth="1"/>
    <col min="18" max="18" width="10.77734375" customWidth="1"/>
    <col min="20" max="20" width="10.44140625" customWidth="1"/>
    <col min="21" max="21" width="12.21875" customWidth="1"/>
    <col min="23" max="24" width="13.77734375" customWidth="1"/>
    <col min="25" max="25" width="12.44140625" customWidth="1"/>
    <col min="27" max="27" width="12.33203125" customWidth="1"/>
    <col min="30" max="30" width="12.77734375" customWidth="1"/>
    <col min="31" max="31" width="13.44140625" customWidth="1"/>
    <col min="32" max="32" width="16.109375" customWidth="1"/>
    <col min="33" max="33" width="14.109375" customWidth="1"/>
    <col min="34" max="34" width="12.77734375" customWidth="1"/>
    <col min="36" max="36" width="10.77734375" customWidth="1"/>
    <col min="37" max="37" width="12.77734375" customWidth="1"/>
    <col min="38" max="46" width="11.77734375" customWidth="1"/>
  </cols>
  <sheetData>
    <row r="1" spans="1:46" ht="15.75" thickBot="1">
      <c r="A1" s="312"/>
      <c r="B1" s="313"/>
      <c r="C1" s="313"/>
      <c r="D1" s="313"/>
      <c r="E1" s="313"/>
      <c r="F1" s="313"/>
      <c r="G1" s="313"/>
      <c r="H1" s="313"/>
      <c r="I1" s="314"/>
      <c r="J1" s="314"/>
      <c r="K1" s="314"/>
      <c r="L1" s="314"/>
      <c r="M1" s="314"/>
      <c r="N1" s="314"/>
      <c r="O1" s="313"/>
      <c r="P1" s="313"/>
      <c r="Q1" s="315"/>
      <c r="R1" s="316"/>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row>
    <row r="2" spans="1:46" ht="19.5" thickBot="1">
      <c r="A2" s="312"/>
      <c r="B2" s="862" t="s">
        <v>1019</v>
      </c>
      <c r="C2" s="862"/>
      <c r="D2" s="312"/>
      <c r="E2" s="312"/>
      <c r="F2" s="318" t="s">
        <v>1020</v>
      </c>
      <c r="G2" s="319"/>
      <c r="H2" s="319"/>
      <c r="I2" s="320" t="s">
        <v>1021</v>
      </c>
      <c r="J2" s="319"/>
      <c r="K2" s="319"/>
      <c r="L2" s="319"/>
      <c r="M2" s="318" t="s">
        <v>1020</v>
      </c>
      <c r="N2" s="26"/>
      <c r="O2" s="312"/>
      <c r="P2" s="312"/>
      <c r="Q2" s="321"/>
      <c r="R2" s="322" t="s">
        <v>1022</v>
      </c>
      <c r="S2" s="323"/>
      <c r="T2" s="324"/>
      <c r="U2" s="26"/>
      <c r="V2" s="26"/>
      <c r="W2" s="26"/>
      <c r="X2" s="26"/>
      <c r="Y2" s="26"/>
      <c r="Z2" s="26"/>
      <c r="AA2" s="26"/>
      <c r="AB2" s="26"/>
      <c r="AC2" s="26"/>
      <c r="AD2" s="26"/>
      <c r="AE2" s="26"/>
      <c r="AF2" s="863" t="s">
        <v>1023</v>
      </c>
      <c r="AG2" s="864"/>
      <c r="AH2" s="864"/>
      <c r="AI2" s="865"/>
      <c r="AJ2" s="26"/>
      <c r="AK2" s="26"/>
      <c r="AL2" s="26"/>
      <c r="AM2" s="26"/>
      <c r="AN2" s="26"/>
      <c r="AO2" s="26"/>
      <c r="AP2" s="26"/>
      <c r="AQ2" s="26"/>
      <c r="AR2" s="26"/>
      <c r="AS2" s="26"/>
      <c r="AT2" s="26"/>
    </row>
    <row r="3" spans="1:46" ht="15.75">
      <c r="A3" s="312"/>
      <c r="B3" s="312"/>
      <c r="C3" s="312"/>
      <c r="D3" s="312"/>
      <c r="E3" s="312"/>
      <c r="F3" s="325"/>
      <c r="G3" s="326"/>
      <c r="H3" s="26"/>
      <c r="I3" s="26"/>
      <c r="J3" s="26"/>
      <c r="K3" s="327" t="s">
        <v>1024</v>
      </c>
      <c r="L3" s="26"/>
      <c r="M3" s="327" t="s">
        <v>1025</v>
      </c>
      <c r="N3" s="26"/>
      <c r="O3" s="312"/>
      <c r="P3" s="312"/>
      <c r="Q3" s="321"/>
      <c r="R3" s="26"/>
      <c r="S3" s="26"/>
      <c r="T3" s="26" t="s">
        <v>1026</v>
      </c>
      <c r="U3" s="26"/>
      <c r="V3" s="328" t="s">
        <v>1026</v>
      </c>
      <c r="W3" s="328" t="s">
        <v>1026</v>
      </c>
      <c r="X3" s="328" t="s">
        <v>1026</v>
      </c>
      <c r="Y3" s="328" t="s">
        <v>1027</v>
      </c>
      <c r="Z3" s="328" t="s">
        <v>1027</v>
      </c>
      <c r="AA3" s="328" t="s">
        <v>1027</v>
      </c>
      <c r="AB3" s="328" t="s">
        <v>1027</v>
      </c>
      <c r="AC3" s="328" t="s">
        <v>1027</v>
      </c>
      <c r="AD3" s="328" t="s">
        <v>1027</v>
      </c>
      <c r="AE3" s="328" t="s">
        <v>1028</v>
      </c>
      <c r="AF3" s="328" t="s">
        <v>1</v>
      </c>
      <c r="AG3" s="328" t="s">
        <v>1029</v>
      </c>
      <c r="AH3" s="328"/>
      <c r="AI3" s="26"/>
      <c r="AJ3" s="26"/>
      <c r="AK3" s="26"/>
      <c r="AL3" s="26"/>
      <c r="AM3" s="26"/>
      <c r="AN3" s="26"/>
      <c r="AO3" s="26"/>
      <c r="AP3" s="26"/>
      <c r="AQ3" s="26"/>
      <c r="AR3" s="26"/>
      <c r="AS3" s="26"/>
      <c r="AT3" s="26"/>
    </row>
    <row r="4" spans="1:46" ht="19.5" thickBot="1">
      <c r="A4" s="312"/>
      <c r="B4" s="329" t="s">
        <v>1030</v>
      </c>
      <c r="C4" s="330"/>
      <c r="D4" s="331"/>
      <c r="E4" s="312"/>
      <c r="F4" s="332"/>
      <c r="G4" s="326"/>
      <c r="H4" s="333" t="s">
        <v>1031</v>
      </c>
      <c r="I4" s="333" t="s">
        <v>1032</v>
      </c>
      <c r="J4" s="333" t="s">
        <v>1033</v>
      </c>
      <c r="K4" s="333" t="s">
        <v>1034</v>
      </c>
      <c r="L4" s="333" t="s">
        <v>1035</v>
      </c>
      <c r="M4" s="333" t="s">
        <v>1036</v>
      </c>
      <c r="N4" s="26"/>
      <c r="O4" s="334"/>
      <c r="P4" s="312"/>
      <c r="Q4" s="321"/>
      <c r="R4" s="26"/>
      <c r="S4" s="26"/>
      <c r="T4" s="328" t="s">
        <v>1037</v>
      </c>
      <c r="U4" s="26"/>
      <c r="V4" s="328" t="s">
        <v>938</v>
      </c>
      <c r="W4" s="328" t="s">
        <v>1038</v>
      </c>
      <c r="X4" s="328" t="s">
        <v>1039</v>
      </c>
      <c r="Y4" s="328" t="s">
        <v>1040</v>
      </c>
      <c r="Z4" s="328" t="s">
        <v>1040</v>
      </c>
      <c r="AA4" s="328" t="s">
        <v>1040</v>
      </c>
      <c r="AB4" s="328" t="s">
        <v>1038</v>
      </c>
      <c r="AC4" s="328" t="s">
        <v>1037</v>
      </c>
      <c r="AD4" s="328" t="s">
        <v>1037</v>
      </c>
      <c r="AE4" s="328" t="s">
        <v>1041</v>
      </c>
      <c r="AF4" s="328" t="s">
        <v>1042</v>
      </c>
      <c r="AG4" s="328" t="s">
        <v>1043</v>
      </c>
      <c r="AH4" s="328" t="s">
        <v>1044</v>
      </c>
      <c r="AI4" s="328" t="s">
        <v>1045</v>
      </c>
      <c r="AJ4" s="26"/>
      <c r="AK4" s="26"/>
      <c r="AL4" s="26"/>
      <c r="AM4" s="26"/>
      <c r="AN4" s="26"/>
      <c r="AO4" s="26"/>
      <c r="AP4" s="26"/>
      <c r="AQ4" s="26"/>
      <c r="AR4" s="26"/>
      <c r="AS4" s="26"/>
      <c r="AT4" s="26"/>
    </row>
    <row r="5" spans="1:46" ht="15.75">
      <c r="A5" s="312"/>
      <c r="B5" s="335" t="s">
        <v>1046</v>
      </c>
      <c r="C5" s="336">
        <f>+Allocations!F21</f>
        <v>1424426.54</v>
      </c>
      <c r="D5" s="331"/>
      <c r="E5" s="312"/>
      <c r="F5" s="337" t="s">
        <v>1047</v>
      </c>
      <c r="G5" s="338"/>
      <c r="H5" s="338"/>
      <c r="I5" s="333" t="s">
        <v>1048</v>
      </c>
      <c r="J5" s="333" t="s">
        <v>1</v>
      </c>
      <c r="K5" s="339" t="s">
        <v>1049</v>
      </c>
      <c r="L5" s="339" t="s">
        <v>1050</v>
      </c>
      <c r="M5" s="339" t="s">
        <v>1</v>
      </c>
      <c r="N5" s="26"/>
      <c r="O5" s="340"/>
      <c r="P5" s="312"/>
      <c r="Q5" s="321"/>
      <c r="R5" s="341"/>
      <c r="S5" s="26"/>
      <c r="T5" s="328" t="s">
        <v>1051</v>
      </c>
      <c r="U5" s="328" t="s">
        <v>1052</v>
      </c>
      <c r="V5" s="328" t="s">
        <v>1053</v>
      </c>
      <c r="W5" s="328" t="s">
        <v>1054</v>
      </c>
      <c r="X5" s="328" t="s">
        <v>14</v>
      </c>
      <c r="Y5" s="328" t="s">
        <v>107</v>
      </c>
      <c r="Z5" s="328" t="s">
        <v>1055</v>
      </c>
      <c r="AA5" s="328" t="s">
        <v>1056</v>
      </c>
      <c r="AB5" s="328" t="s">
        <v>1057</v>
      </c>
      <c r="AC5" s="328" t="s">
        <v>1051</v>
      </c>
      <c r="AD5" s="328" t="s">
        <v>478</v>
      </c>
      <c r="AE5" s="328" t="s">
        <v>1058</v>
      </c>
      <c r="AF5" s="328" t="s">
        <v>1059</v>
      </c>
      <c r="AG5" s="328" t="s">
        <v>1059</v>
      </c>
      <c r="AH5" s="328" t="s">
        <v>1058</v>
      </c>
      <c r="AI5" s="328" t="s">
        <v>1028</v>
      </c>
      <c r="AJ5" s="26"/>
      <c r="AK5" s="26"/>
      <c r="AL5" s="26"/>
      <c r="AM5" s="26"/>
      <c r="AN5" s="26"/>
      <c r="AO5" s="26"/>
      <c r="AP5" s="26"/>
      <c r="AQ5" s="26"/>
      <c r="AR5" s="26"/>
      <c r="AS5" s="26"/>
      <c r="AT5" s="26"/>
    </row>
    <row r="6" spans="1:46" ht="15.75">
      <c r="A6" s="312"/>
      <c r="B6" s="335" t="s">
        <v>1060</v>
      </c>
      <c r="C6" s="342">
        <f>+Allocations!F69</f>
        <v>1938562.5810756201</v>
      </c>
      <c r="D6" s="331"/>
      <c r="E6" s="312"/>
      <c r="F6" s="343" t="s">
        <v>1061</v>
      </c>
      <c r="G6" s="338"/>
      <c r="H6" s="338"/>
      <c r="I6" s="344"/>
      <c r="J6" s="345" t="s">
        <v>1062</v>
      </c>
      <c r="K6" s="346"/>
      <c r="L6" s="345" t="s">
        <v>1063</v>
      </c>
      <c r="M6" s="345" t="s">
        <v>1064</v>
      </c>
      <c r="N6" s="26"/>
      <c r="O6" s="340"/>
      <c r="P6" s="312"/>
      <c r="Q6" s="321"/>
      <c r="R6" s="347">
        <v>1</v>
      </c>
      <c r="S6" s="348">
        <f>Revenue/Investment*100</f>
        <v>1002.6618452430071</v>
      </c>
      <c r="T6" s="349">
        <f>EXP(y_inter1-(slope*LN(+S6)))</f>
        <v>2.7132781205185537</v>
      </c>
      <c r="U6" s="350">
        <f>(+S6*T6/100)/100</f>
        <v>0.27205004469766114</v>
      </c>
      <c r="V6" s="350">
        <f>regDebt_weighted</f>
        <v>3.5860000000000003E-2</v>
      </c>
      <c r="W6" s="350">
        <f>+U6-V6</f>
        <v>0.23619004469766114</v>
      </c>
      <c r="X6" s="350">
        <f>+((W6*(1-0.34))-Pfd_weighted)/Equity_percent</f>
        <v>0.43516113226876846</v>
      </c>
      <c r="Y6" s="350">
        <f>X6*equityP</f>
        <v>0.26109667936126107</v>
      </c>
      <c r="Z6" s="350">
        <f>+Y6/(1-taxrate)</f>
        <v>0.33050212577374816</v>
      </c>
      <c r="AA6" s="350">
        <f>debtP*Debt_Rate</f>
        <v>1.5959999999999998E-2</v>
      </c>
      <c r="AB6" s="350">
        <f>AA6+Z6</f>
        <v>0.34646212577374813</v>
      </c>
      <c r="AC6" s="350">
        <f>AB6/(S6/100)</f>
        <v>3.4554234552505475E-2</v>
      </c>
      <c r="AD6" s="350">
        <f>1-AC6</f>
        <v>0.9654457654474945</v>
      </c>
      <c r="AE6" s="351">
        <f>expenses/(AD6)</f>
        <v>2007945.6044608322</v>
      </c>
      <c r="AF6" s="352">
        <f>+AE6-Revenue</f>
        <v>583519.06446083216</v>
      </c>
      <c r="AG6" s="353">
        <f ca="1">+AF6/$J$49</f>
        <v>612149.1363261888</v>
      </c>
      <c r="AH6" s="353">
        <f ca="1">+AG6*$J$47</f>
        <v>12304.197640156395</v>
      </c>
      <c r="AI6" s="351">
        <f ca="1">ROUND(+AH6+AE6,5)</f>
        <v>2020249.8021</v>
      </c>
      <c r="AJ6" s="26"/>
      <c r="AK6" s="26"/>
      <c r="AL6" s="26"/>
      <c r="AM6" s="26"/>
      <c r="AN6" s="26"/>
      <c r="AO6" s="26"/>
      <c r="AP6" s="26"/>
      <c r="AQ6" s="26"/>
      <c r="AR6" s="26"/>
      <c r="AS6" s="26"/>
      <c r="AT6" s="26"/>
    </row>
    <row r="7" spans="1:46" ht="15.75">
      <c r="A7" s="312"/>
      <c r="B7" s="335" t="s">
        <v>1065</v>
      </c>
      <c r="C7" s="342">
        <f>+'Regulatory Depreciation '!L219</f>
        <v>142064.50028571428</v>
      </c>
      <c r="D7" s="331"/>
      <c r="E7" s="312"/>
      <c r="F7" s="354">
        <v>1</v>
      </c>
      <c r="G7" s="338"/>
      <c r="H7" s="355" t="s">
        <v>1046</v>
      </c>
      <c r="I7" s="356">
        <f>IF(A65=TRUE,C5,0)</f>
        <v>1424426.54</v>
      </c>
      <c r="J7" s="356">
        <f ca="1">(+$I8/($R51))-I7</f>
        <v>567581.62000865233</v>
      </c>
      <c r="K7" s="356">
        <f ca="1">+I7+J7</f>
        <v>1992008.1600086524</v>
      </c>
      <c r="L7" s="356">
        <f ca="1">((+J7/J49*K35)-J7)</f>
        <v>11968.137555127614</v>
      </c>
      <c r="M7" s="356">
        <f ca="1">IFERROR(+K7+L7,0.00001)</f>
        <v>2003976.2975637801</v>
      </c>
      <c r="N7" s="26"/>
      <c r="O7" s="340"/>
      <c r="P7" s="312"/>
      <c r="Q7" s="321"/>
      <c r="R7" s="357">
        <v>2</v>
      </c>
      <c r="S7" s="358">
        <f>Revenue/Investment*100</f>
        <v>1002.6618452430071</v>
      </c>
      <c r="T7" s="359">
        <f>EXP(y_inter1-(slope*LN(+S7)))</f>
        <v>2.7132781205185537</v>
      </c>
      <c r="U7" s="360">
        <f t="shared" ref="U7:U9" si="0">(+S7*T7/100)/100</f>
        <v>0.27205004469766114</v>
      </c>
      <c r="V7" s="360">
        <f>regDebt_weighted</f>
        <v>3.5860000000000003E-2</v>
      </c>
      <c r="W7" s="360">
        <f t="shared" ref="W7:W9" si="1">+U7-V7</f>
        <v>0.23619004469766114</v>
      </c>
      <c r="X7" s="360">
        <f>+((W7*(1-0.34))-Pfd_weighted)/Equity_percent</f>
        <v>0.43516113226876846</v>
      </c>
      <c r="Y7" s="360">
        <f>X7*equityP</f>
        <v>0.26109667936126107</v>
      </c>
      <c r="Z7" s="360">
        <f>+Y7/(1-taxrate)</f>
        <v>0.33050212577374816</v>
      </c>
      <c r="AA7" s="360">
        <f>debtP*Debt_Rate</f>
        <v>1.5959999999999998E-2</v>
      </c>
      <c r="AB7" s="360">
        <f t="shared" ref="AB7:AB9" si="2">AA7+Z7</f>
        <v>0.34646212577374813</v>
      </c>
      <c r="AC7" s="360">
        <f t="shared" ref="AC7:AC9" si="3">AB7/(S7/100)</f>
        <v>3.4554234552505475E-2</v>
      </c>
      <c r="AD7" s="360">
        <f t="shared" ref="AD7:AD9" si="4">1-AC7</f>
        <v>0.9654457654474945</v>
      </c>
      <c r="AE7" s="361">
        <f>expenses/(AD7)</f>
        <v>2007945.6044608322</v>
      </c>
      <c r="AF7" s="362">
        <f>+AE7-Revenue</f>
        <v>583519.06446083216</v>
      </c>
      <c r="AG7" s="363">
        <f ca="1">+AF7/$J$49</f>
        <v>612149.1363261888</v>
      </c>
      <c r="AH7" s="363">
        <f ca="1">+AG7*$J$47</f>
        <v>12304.197640156395</v>
      </c>
      <c r="AI7" s="361">
        <f t="shared" ref="AI7:AI9" ca="1" si="5">ROUND(+AH7+AE7,5)</f>
        <v>2020249.8021</v>
      </c>
      <c r="AJ7" s="26"/>
      <c r="AK7" s="26"/>
      <c r="AL7" s="26"/>
      <c r="AM7" s="26"/>
      <c r="AN7" s="26"/>
      <c r="AO7" s="26"/>
      <c r="AP7" s="26"/>
      <c r="AQ7" s="26"/>
      <c r="AR7" s="26"/>
      <c r="AS7" s="26"/>
      <c r="AT7" s="26"/>
    </row>
    <row r="8" spans="1:46" ht="15.75">
      <c r="A8" s="312"/>
      <c r="B8" s="335" t="s">
        <v>1066</v>
      </c>
      <c r="C8" s="364">
        <v>0.4</v>
      </c>
      <c r="D8" s="331"/>
      <c r="E8" s="312"/>
      <c r="F8" s="365">
        <f>+F7+1</f>
        <v>2</v>
      </c>
      <c r="G8" s="338"/>
      <c r="H8" s="355" t="s">
        <v>1060</v>
      </c>
      <c r="I8" s="356">
        <f>IF(A65=TRUE,C6,0)</f>
        <v>1938562.5810756201</v>
      </c>
      <c r="J8" s="326"/>
      <c r="K8" s="356">
        <f>+I8</f>
        <v>1938562.5810756201</v>
      </c>
      <c r="L8" s="356">
        <f ca="1">+L7</f>
        <v>11968.137555127614</v>
      </c>
      <c r="M8" s="356">
        <f ca="1">IFERROR(+K8+L8,0.00001)</f>
        <v>1950530.7186307479</v>
      </c>
      <c r="N8" s="26"/>
      <c r="O8" s="340"/>
      <c r="P8" s="312"/>
      <c r="Q8" s="321"/>
      <c r="R8" s="366">
        <v>3</v>
      </c>
      <c r="S8" s="358">
        <f>Revenue/Investment*100</f>
        <v>1002.6618452430071</v>
      </c>
      <c r="T8" s="359">
        <f>EXP(y_inter1-(slope*LN(+S8)))</f>
        <v>2.7132781205185537</v>
      </c>
      <c r="U8" s="360">
        <f t="shared" si="0"/>
        <v>0.27205004469766114</v>
      </c>
      <c r="V8" s="360">
        <f>regDebt_weighted</f>
        <v>3.5860000000000003E-2</v>
      </c>
      <c r="W8" s="360">
        <f t="shared" si="1"/>
        <v>0.23619004469766114</v>
      </c>
      <c r="X8" s="360">
        <f>+((W8*(1-0.34))-Pfd_weighted)/Equity_percent</f>
        <v>0.43516113226876846</v>
      </c>
      <c r="Y8" s="360">
        <f>X8*equityP</f>
        <v>0.26109667936126107</v>
      </c>
      <c r="Z8" s="360">
        <f>+Y8/(1-taxrate)</f>
        <v>0.33050212577374816</v>
      </c>
      <c r="AA8" s="360">
        <f>debtP*Debt_Rate</f>
        <v>1.5959999999999998E-2</v>
      </c>
      <c r="AB8" s="360">
        <f t="shared" si="2"/>
        <v>0.34646212577374813</v>
      </c>
      <c r="AC8" s="360">
        <f t="shared" si="3"/>
        <v>3.4554234552505475E-2</v>
      </c>
      <c r="AD8" s="360">
        <f t="shared" si="4"/>
        <v>0.9654457654474945</v>
      </c>
      <c r="AE8" s="361">
        <f>expenses/(AD8)</f>
        <v>2007945.6044608322</v>
      </c>
      <c r="AF8" s="362">
        <f>+AE8-Revenue</f>
        <v>583519.06446083216</v>
      </c>
      <c r="AG8" s="363">
        <f ca="1">+AF8/$J$49</f>
        <v>612149.1363261888</v>
      </c>
      <c r="AH8" s="363">
        <f ca="1">+AG8*$J$47</f>
        <v>12304.197640156395</v>
      </c>
      <c r="AI8" s="361">
        <f t="shared" ca="1" si="5"/>
        <v>2020249.8021</v>
      </c>
      <c r="AJ8" s="26"/>
      <c r="AK8" s="26"/>
      <c r="AL8" s="26"/>
      <c r="AM8" s="26"/>
      <c r="AN8" s="26"/>
      <c r="AO8" s="26"/>
      <c r="AP8" s="26"/>
      <c r="AQ8" s="26"/>
      <c r="AR8" s="26"/>
      <c r="AS8" s="26"/>
      <c r="AT8" s="26"/>
    </row>
    <row r="9" spans="1:46" ht="15.75">
      <c r="A9" s="312"/>
      <c r="B9" s="335" t="s">
        <v>1067</v>
      </c>
      <c r="C9" s="515">
        <v>3.9899999999999998E-2</v>
      </c>
      <c r="D9" s="331"/>
      <c r="E9" s="312"/>
      <c r="F9" s="365">
        <f t="shared" ref="F9:F49" si="6">+F8+1</f>
        <v>3</v>
      </c>
      <c r="G9" s="338"/>
      <c r="H9" s="355" t="s">
        <v>470</v>
      </c>
      <c r="I9" s="367">
        <f>+I7-I8</f>
        <v>-514136.0410756201</v>
      </c>
      <c r="J9" s="326"/>
      <c r="K9" s="367">
        <f ca="1">+K7-K8</f>
        <v>53445.57893303223</v>
      </c>
      <c r="L9" s="338"/>
      <c r="M9" s="368">
        <f ca="1">+M7-M8</f>
        <v>53445.57893303223</v>
      </c>
      <c r="N9" s="26"/>
      <c r="O9" s="340"/>
      <c r="P9" s="312"/>
      <c r="Q9" s="321"/>
      <c r="R9" s="369">
        <v>4</v>
      </c>
      <c r="S9" s="358">
        <f>Revenue/Investment*100</f>
        <v>1002.6618452430071</v>
      </c>
      <c r="T9" s="359">
        <f>EXP(y_inter1-(slope*LN(+S9)))</f>
        <v>2.7132781205185537</v>
      </c>
      <c r="U9" s="360">
        <f t="shared" si="0"/>
        <v>0.27205004469766114</v>
      </c>
      <c r="V9" s="360">
        <f>regDebt_weighted</f>
        <v>3.5860000000000003E-2</v>
      </c>
      <c r="W9" s="360">
        <f t="shared" si="1"/>
        <v>0.23619004469766114</v>
      </c>
      <c r="X9" s="360">
        <f>+((W9*(1-0.34))-Pfd_weighted)/Equity_percent</f>
        <v>0.43516113226876846</v>
      </c>
      <c r="Y9" s="360">
        <f>X9*equityP</f>
        <v>0.26109667936126107</v>
      </c>
      <c r="Z9" s="360">
        <f>+Y9/(1-taxrate)</f>
        <v>0.33050212577374816</v>
      </c>
      <c r="AA9" s="360">
        <f>debtP*Debt_Rate</f>
        <v>1.5959999999999998E-2</v>
      </c>
      <c r="AB9" s="360">
        <f t="shared" si="2"/>
        <v>0.34646212577374813</v>
      </c>
      <c r="AC9" s="360">
        <f t="shared" si="3"/>
        <v>3.4554234552505475E-2</v>
      </c>
      <c r="AD9" s="360">
        <f t="shared" si="4"/>
        <v>0.9654457654474945</v>
      </c>
      <c r="AE9" s="361">
        <f>expenses/(AD9)</f>
        <v>2007945.6044608322</v>
      </c>
      <c r="AF9" s="362">
        <f>+AE9-Revenue</f>
        <v>583519.06446083216</v>
      </c>
      <c r="AG9" s="363">
        <f ca="1">+AF9/$J$49</f>
        <v>612149.1363261888</v>
      </c>
      <c r="AH9" s="363">
        <f ca="1">+AG9*$J$47</f>
        <v>12304.197640156395</v>
      </c>
      <c r="AI9" s="361">
        <f t="shared" ca="1" si="5"/>
        <v>2020249.8021</v>
      </c>
      <c r="AJ9" s="26"/>
      <c r="AK9" s="26"/>
      <c r="AL9" s="26"/>
      <c r="AM9" s="26"/>
      <c r="AN9" s="26"/>
      <c r="AO9" s="26"/>
      <c r="AP9" s="26"/>
      <c r="AQ9" s="26"/>
      <c r="AR9" s="26"/>
      <c r="AS9" s="26"/>
      <c r="AT9" s="26"/>
    </row>
    <row r="10" spans="1:46" ht="15.75">
      <c r="A10" s="312"/>
      <c r="B10" s="370" t="s">
        <v>1068</v>
      </c>
      <c r="C10" s="364">
        <v>0.21</v>
      </c>
      <c r="D10" s="331"/>
      <c r="E10" s="312"/>
      <c r="F10" s="365">
        <f t="shared" si="6"/>
        <v>4</v>
      </c>
      <c r="G10" s="338"/>
      <c r="H10" s="338"/>
      <c r="I10" s="326"/>
      <c r="J10" s="326"/>
      <c r="K10" s="356"/>
      <c r="L10" s="338"/>
      <c r="M10" s="338"/>
      <c r="N10" s="338"/>
      <c r="O10" s="340"/>
      <c r="P10" s="312"/>
      <c r="Q10" s="321"/>
      <c r="R10" s="328" t="s">
        <v>1069</v>
      </c>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row>
    <row r="11" spans="1:46" ht="15.75">
      <c r="A11" s="312"/>
      <c r="B11" s="335" t="s">
        <v>1070</v>
      </c>
      <c r="C11" s="371">
        <v>1.4999999999999999E-2</v>
      </c>
      <c r="D11" s="331"/>
      <c r="E11" s="312"/>
      <c r="F11" s="365">
        <f t="shared" si="6"/>
        <v>5</v>
      </c>
      <c r="G11" s="338"/>
      <c r="H11" s="355" t="s">
        <v>476</v>
      </c>
      <c r="I11" s="356">
        <f>+K11</f>
        <v>2267.34942456</v>
      </c>
      <c r="J11" s="326"/>
      <c r="K11" s="356">
        <f>+M27</f>
        <v>2267.34942456</v>
      </c>
      <c r="L11" s="338"/>
      <c r="M11" s="356">
        <f>+K11</f>
        <v>2267.34942456</v>
      </c>
      <c r="N11" s="26"/>
      <c r="O11" s="340"/>
      <c r="P11" s="312"/>
      <c r="Q11" s="321"/>
      <c r="R11" s="347">
        <v>1</v>
      </c>
      <c r="S11" s="348">
        <f ca="1">IF((AI6/Investment*100)&gt;0,(AI6/Investment*100),0)</f>
        <v>1422.0651873177019</v>
      </c>
      <c r="T11" s="349">
        <f ca="1">EXP(y_inter1-(slope*LN(S11)))</f>
        <v>2.1366683859143123</v>
      </c>
      <c r="U11" s="350">
        <f ca="1">(+S11*T11/100)/100</f>
        <v>0.30384817284510485</v>
      </c>
      <c r="V11" s="350">
        <f>regDebt_weighted</f>
        <v>3.5860000000000003E-2</v>
      </c>
      <c r="W11" s="350">
        <f ca="1">+U11-V11</f>
        <v>0.26798817284510484</v>
      </c>
      <c r="X11" s="350">
        <f ca="1">+((W11*(1-0.34))-Pfd_weighted)/Equity_percent</f>
        <v>0.49616916883072437</v>
      </c>
      <c r="Y11" s="350">
        <f ca="1">+X11*equityP</f>
        <v>0.29770150129843459</v>
      </c>
      <c r="Z11" s="350">
        <f ca="1">+Y11/(1-taxrate)</f>
        <v>0.37683734341573999</v>
      </c>
      <c r="AA11" s="350">
        <f>debtP*Debt_Rate</f>
        <v>1.5959999999999998E-2</v>
      </c>
      <c r="AB11" s="350">
        <f ca="1">+AA11+Z11</f>
        <v>0.39279734341573996</v>
      </c>
      <c r="AC11" s="350">
        <f ca="1">+AB11/(S11/100)</f>
        <v>2.762161305394403E-2</v>
      </c>
      <c r="AD11" s="350">
        <f ca="1">1-AC11</f>
        <v>0.97237838694605594</v>
      </c>
      <c r="AE11" s="351">
        <f ca="1">expenses/(AD11)</f>
        <v>1993629.8534607028</v>
      </c>
      <c r="AF11" s="352">
        <f ca="1">+AE11-Revenue</f>
        <v>569203.31346070278</v>
      </c>
      <c r="AG11" s="353">
        <f ca="1">+AF11/$J$49</f>
        <v>597130.99014327489</v>
      </c>
      <c r="AH11" s="353">
        <f ca="1">+AG11*$J$47</f>
        <v>12002.332901879825</v>
      </c>
      <c r="AI11" s="351">
        <f ca="1">ROUND(+AH11+AE11,5)</f>
        <v>2005632.1863599999</v>
      </c>
      <c r="AJ11" s="26"/>
      <c r="AK11" s="26"/>
      <c r="AL11" s="26"/>
      <c r="AM11" s="26"/>
      <c r="AN11" s="26"/>
      <c r="AO11" s="26"/>
      <c r="AP11" s="26"/>
      <c r="AQ11" s="26"/>
      <c r="AR11" s="26"/>
      <c r="AS11" s="26"/>
      <c r="AT11" s="26"/>
    </row>
    <row r="12" spans="1:46" ht="15.75">
      <c r="A12" s="312"/>
      <c r="B12" s="335" t="s">
        <v>1071</v>
      </c>
      <c r="C12" s="371">
        <v>5.1000000000000004E-3</v>
      </c>
      <c r="D12" s="331"/>
      <c r="E12" s="312"/>
      <c r="F12" s="365">
        <f t="shared" si="6"/>
        <v>6</v>
      </c>
      <c r="G12" s="338"/>
      <c r="H12" s="355" t="s">
        <v>1072</v>
      </c>
      <c r="I12" s="356">
        <f ca="1">IF(I14&lt;0,0,+J38*I14)</f>
        <v>0</v>
      </c>
      <c r="J12" s="356">
        <f ca="1">+K12-I12</f>
        <v>10747.428196779167</v>
      </c>
      <c r="K12" s="356">
        <f ca="1">+(K9-K11)*taxrate</f>
        <v>10747.428196779167</v>
      </c>
      <c r="L12" s="338"/>
      <c r="M12" s="356">
        <f ca="1">+K12</f>
        <v>10747.428196779167</v>
      </c>
      <c r="N12" s="26"/>
      <c r="O12" s="340"/>
      <c r="P12" s="312"/>
      <c r="Q12" s="321"/>
      <c r="R12" s="357">
        <v>2</v>
      </c>
      <c r="S12" s="358">
        <f ca="1">IF((AI7/Investment*100)&gt;0,(AI7/Investment*100),0)</f>
        <v>1422.0651873177019</v>
      </c>
      <c r="T12" s="372">
        <f ca="1">EXP(y_inter2-(slope*LN(+S12)))</f>
        <v>2.1062682650278135</v>
      </c>
      <c r="U12" s="360">
        <f ca="1">(+S12*T12/100)/100</f>
        <v>0.29952507748481083</v>
      </c>
      <c r="V12" s="360">
        <f>regDebt_weighted</f>
        <v>3.5860000000000003E-2</v>
      </c>
      <c r="W12" s="360">
        <f ca="1">+U12-V12</f>
        <v>0.26366507748481083</v>
      </c>
      <c r="X12" s="360">
        <f ca="1">+((W12*(1-0.34))-Pfd_weighted)/Equity_percent</f>
        <v>0.48787485796504398</v>
      </c>
      <c r="Y12" s="360">
        <f ca="1">+X12*equityP</f>
        <v>0.2927249147790264</v>
      </c>
      <c r="Z12" s="360">
        <f ca="1">+Y12/(1-taxrate)</f>
        <v>0.37053786680889417</v>
      </c>
      <c r="AA12" s="360">
        <f>debtP*Debt_Rate</f>
        <v>1.5959999999999998E-2</v>
      </c>
      <c r="AB12" s="360">
        <f ca="1">+AA12+Z12</f>
        <v>0.38649786680889414</v>
      </c>
      <c r="AC12" s="360">
        <f ca="1">+AB12/(S12/100)</f>
        <v>2.7178632193219362E-2</v>
      </c>
      <c r="AD12" s="360">
        <f ca="1">1-AC12</f>
        <v>0.97282136780678063</v>
      </c>
      <c r="AE12" s="361">
        <f ca="1">expenses/(AD12)</f>
        <v>1992722.0404770679</v>
      </c>
      <c r="AF12" s="362">
        <f ca="1">+AE12-Revenue</f>
        <v>568295.50047706789</v>
      </c>
      <c r="AG12" s="363">
        <f ca="1">+AF12/$J$49</f>
        <v>596178.63576837326</v>
      </c>
      <c r="AH12" s="363">
        <f ca="1">+AG12*$J$47</f>
        <v>11983.190578944303</v>
      </c>
      <c r="AI12" s="361">
        <f t="shared" ref="AI12:AI14" ca="1" si="7">ROUND(+AH12+AE12,5)</f>
        <v>2004705.2310599999</v>
      </c>
      <c r="AJ12" s="26"/>
      <c r="AK12" s="26"/>
      <c r="AL12" s="26"/>
      <c r="AM12" s="26"/>
      <c r="AN12" s="26"/>
      <c r="AO12" s="26"/>
      <c r="AP12" s="26"/>
      <c r="AQ12" s="26"/>
      <c r="AR12" s="26"/>
      <c r="AS12" s="26"/>
      <c r="AT12" s="26"/>
    </row>
    <row r="13" spans="1:46" ht="15.75">
      <c r="A13" s="312"/>
      <c r="B13" s="335" t="s">
        <v>1073</v>
      </c>
      <c r="C13" s="371">
        <v>0</v>
      </c>
      <c r="D13" s="331"/>
      <c r="E13" s="312"/>
      <c r="F13" s="365">
        <f t="shared" si="6"/>
        <v>7</v>
      </c>
      <c r="G13" s="338"/>
      <c r="H13" s="338"/>
      <c r="I13" s="326"/>
      <c r="J13" s="326"/>
      <c r="K13" s="356"/>
      <c r="L13" s="338"/>
      <c r="M13" s="338"/>
      <c r="N13" s="26"/>
      <c r="O13" s="340"/>
      <c r="P13" s="312"/>
      <c r="Q13" s="321"/>
      <c r="R13" s="366">
        <v>3</v>
      </c>
      <c r="S13" s="358">
        <f ca="1">IF((AI8/Investment*100)&gt;0,(AI8/Investment*100),0)</f>
        <v>1422.0651873177019</v>
      </c>
      <c r="T13" s="359">
        <f ca="1">EXP(y_inter3-(slope*LN(S13)))</f>
        <v>2.0857902222081219</v>
      </c>
      <c r="U13" s="360">
        <f ca="1">(+S13*T13/100)/100</f>
        <v>0.29661296630498241</v>
      </c>
      <c r="V13" s="360">
        <f>regDebt_weighted</f>
        <v>3.5860000000000003E-2</v>
      </c>
      <c r="W13" s="360">
        <f ca="1">+U13-V13</f>
        <v>0.2607529663049824</v>
      </c>
      <c r="X13" s="360">
        <f ca="1">+((W13*(1-0.34))-Pfd_weighted)/Equity_percent</f>
        <v>0.48228766791072203</v>
      </c>
      <c r="Y13" s="360">
        <f ca="1">+X13*equityP</f>
        <v>0.28937260074643323</v>
      </c>
      <c r="Z13" s="360">
        <f ca="1">+Y13/(1-taxrate)</f>
        <v>0.36629443132459899</v>
      </c>
      <c r="AA13" s="360">
        <f>debtP*Debt_Rate</f>
        <v>1.5959999999999998E-2</v>
      </c>
      <c r="AB13" s="360">
        <f ca="1">+AA13+Z13</f>
        <v>0.38225443132459896</v>
      </c>
      <c r="AC13" s="360">
        <f ca="1">+AB13/(S13/100)</f>
        <v>2.6880232687898572E-2</v>
      </c>
      <c r="AD13" s="360">
        <f ca="1">1-AC13</f>
        <v>0.97311976731210148</v>
      </c>
      <c r="AE13" s="361">
        <f ca="1">expenses/(AD13)</f>
        <v>1992110.9879724388</v>
      </c>
      <c r="AF13" s="362">
        <f ca="1">+AE13-Revenue</f>
        <v>567684.44797243876</v>
      </c>
      <c r="AG13" s="363">
        <f ca="1">+AF13/$J$49</f>
        <v>595537.60227736924</v>
      </c>
      <c r="AH13" s="363">
        <f ca="1">+AG13*$J$47</f>
        <v>11970.305805775122</v>
      </c>
      <c r="AI13" s="361">
        <f t="shared" ca="1" si="7"/>
        <v>2004081.2937799999</v>
      </c>
      <c r="AJ13" s="26"/>
      <c r="AK13" s="26"/>
      <c r="AL13" s="26"/>
      <c r="AM13" s="26"/>
      <c r="AN13" s="26"/>
      <c r="AO13" s="26"/>
      <c r="AP13" s="26"/>
      <c r="AQ13" s="26"/>
      <c r="AR13" s="26"/>
      <c r="AS13" s="26"/>
      <c r="AT13" s="26"/>
    </row>
    <row r="14" spans="1:46" ht="16.5" thickBot="1">
      <c r="A14" s="312"/>
      <c r="B14" s="373" t="s">
        <v>1074</v>
      </c>
      <c r="C14" s="371">
        <v>0</v>
      </c>
      <c r="D14" s="331"/>
      <c r="E14" s="312"/>
      <c r="F14" s="365">
        <f t="shared" si="6"/>
        <v>8</v>
      </c>
      <c r="G14" s="338"/>
      <c r="H14" s="338" t="s">
        <v>112</v>
      </c>
      <c r="I14" s="374">
        <f ca="1">+I9-SUM(I11:I13)</f>
        <v>-516403.39050018007</v>
      </c>
      <c r="J14" s="326"/>
      <c r="K14" s="374">
        <f ca="1">+K9-SUM(K11:K13)</f>
        <v>40430.801311693067</v>
      </c>
      <c r="L14" s="338"/>
      <c r="M14" s="374">
        <f ca="1">+M9-SUM(M11:M13)</f>
        <v>40430.801311693067</v>
      </c>
      <c r="N14" s="26"/>
      <c r="O14" s="340"/>
      <c r="P14" s="312"/>
      <c r="Q14" s="321"/>
      <c r="R14" s="369">
        <v>4</v>
      </c>
      <c r="S14" s="358">
        <f ca="1">IF((AI9/Investment*100)&gt;0,(AI9/Investment*100),0)</f>
        <v>1422.0651873177019</v>
      </c>
      <c r="T14" s="375">
        <f ca="1">EXP(y_inter4-(slope*LN(S14)))</f>
        <v>2.0726910495276383</v>
      </c>
      <c r="U14" s="360">
        <f ca="1">(+S14*T14/100)/100</f>
        <v>0.29475017855982449</v>
      </c>
      <c r="V14" s="360">
        <f>regDebt_weighted</f>
        <v>3.5860000000000003E-2</v>
      </c>
      <c r="W14" s="360">
        <f ca="1">+U14-V14</f>
        <v>0.25889017855982449</v>
      </c>
      <c r="X14" s="360">
        <f ca="1">+((W14*(1-0.34))-Pfd_weighted)/Equity_percent</f>
        <v>0.47871371467873303</v>
      </c>
      <c r="Y14" s="360">
        <f ca="1">+X14*equityP</f>
        <v>0.2872282288072398</v>
      </c>
      <c r="Z14" s="360">
        <f ca="1">+Y14/(1-taxrate)</f>
        <v>0.36358003646486048</v>
      </c>
      <c r="AA14" s="360">
        <f>debtP*Debt_Rate</f>
        <v>1.5959999999999998E-2</v>
      </c>
      <c r="AB14" s="360">
        <f ca="1">+AA14+Z14</f>
        <v>0.37954003646486045</v>
      </c>
      <c r="AC14" s="360">
        <f ca="1">+AB14/(S14/100)</f>
        <v>2.6689355723611273E-2</v>
      </c>
      <c r="AD14" s="360">
        <f ca="1">1-AC14</f>
        <v>0.97331064427638869</v>
      </c>
      <c r="AE14" s="361">
        <f ca="1">expenses/(AD14)</f>
        <v>1991720.3130115273</v>
      </c>
      <c r="AF14" s="362">
        <f ca="1">+AE14-Revenue</f>
        <v>567293.77301152726</v>
      </c>
      <c r="AG14" s="363">
        <f ca="1">+AF14/$J$49</f>
        <v>595127.75904435129</v>
      </c>
      <c r="AH14" s="363">
        <f ca="1">+AG14*$J$47</f>
        <v>11962.067956791461</v>
      </c>
      <c r="AI14" s="361">
        <f t="shared" ca="1" si="7"/>
        <v>2003682.3809700001</v>
      </c>
      <c r="AJ14" s="26"/>
      <c r="AK14" s="26"/>
      <c r="AL14" s="26"/>
      <c r="AM14" s="26"/>
      <c r="AN14" s="26"/>
      <c r="AO14" s="26"/>
      <c r="AP14" s="26"/>
      <c r="AQ14" s="26"/>
      <c r="AR14" s="26"/>
      <c r="AS14" s="26"/>
      <c r="AT14" s="26"/>
    </row>
    <row r="15" spans="1:46" ht="16.5" thickTop="1">
      <c r="A15" s="312"/>
      <c r="B15" s="866"/>
      <c r="C15" s="866"/>
      <c r="D15" s="312"/>
      <c r="E15" s="312"/>
      <c r="F15" s="365">
        <f t="shared" si="6"/>
        <v>9</v>
      </c>
      <c r="G15" s="326"/>
      <c r="H15" s="326"/>
      <c r="I15" s="326"/>
      <c r="J15" s="326"/>
      <c r="K15" s="376"/>
      <c r="L15" s="326"/>
      <c r="M15" s="326"/>
      <c r="N15" s="26"/>
      <c r="O15" s="340"/>
      <c r="P15" s="312"/>
      <c r="Q15" s="321"/>
      <c r="R15" s="328" t="s">
        <v>1075</v>
      </c>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row>
    <row r="16" spans="1:46" ht="15.75">
      <c r="A16" s="312"/>
      <c r="B16" s="377" t="s">
        <v>1076</v>
      </c>
      <c r="C16" s="867"/>
      <c r="D16" s="867"/>
      <c r="E16" s="312"/>
      <c r="F16" s="365">
        <f t="shared" si="6"/>
        <v>10</v>
      </c>
      <c r="G16" s="326"/>
      <c r="H16" s="378" t="s">
        <v>1077</v>
      </c>
      <c r="I16" s="379">
        <f>+I8/I7</f>
        <v>1.3609424751911883</v>
      </c>
      <c r="J16" s="380"/>
      <c r="K16" s="379">
        <f ca="1">+K8/K7</f>
        <v>0.97316999999999998</v>
      </c>
      <c r="L16" s="381"/>
      <c r="M16" s="379">
        <f ca="1">+M8/M7</f>
        <v>0.97333023399627749</v>
      </c>
      <c r="N16" s="26"/>
      <c r="O16" s="340"/>
      <c r="P16" s="312"/>
      <c r="Q16" s="321"/>
      <c r="R16" s="382">
        <v>1</v>
      </c>
      <c r="S16" s="383">
        <f ca="1">AI11/Investment*100</f>
        <v>1411.7757654631205</v>
      </c>
      <c r="T16" s="384">
        <f ca="1">EXP(y_inter1-(slope*LN(+S16)))</f>
        <v>2.1473027021716202</v>
      </c>
      <c r="U16" s="385">
        <f ca="1">(+S16*T16/100)/100</f>
        <v>0.3031509916039366</v>
      </c>
      <c r="V16" s="385">
        <f>regDebt_weighted</f>
        <v>3.5860000000000003E-2</v>
      </c>
      <c r="W16" s="385">
        <f ca="1">+U16-V16</f>
        <v>0.2672909916039366</v>
      </c>
      <c r="X16" s="385">
        <f ca="1">+((W16*(1-0.34))-Pfd_weighted)/Equity_percent</f>
        <v>0.49483155365871556</v>
      </c>
      <c r="Y16" s="385">
        <f ca="1">+X16*equityP</f>
        <v>0.29689893219522934</v>
      </c>
      <c r="Z16" s="385">
        <f ca="1">+Y16/(1-taxrate)</f>
        <v>0.37582143315851813</v>
      </c>
      <c r="AA16" s="385">
        <f>debtP*Debt_Rate</f>
        <v>1.5959999999999998E-2</v>
      </c>
      <c r="AB16" s="385">
        <f ca="1">+AA16+Z16</f>
        <v>0.3917814331585181</v>
      </c>
      <c r="AC16" s="385">
        <f ca="1">+AB16/(S16/100)</f>
        <v>2.7750967451265016E-2</v>
      </c>
      <c r="AD16" s="385">
        <f ca="1">1-AC16</f>
        <v>0.97224903254873496</v>
      </c>
      <c r="AE16" s="386">
        <f ca="1">expenses/(AD16)</f>
        <v>1993895.0990711814</v>
      </c>
      <c r="AF16" s="387">
        <f ca="1">+AE16-Revenue</f>
        <v>569468.55907118134</v>
      </c>
      <c r="AG16" s="388">
        <f ca="1">+AF16/$J$49</f>
        <v>597409.24989733926</v>
      </c>
      <c r="AH16" s="388">
        <f ca="1">+AG16*$J$47</f>
        <v>12007.92592293652</v>
      </c>
      <c r="AI16" s="386">
        <f ca="1">ROUND(+AH16+AE16,5)</f>
        <v>2005903.0249900001</v>
      </c>
      <c r="AJ16" s="26"/>
      <c r="AK16" s="26"/>
      <c r="AL16" s="26"/>
      <c r="AM16" s="26"/>
      <c r="AN16" s="26"/>
      <c r="AO16" s="26"/>
      <c r="AP16" s="26"/>
      <c r="AQ16" s="26"/>
      <c r="AR16" s="26"/>
      <c r="AS16" s="26"/>
      <c r="AT16" s="26"/>
    </row>
    <row r="17" spans="1:46" ht="15.75">
      <c r="A17" s="312"/>
      <c r="B17" s="868"/>
      <c r="C17" s="867"/>
      <c r="D17" s="312" t="s">
        <v>1078</v>
      </c>
      <c r="E17" s="312"/>
      <c r="F17" s="365">
        <f t="shared" si="6"/>
        <v>11</v>
      </c>
      <c r="G17" s="326"/>
      <c r="H17" s="389"/>
      <c r="I17" s="389"/>
      <c r="J17" s="390"/>
      <c r="K17" s="389"/>
      <c r="L17" s="378"/>
      <c r="M17" s="378"/>
      <c r="N17" s="391"/>
      <c r="O17" s="312"/>
      <c r="P17" s="312"/>
      <c r="Q17" s="321"/>
      <c r="R17" s="357">
        <v>2</v>
      </c>
      <c r="S17" s="358">
        <f ca="1">AI12/Investment*100</f>
        <v>1411.123276418964</v>
      </c>
      <c r="T17" s="372">
        <f ca="1">EXP(y_inter2-(slope*LN(+S17)))</f>
        <v>2.1174203810373231</v>
      </c>
      <c r="U17" s="360">
        <f ca="1">(+S17*T17/100)/100</f>
        <v>0.29879411856456789</v>
      </c>
      <c r="V17" s="360">
        <f>regDebt_weighted</f>
        <v>3.5860000000000003E-2</v>
      </c>
      <c r="W17" s="360">
        <f ca="1">+U17-V17</f>
        <v>0.26293411856456789</v>
      </c>
      <c r="X17" s="360">
        <f ca="1">+((W17*(1-0.34))-Pfd_weighted)/Equity_percent</f>
        <v>0.486472436780857</v>
      </c>
      <c r="Y17" s="360">
        <f ca="1">+X17*equityP</f>
        <v>0.29188346206851418</v>
      </c>
      <c r="Z17" s="360">
        <f ca="1">+Y17/(1-taxrate)</f>
        <v>0.36947273679558756</v>
      </c>
      <c r="AA17" s="360">
        <f>debtP*Debt_Rate</f>
        <v>1.5959999999999998E-2</v>
      </c>
      <c r="AB17" s="360">
        <f ca="1">+AA17+Z17</f>
        <v>0.38543273679558754</v>
      </c>
      <c r="AC17" s="360">
        <f ca="1">+AB17/(S17/100)</f>
        <v>2.7313895478622389E-2</v>
      </c>
      <c r="AD17" s="360">
        <f ca="1">1-AC17</f>
        <v>0.9726861045213776</v>
      </c>
      <c r="AE17" s="361">
        <f ca="1">expenses/(AD17)</f>
        <v>1992999.1515911643</v>
      </c>
      <c r="AF17" s="362">
        <f ca="1">+AE17-Revenue</f>
        <v>568572.61159116426</v>
      </c>
      <c r="AG17" s="363">
        <f ca="1">+AF17/$J$49</f>
        <v>596469.34320107242</v>
      </c>
      <c r="AH17" s="363">
        <f ca="1">+AG17*$J$47</f>
        <v>11989.033798341556</v>
      </c>
      <c r="AI17" s="361">
        <f t="shared" ref="AI17:AI19" ca="1" si="8">ROUND(+AH17+AE17,5)</f>
        <v>2004988.18539</v>
      </c>
      <c r="AJ17" s="26"/>
      <c r="AK17" s="26"/>
      <c r="AL17" s="26"/>
      <c r="AM17" s="26"/>
      <c r="AN17" s="26"/>
      <c r="AO17" s="26"/>
      <c r="AP17" s="26"/>
      <c r="AQ17" s="26"/>
      <c r="AR17" s="26"/>
      <c r="AS17" s="26"/>
      <c r="AT17" s="26"/>
    </row>
    <row r="18" spans="1:46" ht="15.75">
      <c r="A18" s="312"/>
      <c r="B18" s="861" t="s">
        <v>1079</v>
      </c>
      <c r="C18" s="861"/>
      <c r="D18" s="312"/>
      <c r="E18" s="312"/>
      <c r="F18" s="365">
        <f t="shared" si="6"/>
        <v>12</v>
      </c>
      <c r="G18" s="326"/>
      <c r="H18" s="392" t="s">
        <v>0</v>
      </c>
      <c r="I18" s="393"/>
      <c r="J18" s="393"/>
      <c r="K18" s="393"/>
      <c r="L18" s="393"/>
      <c r="M18" s="394"/>
      <c r="N18" s="390"/>
      <c r="O18" s="312"/>
      <c r="P18" s="312"/>
      <c r="Q18" s="321"/>
      <c r="R18" s="366">
        <v>3</v>
      </c>
      <c r="S18" s="358">
        <f ca="1">AI13/Investment*100</f>
        <v>1410.6840834617192</v>
      </c>
      <c r="T18" s="359">
        <f ca="1">EXP(y_inter3-(slope*LN(S18)))</f>
        <v>2.0972802001173561</v>
      </c>
      <c r="U18" s="360">
        <f ca="1">(+S18*T18/100)/100</f>
        <v>0.29585997968649635</v>
      </c>
      <c r="V18" s="360">
        <f>regDebt_weighted</f>
        <v>3.5860000000000003E-2</v>
      </c>
      <c r="W18" s="360">
        <f ca="1">+U18-V18</f>
        <v>0.25999997968649635</v>
      </c>
      <c r="X18" s="360">
        <f ca="1">+((W18*(1-0.34))-Pfd_weighted)/Equity_percent</f>
        <v>0.48084298428223132</v>
      </c>
      <c r="Y18" s="360">
        <f ca="1">+X18*equityP</f>
        <v>0.28850579056933878</v>
      </c>
      <c r="Z18" s="360">
        <f ca="1">+Y18/(1-taxrate)</f>
        <v>0.36519720325232757</v>
      </c>
      <c r="AA18" s="360">
        <f>debtP*Debt_Rate</f>
        <v>1.5959999999999998E-2</v>
      </c>
      <c r="AB18" s="360">
        <f ca="1">+AA18+Z18</f>
        <v>0.38115720325232755</v>
      </c>
      <c r="AC18" s="360">
        <f ca="1">+AB18/(S18/100)</f>
        <v>2.701931692012819E-2</v>
      </c>
      <c r="AD18" s="360">
        <f ca="1">1-AC18</f>
        <v>0.97298068307987184</v>
      </c>
      <c r="AE18" s="361">
        <f ca="1">expenses/(AD18)</f>
        <v>1992395.7533661374</v>
      </c>
      <c r="AF18" s="362">
        <f ca="1">+AE18-Revenue</f>
        <v>567969.21336613735</v>
      </c>
      <c r="AG18" s="363">
        <f ca="1">+AF18/$J$49</f>
        <v>595836.33954308182</v>
      </c>
      <c r="AH18" s="363">
        <f ca="1">+AG18*$J$47</f>
        <v>11976.310424815945</v>
      </c>
      <c r="AI18" s="361">
        <f t="shared" ca="1" si="8"/>
        <v>2004372.06379</v>
      </c>
      <c r="AJ18" s="26"/>
      <c r="AK18" s="26"/>
      <c r="AL18" s="26"/>
      <c r="AM18" s="26"/>
      <c r="AN18" s="26"/>
      <c r="AO18" s="26"/>
      <c r="AP18" s="26"/>
      <c r="AQ18" s="26"/>
      <c r="AR18" s="26"/>
      <c r="AS18" s="26"/>
      <c r="AT18" s="26"/>
    </row>
    <row r="19" spans="1:46" ht="15.75">
      <c r="A19" s="312"/>
      <c r="B19" s="312"/>
      <c r="C19" s="312"/>
      <c r="D19" s="312"/>
      <c r="E19" s="312"/>
      <c r="F19" s="365">
        <f t="shared" si="6"/>
        <v>13</v>
      </c>
      <c r="G19" s="326"/>
      <c r="H19" s="395"/>
      <c r="I19" s="396" t="s">
        <v>1080</v>
      </c>
      <c r="J19" s="397">
        <f>+Revenue</f>
        <v>1424426.54</v>
      </c>
      <c r="K19" s="398"/>
      <c r="L19" s="396" t="s">
        <v>1081</v>
      </c>
      <c r="M19" s="399">
        <f ca="1">+J7</f>
        <v>567581.62000865233</v>
      </c>
      <c r="N19" s="26"/>
      <c r="O19" s="312"/>
      <c r="P19" s="312"/>
      <c r="Q19" s="321"/>
      <c r="R19" s="369">
        <v>4</v>
      </c>
      <c r="S19" s="358">
        <f ca="1">AI14/Investment*100</f>
        <v>1410.4032864933015</v>
      </c>
      <c r="T19" s="375">
        <f ca="1">EXP(y_inter4-(slope*LN(S19)))</f>
        <v>2.0843925308957458</v>
      </c>
      <c r="U19" s="360">
        <f ca="1">(+S19*T19/100)/100</f>
        <v>0.29398340759174502</v>
      </c>
      <c r="V19" s="360">
        <f>regDebt_weighted</f>
        <v>3.5860000000000003E-2</v>
      </c>
      <c r="W19" s="360">
        <f ca="1">+U19-V19</f>
        <v>0.25812340759174501</v>
      </c>
      <c r="X19" s="360">
        <f ca="1">+((W19*(1-0.34))-Pfd_weighted)/Equity_percent</f>
        <v>0.47724258433299915</v>
      </c>
      <c r="Y19" s="360">
        <f ca="1">+X19*equityP</f>
        <v>0.28634555059979949</v>
      </c>
      <c r="Z19" s="360">
        <f ca="1">+Y19/(1-taxrate)</f>
        <v>0.36246272227822718</v>
      </c>
      <c r="AA19" s="360">
        <f>debtP*Debt_Rate</f>
        <v>1.5959999999999998E-2</v>
      </c>
      <c r="AB19" s="360">
        <f ca="1">+AA19+Z19</f>
        <v>0.37842272227822715</v>
      </c>
      <c r="AC19" s="360">
        <f ca="1">+AB19/(S19/100)</f>
        <v>2.6830816823966926E-2</v>
      </c>
      <c r="AD19" s="360">
        <f ca="1">1-AC19</f>
        <v>0.97316918317603307</v>
      </c>
      <c r="AE19" s="361">
        <f ca="1">expenses/(AD19)</f>
        <v>1992009.8319892653</v>
      </c>
      <c r="AF19" s="362">
        <f ca="1">+AE19-Revenue</f>
        <v>567583.29198926524</v>
      </c>
      <c r="AG19" s="363">
        <f ca="1">+AF19/$J$49</f>
        <v>595431.48312633333</v>
      </c>
      <c r="AH19" s="363">
        <f ca="1">+AG19*$J$47</f>
        <v>11968.1728108393</v>
      </c>
      <c r="AI19" s="361">
        <f t="shared" ca="1" si="8"/>
        <v>2003978.0048</v>
      </c>
      <c r="AJ19" s="26"/>
      <c r="AK19" s="26"/>
      <c r="AL19" s="26"/>
      <c r="AM19" s="26"/>
      <c r="AN19" s="26"/>
      <c r="AO19" s="26"/>
      <c r="AP19" s="26"/>
      <c r="AQ19" s="26"/>
      <c r="AR19" s="26"/>
      <c r="AS19" s="26"/>
      <c r="AT19" s="26"/>
    </row>
    <row r="20" spans="1:46" ht="15.75">
      <c r="A20" s="312"/>
      <c r="B20" s="400"/>
      <c r="C20" s="312"/>
      <c r="D20" s="312"/>
      <c r="E20" s="312"/>
      <c r="F20" s="365">
        <f t="shared" si="6"/>
        <v>14</v>
      </c>
      <c r="G20" s="326"/>
      <c r="H20" s="395"/>
      <c r="I20" s="396" t="s">
        <v>1082</v>
      </c>
      <c r="J20" s="397">
        <f ca="1">+J21-J19</f>
        <v>579549.75756378006</v>
      </c>
      <c r="K20" s="398"/>
      <c r="L20" s="396" t="s">
        <v>1083</v>
      </c>
      <c r="M20" s="399">
        <f ca="1">+L8</f>
        <v>11968.137555127614</v>
      </c>
      <c r="N20" s="26"/>
      <c r="O20" s="312"/>
      <c r="P20" s="312"/>
      <c r="Q20" s="321"/>
      <c r="R20" s="328" t="s">
        <v>1084</v>
      </c>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row>
    <row r="21" spans="1:46" ht="16.5" thickBot="1">
      <c r="A21" s="312"/>
      <c r="B21" s="400" t="s">
        <v>1085</v>
      </c>
      <c r="C21" s="312"/>
      <c r="D21" s="312"/>
      <c r="E21" s="312"/>
      <c r="F21" s="365">
        <f t="shared" si="6"/>
        <v>15</v>
      </c>
      <c r="G21" s="326"/>
      <c r="H21" s="395"/>
      <c r="I21" s="401" t="s">
        <v>0</v>
      </c>
      <c r="J21" s="402">
        <f ca="1">+M7</f>
        <v>2003976.2975637801</v>
      </c>
      <c r="K21" s="403"/>
      <c r="L21" s="401" t="s">
        <v>1082</v>
      </c>
      <c r="M21" s="404">
        <f ca="1">+M19+M20</f>
        <v>579549.75756377995</v>
      </c>
      <c r="N21" s="26"/>
      <c r="O21" s="312"/>
      <c r="P21" s="312"/>
      <c r="Q21" s="321"/>
      <c r="R21" s="347">
        <v>1</v>
      </c>
      <c r="S21" s="348">
        <f ca="1">AI16/Investment*100</f>
        <v>1411.9664102965978</v>
      </c>
      <c r="T21" s="384">
        <f ca="1">EXP(y_inter1-(slope*LN(+S21)))</f>
        <v>2.1471044811346358</v>
      </c>
      <c r="U21" s="385">
        <f ca="1">(+S21*T21/100)/100</f>
        <v>0.3031639406759411</v>
      </c>
      <c r="V21" s="385">
        <f>regDebt_weighted</f>
        <v>3.5860000000000003E-2</v>
      </c>
      <c r="W21" s="385">
        <f ca="1">+U21-V21</f>
        <v>0.2673039406759411</v>
      </c>
      <c r="X21" s="385">
        <f ca="1">+((W21*(1-0.34))-Pfd_weighted)/Equity_percent</f>
        <v>0.49485639780849161</v>
      </c>
      <c r="Y21" s="385">
        <f ca="1">+X21*equityP</f>
        <v>0.29691383868509497</v>
      </c>
      <c r="Z21" s="385">
        <f ca="1">+Y21/(1-taxrate)</f>
        <v>0.3758403021330316</v>
      </c>
      <c r="AA21" s="385">
        <f>debtP*Debt_Rate</f>
        <v>1.5959999999999998E-2</v>
      </c>
      <c r="AB21" s="385">
        <f ca="1">+AA21+Z21</f>
        <v>0.39180030213303157</v>
      </c>
      <c r="AC21" s="385">
        <f ca="1">+AB21/(S21/100)</f>
        <v>2.7748556854885094E-2</v>
      </c>
      <c r="AD21" s="385">
        <f ca="1">1-AC21</f>
        <v>0.97225144314511491</v>
      </c>
      <c r="AE21" s="386">
        <f ca="1">expenses/(AD21)</f>
        <v>1993890.1554155645</v>
      </c>
      <c r="AF21" s="352">
        <f ca="1">+AE21-Revenue</f>
        <v>569463.61541556451</v>
      </c>
      <c r="AG21" s="388">
        <f ca="1">+AF21/$J$49</f>
        <v>597404.06368372531</v>
      </c>
      <c r="AH21" s="388">
        <f ca="1">+AG21*$J$47</f>
        <v>12007.821680042878</v>
      </c>
      <c r="AI21" s="386">
        <f ca="1">ROUND(+AH21+AE21,5)</f>
        <v>2005897.9771</v>
      </c>
      <c r="AJ21" s="26"/>
      <c r="AK21" s="26"/>
      <c r="AL21" s="26"/>
      <c r="AM21" s="26"/>
      <c r="AN21" s="26"/>
      <c r="AO21" s="26"/>
      <c r="AP21" s="26"/>
      <c r="AQ21" s="26"/>
      <c r="AR21" s="26"/>
      <c r="AS21" s="26"/>
      <c r="AT21" s="26"/>
    </row>
    <row r="22" spans="1:46" ht="16.5" thickTop="1">
      <c r="A22" s="312"/>
      <c r="B22" s="312" t="s">
        <v>1086</v>
      </c>
      <c r="C22" s="312"/>
      <c r="D22" s="312"/>
      <c r="E22" s="312"/>
      <c r="F22" s="365">
        <f t="shared" si="6"/>
        <v>16</v>
      </c>
      <c r="G22" s="326"/>
      <c r="H22" s="405"/>
      <c r="I22" s="406"/>
      <c r="J22" s="406"/>
      <c r="K22" s="406"/>
      <c r="L22" s="406"/>
      <c r="M22" s="407"/>
      <c r="N22" s="26"/>
      <c r="O22" s="312"/>
      <c r="P22" s="312"/>
      <c r="Q22" s="321"/>
      <c r="R22" s="357">
        <v>2</v>
      </c>
      <c r="S22" s="358">
        <f ca="1">AI17/Investment*100</f>
        <v>1411.3224495617485</v>
      </c>
      <c r="T22" s="372">
        <f ca="1">EXP(y_inter2-(slope*LN(+S22)))</f>
        <v>2.1172160812883658</v>
      </c>
      <c r="U22" s="360">
        <f ca="1">(+S22*T22/100)/100</f>
        <v>0.29880745860954222</v>
      </c>
      <c r="V22" s="360">
        <f>regDebt_weighted</f>
        <v>3.5860000000000003E-2</v>
      </c>
      <c r="W22" s="360">
        <f ca="1">+U22-V22</f>
        <v>0.26294745860954222</v>
      </c>
      <c r="X22" s="360">
        <f ca="1">+((W22*(1-0.34))-Pfd_weighted)/Equity_percent</f>
        <v>0.48649803105319139</v>
      </c>
      <c r="Y22" s="360">
        <f ca="1">+X22*equityP</f>
        <v>0.2918988186319148</v>
      </c>
      <c r="Z22" s="360">
        <f ca="1">+Y22/(1-taxrate)</f>
        <v>0.36949217548343644</v>
      </c>
      <c r="AA22" s="360">
        <f>debtP*Debt_Rate</f>
        <v>1.5959999999999998E-2</v>
      </c>
      <c r="AB22" s="360">
        <f ca="1">+AA22+Z22</f>
        <v>0.38545217548343641</v>
      </c>
      <c r="AC22" s="360">
        <f ca="1">+AB22/(S22/100)</f>
        <v>2.7311418138578403E-2</v>
      </c>
      <c r="AD22" s="360">
        <f ca="1">1-AC22</f>
        <v>0.9726885818614216</v>
      </c>
      <c r="AE22" s="361">
        <f ca="1">expenses/(AD22)</f>
        <v>1992994.0756226601</v>
      </c>
      <c r="AF22" s="362">
        <f ca="1">+AE22-Revenue</f>
        <v>568567.53562266007</v>
      </c>
      <c r="AG22" s="363">
        <f ca="1">+AF22/$J$49</f>
        <v>596464.01818270527</v>
      </c>
      <c r="AH22" s="363">
        <f ca="1">+AG22*$J$47</f>
        <v>11988.926765472375</v>
      </c>
      <c r="AI22" s="361">
        <f t="shared" ref="AI22:AI24" ca="1" si="9">ROUND(+AH22+AE22,5)</f>
        <v>2004983.00239</v>
      </c>
      <c r="AJ22" s="26"/>
      <c r="AK22" s="26"/>
      <c r="AL22" s="26"/>
      <c r="AM22" s="26"/>
      <c r="AN22" s="26"/>
      <c r="AO22" s="26"/>
      <c r="AP22" s="26"/>
      <c r="AQ22" s="26"/>
      <c r="AR22" s="26"/>
      <c r="AS22" s="26"/>
      <c r="AT22" s="26"/>
    </row>
    <row r="23" spans="1:46" ht="15.75">
      <c r="A23" s="312"/>
      <c r="B23" s="312" t="s">
        <v>1087</v>
      </c>
      <c r="C23" s="312"/>
      <c r="D23" s="312"/>
      <c r="E23" s="312"/>
      <c r="F23" s="365">
        <f t="shared" si="6"/>
        <v>17</v>
      </c>
      <c r="G23" s="26"/>
      <c r="H23" s="326"/>
      <c r="I23" s="326"/>
      <c r="J23" s="326"/>
      <c r="K23" s="326"/>
      <c r="L23" s="326"/>
      <c r="M23" s="326"/>
      <c r="N23" s="326"/>
      <c r="O23" s="312"/>
      <c r="P23" s="312"/>
      <c r="Q23" s="321"/>
      <c r="R23" s="366">
        <v>3</v>
      </c>
      <c r="S23" s="358">
        <f ca="1">AI18/Investment*100</f>
        <v>1410.8887581055712</v>
      </c>
      <c r="T23" s="359">
        <f ca="1">EXP(y_inter3-(slope*LN(S23)))</f>
        <v>2.0970721901166391</v>
      </c>
      <c r="U23" s="360">
        <f ca="1">(+S23*T23/100)/100</f>
        <v>0.29587355779713953</v>
      </c>
      <c r="V23" s="360">
        <f>regDebt_weighted</f>
        <v>3.5860000000000003E-2</v>
      </c>
      <c r="W23" s="360">
        <f ca="1">+U23-V23</f>
        <v>0.26001355779713953</v>
      </c>
      <c r="X23" s="360">
        <f ca="1">+((W23*(1-0.34))-Pfd_weighted)/Equity_percent</f>
        <v>0.48086903530846536</v>
      </c>
      <c r="Y23" s="360">
        <f ca="1">+X23*equityP</f>
        <v>0.28852142118507923</v>
      </c>
      <c r="Z23" s="360">
        <f ca="1">+Y23/(1-taxrate)</f>
        <v>0.36521698884187243</v>
      </c>
      <c r="AA23" s="360">
        <f>debtP*Debt_Rate</f>
        <v>1.5959999999999998E-2</v>
      </c>
      <c r="AB23" s="360">
        <f ca="1">+AA23+Z23</f>
        <v>0.3811769888418724</v>
      </c>
      <c r="AC23" s="360">
        <f ca="1">+AB23/(S23/100)</f>
        <v>2.7016799634415289E-2</v>
      </c>
      <c r="AD23" s="360">
        <f ca="1">1-AC23</f>
        <v>0.97298320036558472</v>
      </c>
      <c r="AE23" s="361">
        <f ca="1">expenses/(AD23)</f>
        <v>1992390.598673474</v>
      </c>
      <c r="AF23" s="362">
        <f ca="1">+AE23-Revenue</f>
        <v>567964.05867347401</v>
      </c>
      <c r="AG23" s="363">
        <f ca="1">+AF23/$J$49</f>
        <v>595830.93193799385</v>
      </c>
      <c r="AH23" s="363">
        <f ca="1">+AG23*$J$47</f>
        <v>11976.201731953677</v>
      </c>
      <c r="AI23" s="361">
        <f t="shared" ca="1" si="9"/>
        <v>2004366.8004099999</v>
      </c>
      <c r="AJ23" s="26"/>
      <c r="AK23" s="26"/>
      <c r="AL23" s="26"/>
      <c r="AM23" s="26"/>
      <c r="AN23" s="26"/>
      <c r="AO23" s="26"/>
      <c r="AP23" s="26"/>
      <c r="AQ23" s="26"/>
      <c r="AR23" s="26"/>
      <c r="AS23" s="26"/>
      <c r="AT23" s="26"/>
    </row>
    <row r="24" spans="1:46" ht="15.75">
      <c r="A24" s="312"/>
      <c r="B24" s="312" t="s">
        <v>1088</v>
      </c>
      <c r="C24" s="312"/>
      <c r="D24" s="312"/>
      <c r="E24" s="312"/>
      <c r="F24" s="365">
        <f t="shared" si="6"/>
        <v>18</v>
      </c>
      <c r="G24" s="26"/>
      <c r="H24" s="408"/>
      <c r="I24" s="26"/>
      <c r="J24" s="409" t="s">
        <v>1089</v>
      </c>
      <c r="K24" s="410" t="s">
        <v>1090</v>
      </c>
      <c r="L24" s="410"/>
      <c r="M24" s="410"/>
      <c r="N24" s="410"/>
      <c r="O24" s="312"/>
      <c r="P24" s="312"/>
      <c r="Q24" s="321"/>
      <c r="R24" s="369">
        <v>4</v>
      </c>
      <c r="S24" s="358">
        <f ca="1">AI19/Investment*100</f>
        <v>1410.6113777683249</v>
      </c>
      <c r="T24" s="375">
        <f ca="1">EXP(y_inter4-(slope*LN(S24)))</f>
        <v>2.0841823067222252</v>
      </c>
      <c r="U24" s="360">
        <f ca="1">(+S24*T24/100)/100</f>
        <v>0.29399712752058038</v>
      </c>
      <c r="V24" s="360">
        <f>regDebt_weighted</f>
        <v>3.5860000000000003E-2</v>
      </c>
      <c r="W24" s="360">
        <f ca="1">+U24-V24</f>
        <v>0.25813712752058038</v>
      </c>
      <c r="X24" s="360">
        <f ca="1">+((W24*(1-0.34))-Pfd_weighted)/Equity_percent</f>
        <v>0.47726890745227635</v>
      </c>
      <c r="Y24" s="360">
        <f ca="1">+X24*equityP</f>
        <v>0.2863613444713658</v>
      </c>
      <c r="Z24" s="360">
        <f ca="1">+Y24/(1-taxrate)</f>
        <v>0.36248271452071618</v>
      </c>
      <c r="AA24" s="360">
        <f>debtP*Debt_Rate</f>
        <v>1.5959999999999998E-2</v>
      </c>
      <c r="AB24" s="360">
        <f ca="1">+AA24+Z24</f>
        <v>0.37844271452071615</v>
      </c>
      <c r="AC24" s="360">
        <f ca="1">+AB24/(S24/100)</f>
        <v>2.6828276057111924E-2</v>
      </c>
      <c r="AD24" s="360">
        <f ca="1">1-AC24</f>
        <v>0.97317172394288809</v>
      </c>
      <c r="AE24" s="361">
        <f ca="1">expenses/(AD24)</f>
        <v>1992004.6312292847</v>
      </c>
      <c r="AF24" s="362">
        <f ca="1">+AE24-Revenue</f>
        <v>567578.09122928465</v>
      </c>
      <c r="AG24" s="363">
        <f ca="1">+AF24/$J$49</f>
        <v>595426.02719365817</v>
      </c>
      <c r="AH24" s="363">
        <f ca="1">+AG24*$J$47</f>
        <v>11968.063146592529</v>
      </c>
      <c r="AI24" s="361">
        <f t="shared" ca="1" si="9"/>
        <v>2003972.69438</v>
      </c>
      <c r="AJ24" s="26"/>
      <c r="AK24" s="26"/>
      <c r="AL24" s="26"/>
      <c r="AM24" s="26"/>
      <c r="AN24" s="26"/>
      <c r="AO24" s="26"/>
      <c r="AP24" s="26"/>
      <c r="AQ24" s="26"/>
      <c r="AR24" s="26"/>
      <c r="AS24" s="26"/>
      <c r="AT24" s="26"/>
    </row>
    <row r="25" spans="1:46" ht="15.75">
      <c r="A25" s="312"/>
      <c r="B25" s="312" t="s">
        <v>1091</v>
      </c>
      <c r="C25" s="312"/>
      <c r="D25" s="312"/>
      <c r="E25" s="312"/>
      <c r="F25" s="365">
        <f t="shared" si="6"/>
        <v>19</v>
      </c>
      <c r="G25" s="26"/>
      <c r="H25" s="411" t="s">
        <v>1092</v>
      </c>
      <c r="I25" s="412" t="s">
        <v>1093</v>
      </c>
      <c r="J25" s="413" t="s">
        <v>1094</v>
      </c>
      <c r="K25" s="411" t="s">
        <v>1095</v>
      </c>
      <c r="L25" s="413" t="s">
        <v>1096</v>
      </c>
      <c r="M25" s="413" t="s">
        <v>1094</v>
      </c>
      <c r="N25" s="26"/>
      <c r="O25" s="312"/>
      <c r="P25" s="312"/>
      <c r="Q25" s="321"/>
      <c r="R25" s="328" t="s">
        <v>1097</v>
      </c>
      <c r="S25" s="26"/>
      <c r="T25" s="26"/>
      <c r="U25" s="26"/>
      <c r="V25" s="26"/>
      <c r="W25" s="414"/>
      <c r="X25" s="30"/>
      <c r="Y25" s="415"/>
      <c r="Z25" s="415"/>
      <c r="AA25" s="30"/>
      <c r="AB25" s="26"/>
      <c r="AC25" s="30"/>
      <c r="AD25" s="30"/>
      <c r="AE25" s="415"/>
      <c r="AF25" s="414"/>
      <c r="AG25" s="26"/>
      <c r="AH25" s="26"/>
      <c r="AI25" s="26"/>
      <c r="AJ25" s="26"/>
      <c r="AK25" s="26"/>
      <c r="AL25" s="26"/>
      <c r="AM25" s="26"/>
      <c r="AN25" s="26"/>
      <c r="AO25" s="26"/>
      <c r="AP25" s="26"/>
      <c r="AQ25" s="26"/>
      <c r="AR25" s="26"/>
      <c r="AS25" s="26"/>
      <c r="AT25" s="26"/>
    </row>
    <row r="26" spans="1:46" ht="15.75">
      <c r="A26" s="312"/>
      <c r="B26" s="312"/>
      <c r="C26" s="312"/>
      <c r="D26" s="312"/>
      <c r="E26" s="312"/>
      <c r="F26" s="365">
        <f t="shared" si="6"/>
        <v>20</v>
      </c>
      <c r="G26" s="26"/>
      <c r="H26" s="355" t="s">
        <v>107</v>
      </c>
      <c r="I26" s="416">
        <f>1-I27</f>
        <v>0.6</v>
      </c>
      <c r="J26" s="417">
        <f>+I26*J28</f>
        <v>85238.700171428573</v>
      </c>
      <c r="K26" s="391">
        <f ca="1">+K34</f>
        <v>0.47432447034481168</v>
      </c>
      <c r="L26" s="416">
        <f ca="1">+K26*I26</f>
        <v>0.284594682206887</v>
      </c>
      <c r="M26" s="356">
        <f ca="1">+J26*K26</f>
        <v>40430.801311693067</v>
      </c>
      <c r="N26" s="26"/>
      <c r="O26" s="312"/>
      <c r="P26" s="312"/>
      <c r="Q26" s="321"/>
      <c r="R26" s="347">
        <v>1</v>
      </c>
      <c r="S26" s="348">
        <f ca="1">AI21/Investment*100</f>
        <v>1411.9628570584632</v>
      </c>
      <c r="T26" s="384">
        <f ca="1">EXP(y_inter1-(slope*LN(+S26)))</f>
        <v>2.1471081751659322</v>
      </c>
      <c r="U26" s="385">
        <f ca="1">(+S26*T26/100)/100</f>
        <v>0.30316369934208731</v>
      </c>
      <c r="V26" s="385">
        <f>regDebt_weighted</f>
        <v>3.5860000000000003E-2</v>
      </c>
      <c r="W26" s="385">
        <f ca="1">+U26-V26</f>
        <v>0.26730369934208731</v>
      </c>
      <c r="X26" s="385">
        <f ca="1">+((W26*(1-0.34))-Pfd_weighted)/Equity_percent</f>
        <v>0.49485593478423723</v>
      </c>
      <c r="Y26" s="385">
        <f ca="1">+X26*equityP</f>
        <v>0.29691356087054233</v>
      </c>
      <c r="Z26" s="385">
        <f ca="1">+Y26/(1-taxrate)</f>
        <v>0.3758399504690409</v>
      </c>
      <c r="AA26" s="385">
        <f>debtP*Debt_Rate</f>
        <v>1.5959999999999998E-2</v>
      </c>
      <c r="AB26" s="385">
        <f ca="1">+AA26+Z26</f>
        <v>0.39179995046904087</v>
      </c>
      <c r="AC26" s="385">
        <f ca="1">+AB26/(S26/100)</f>
        <v>2.7748601778751898E-2</v>
      </c>
      <c r="AD26" s="385">
        <f ca="1">1-AC26</f>
        <v>0.97225139822124806</v>
      </c>
      <c r="AE26" s="386">
        <f ca="1">expenses/(AD26)</f>
        <v>1993890.2475452917</v>
      </c>
      <c r="AF26" s="352">
        <f ca="1">+AE26-Revenue</f>
        <v>569463.70754529163</v>
      </c>
      <c r="AG26" s="388">
        <f ca="1">+AF26/$J$49</f>
        <v>597404.16033375147</v>
      </c>
      <c r="AH26" s="388">
        <f ca="1">+AG26*$J$47</f>
        <v>12007.823622708403</v>
      </c>
      <c r="AI26" s="386">
        <f ca="1">ROUND(+AH26+AE26,5)</f>
        <v>2005898.0711699999</v>
      </c>
      <c r="AJ26" s="26"/>
      <c r="AK26" s="26"/>
      <c r="AL26" s="26"/>
      <c r="AM26" s="26"/>
      <c r="AN26" s="26"/>
      <c r="AO26" s="26"/>
      <c r="AP26" s="26"/>
      <c r="AQ26" s="26"/>
      <c r="AR26" s="26"/>
      <c r="AS26" s="26"/>
      <c r="AT26" s="26"/>
    </row>
    <row r="27" spans="1:46" ht="15.75">
      <c r="A27" s="312"/>
      <c r="B27" s="312"/>
      <c r="C27" s="312"/>
      <c r="D27" s="312"/>
      <c r="E27" s="312"/>
      <c r="F27" s="365">
        <f t="shared" si="6"/>
        <v>21</v>
      </c>
      <c r="G27" s="26"/>
      <c r="H27" s="355" t="s">
        <v>1056</v>
      </c>
      <c r="I27" s="416">
        <f>IF(A65=TRUE,C8,0)</f>
        <v>0.4</v>
      </c>
      <c r="J27" s="418">
        <f>+I27*J28</f>
        <v>56825.800114285717</v>
      </c>
      <c r="K27" s="391">
        <f>IF(A65=TRUE,C9,0)</f>
        <v>3.9899999999999998E-2</v>
      </c>
      <c r="L27" s="416">
        <f>+K27*I27</f>
        <v>1.5959999999999998E-2</v>
      </c>
      <c r="M27" s="419">
        <f>+K27*J27</f>
        <v>2267.34942456</v>
      </c>
      <c r="N27" s="26"/>
      <c r="O27" s="312"/>
      <c r="P27" s="312"/>
      <c r="Q27" s="321"/>
      <c r="R27" s="357">
        <v>2</v>
      </c>
      <c r="S27" s="358">
        <f ca="1">AI22/Investment*100</f>
        <v>1411.3188012189257</v>
      </c>
      <c r="T27" s="372">
        <f ca="1">EXP(y_inter2-(slope*LN(+S27)))</f>
        <v>2.1172198231010539</v>
      </c>
      <c r="U27" s="360">
        <f ca="1">(+S27*T27/100)/100</f>
        <v>0.29880721426559254</v>
      </c>
      <c r="V27" s="360">
        <f>regDebt_weighted</f>
        <v>3.5860000000000003E-2</v>
      </c>
      <c r="W27" s="360">
        <f ca="1">+U27-V27</f>
        <v>0.26294721426559253</v>
      </c>
      <c r="X27" s="360">
        <f ca="1">+((W27*(1-0.34))-Pfd_weighted)/Equity_percent</f>
        <v>0.48649756225375312</v>
      </c>
      <c r="Y27" s="360">
        <f ca="1">+X27*equityP</f>
        <v>0.29189853735225185</v>
      </c>
      <c r="Z27" s="360">
        <f ca="1">+Y27/(1-taxrate)</f>
        <v>0.36949181943323017</v>
      </c>
      <c r="AA27" s="360">
        <f>debtP*Debt_Rate</f>
        <v>1.5959999999999998E-2</v>
      </c>
      <c r="AB27" s="360">
        <f ca="1">+AA27+Z27</f>
        <v>0.38545181943323015</v>
      </c>
      <c r="AC27" s="360">
        <f ca="1">+AB27/(S27/100)</f>
        <v>2.7311463512023203E-2</v>
      </c>
      <c r="AD27" s="360">
        <f ca="1">1-AC27</f>
        <v>0.97268853648797682</v>
      </c>
      <c r="AE27" s="361">
        <f ca="1">expenses/(AD27)</f>
        <v>1992994.1685907617</v>
      </c>
      <c r="AF27" s="362">
        <f ca="1">+AE27-Revenue</f>
        <v>568567.62859076168</v>
      </c>
      <c r="AG27" s="363">
        <f ca="1">+AF27/$J$49</f>
        <v>596464.11571224045</v>
      </c>
      <c r="AH27" s="363">
        <f ca="1">+AG27*$J$47</f>
        <v>11988.928725816033</v>
      </c>
      <c r="AI27" s="361">
        <f t="shared" ref="AI27:AI29" ca="1" si="10">ROUND(+AH27+AE27,5)</f>
        <v>2004983.0973199999</v>
      </c>
      <c r="AJ27" s="26"/>
      <c r="AK27" s="26"/>
      <c r="AL27" s="26"/>
      <c r="AM27" s="26"/>
      <c r="AN27" s="26"/>
      <c r="AO27" s="26"/>
      <c r="AP27" s="26"/>
      <c r="AQ27" s="26"/>
      <c r="AR27" s="26"/>
      <c r="AS27" s="26"/>
      <c r="AT27" s="26"/>
    </row>
    <row r="28" spans="1:46" ht="16.5" thickBot="1">
      <c r="A28" s="312"/>
      <c r="B28" s="312"/>
      <c r="C28" s="312"/>
      <c r="D28" s="312"/>
      <c r="E28" s="312"/>
      <c r="F28" s="365">
        <f t="shared" si="6"/>
        <v>22</v>
      </c>
      <c r="G28" s="26"/>
      <c r="H28" s="355" t="s">
        <v>648</v>
      </c>
      <c r="I28" s="420">
        <f>SUM(I26:I27)</f>
        <v>1</v>
      </c>
      <c r="J28" s="421">
        <f>IF(A65=TRUE,C7,0)</f>
        <v>142064.50028571428</v>
      </c>
      <c r="K28" s="422"/>
      <c r="L28" s="423">
        <f ca="1">SUM(L26:L27)</f>
        <v>0.30055468220688697</v>
      </c>
      <c r="M28" s="421">
        <f ca="1">SUM(M26:M27)</f>
        <v>42698.150736253068</v>
      </c>
      <c r="N28" s="26"/>
      <c r="O28" s="312"/>
      <c r="P28" s="312"/>
      <c r="Q28" s="321"/>
      <c r="R28" s="366">
        <v>3</v>
      </c>
      <c r="S28" s="358">
        <f ca="1">AI23/Investment*100</f>
        <v>1410.8850531828145</v>
      </c>
      <c r="T28" s="359">
        <f ca="1">EXP(y_inter3-(slope*LN(S28)))</f>
        <v>2.0970759549629223</v>
      </c>
      <c r="U28" s="360">
        <f ca="1">(+S28*T28/100)/100</f>
        <v>0.29587331202462641</v>
      </c>
      <c r="V28" s="360">
        <f>regDebt_weighted</f>
        <v>3.5860000000000003E-2</v>
      </c>
      <c r="W28" s="360">
        <f ca="1">+U28-V28</f>
        <v>0.26001331202462641</v>
      </c>
      <c r="X28" s="360">
        <f ca="1">+((W28*(1-0.34))-Pfd_weighted)/Equity_percent</f>
        <v>0.4808685637681786</v>
      </c>
      <c r="Y28" s="360">
        <f ca="1">+X28*equityP</f>
        <v>0.28852113826090714</v>
      </c>
      <c r="Z28" s="360">
        <f ca="1">+Y28/(1-taxrate)</f>
        <v>0.36521663071000904</v>
      </c>
      <c r="AA28" s="360">
        <f>debtP*Debt_Rate</f>
        <v>1.5959999999999998E-2</v>
      </c>
      <c r="AB28" s="360">
        <f ca="1">+AA28+Z28</f>
        <v>0.38117663071000901</v>
      </c>
      <c r="AC28" s="360">
        <f ca="1">+AB28/(S28/100)</f>
        <v>2.7016845195865738E-2</v>
      </c>
      <c r="AD28" s="360">
        <f ca="1">1-AC28</f>
        <v>0.97298315480413422</v>
      </c>
      <c r="AE28" s="361">
        <f ca="1">expenses/(AD28)</f>
        <v>1992390.6919702648</v>
      </c>
      <c r="AF28" s="362">
        <f ca="1">+AE28-Revenue</f>
        <v>567964.15197026473</v>
      </c>
      <c r="AG28" s="363">
        <f ca="1">+AF28/$J$49</f>
        <v>595831.02981234516</v>
      </c>
      <c r="AH28" s="363">
        <f ca="1">+AG28*$J$47</f>
        <v>11976.203699228137</v>
      </c>
      <c r="AI28" s="361">
        <f t="shared" ca="1" si="10"/>
        <v>2004366.89567</v>
      </c>
      <c r="AJ28" s="26"/>
      <c r="AK28" s="26"/>
      <c r="AL28" s="26"/>
      <c r="AM28" s="26"/>
      <c r="AN28" s="26"/>
      <c r="AO28" s="26"/>
      <c r="AP28" s="26"/>
      <c r="AQ28" s="26"/>
      <c r="AR28" s="26"/>
      <c r="AS28" s="26"/>
      <c r="AT28" s="26"/>
    </row>
    <row r="29" spans="1:46" ht="16.5" thickTop="1">
      <c r="A29" s="312"/>
      <c r="B29" s="312"/>
      <c r="C29" s="312"/>
      <c r="D29" s="312"/>
      <c r="E29" s="312"/>
      <c r="F29" s="365">
        <f t="shared" si="6"/>
        <v>23</v>
      </c>
      <c r="G29" s="326"/>
      <c r="H29" s="326"/>
      <c r="I29" s="326"/>
      <c r="J29" s="326"/>
      <c r="K29" s="326"/>
      <c r="L29" s="326"/>
      <c r="M29" s="326"/>
      <c r="N29" s="326"/>
      <c r="O29" s="312"/>
      <c r="P29" s="312"/>
      <c r="Q29" s="321"/>
      <c r="R29" s="369">
        <v>4</v>
      </c>
      <c r="S29" s="358">
        <f ca="1">AI24/Investment*100</f>
        <v>1410.6076397338479</v>
      </c>
      <c r="T29" s="375">
        <f ca="1">EXP(y_inter4-(slope*LN(S29)))</f>
        <v>2.0841860826103393</v>
      </c>
      <c r="U29" s="360">
        <f ca="1">(+S29*T29/100)/100</f>
        <v>0.29399688107571054</v>
      </c>
      <c r="V29" s="360">
        <f>regDebt_weighted</f>
        <v>3.5860000000000003E-2</v>
      </c>
      <c r="W29" s="360">
        <f ca="1">+U29-V29</f>
        <v>0.25813688107571053</v>
      </c>
      <c r="X29" s="360">
        <f ca="1">+((W29*(1-0.34))-Pfd_weighted)/Equity_percent</f>
        <v>0.47726843462200275</v>
      </c>
      <c r="Y29" s="360">
        <f ca="1">+X29*equityP</f>
        <v>0.28636106077320161</v>
      </c>
      <c r="Z29" s="360">
        <f ca="1">+Y29/(1-taxrate)</f>
        <v>0.36248235540911594</v>
      </c>
      <c r="AA29" s="360">
        <f>debtP*Debt_Rate</f>
        <v>1.5959999999999998E-2</v>
      </c>
      <c r="AB29" s="360">
        <f ca="1">+AA29+Z29</f>
        <v>0.37844235540911592</v>
      </c>
      <c r="AC29" s="360">
        <f ca="1">+AB29/(S29/100)</f>
        <v>2.6828321692665729E-2</v>
      </c>
      <c r="AD29" s="360">
        <f ca="1">1-AC29</f>
        <v>0.97317167830733431</v>
      </c>
      <c r="AE29" s="361">
        <f ca="1">expenses/(AD29)</f>
        <v>1992004.7246416153</v>
      </c>
      <c r="AF29" s="362">
        <f ca="1">+AE29-Revenue</f>
        <v>567578.18464161525</v>
      </c>
      <c r="AG29" s="363">
        <f ca="1">+AF29/$J$49</f>
        <v>595426.1251892182</v>
      </c>
      <c r="AH29" s="363">
        <f ca="1">+AG29*$J$47</f>
        <v>11968.065116303285</v>
      </c>
      <c r="AI29" s="361">
        <f t="shared" ca="1" si="10"/>
        <v>2003972.7897600001</v>
      </c>
      <c r="AJ29" s="26"/>
      <c r="AK29" s="26"/>
      <c r="AL29" s="26"/>
      <c r="AM29" s="26"/>
      <c r="AN29" s="26"/>
      <c r="AO29" s="26"/>
      <c r="AP29" s="26"/>
      <c r="AQ29" s="26"/>
      <c r="AR29" s="26"/>
      <c r="AS29" s="26"/>
      <c r="AT29" s="26"/>
    </row>
    <row r="30" spans="1:46" ht="15.75">
      <c r="A30" s="312"/>
      <c r="B30" s="312"/>
      <c r="C30" s="312"/>
      <c r="D30" s="312"/>
      <c r="E30" s="312"/>
      <c r="F30" s="365">
        <f t="shared" si="6"/>
        <v>24</v>
      </c>
      <c r="G30" s="326"/>
      <c r="H30" s="326"/>
      <c r="I30" s="326"/>
      <c r="J30" s="424" t="s">
        <v>1098</v>
      </c>
      <c r="K30" s="424" t="s">
        <v>1099</v>
      </c>
      <c r="L30" s="326"/>
      <c r="M30" s="326"/>
      <c r="N30" s="326"/>
      <c r="O30" s="312"/>
      <c r="P30" s="312"/>
      <c r="Q30" s="321"/>
      <c r="R30" s="328" t="s">
        <v>1100</v>
      </c>
      <c r="S30" s="26"/>
      <c r="T30" s="26"/>
      <c r="U30" s="26"/>
      <c r="V30" s="26"/>
      <c r="W30" s="414"/>
      <c r="X30" s="30"/>
      <c r="Y30" s="415"/>
      <c r="Z30" s="415"/>
      <c r="AA30" s="30"/>
      <c r="AB30" s="26"/>
      <c r="AC30" s="30"/>
      <c r="AD30" s="30"/>
      <c r="AE30" s="415"/>
      <c r="AF30" s="414"/>
      <c r="AG30" s="26"/>
      <c r="AH30" s="415"/>
      <c r="AI30" s="26"/>
      <c r="AJ30" s="26"/>
      <c r="AK30" s="26"/>
      <c r="AL30" s="26"/>
      <c r="AM30" s="26"/>
      <c r="AN30" s="26"/>
      <c r="AO30" s="26"/>
      <c r="AP30" s="26"/>
      <c r="AQ30" s="26"/>
      <c r="AR30" s="26"/>
      <c r="AS30" s="26"/>
      <c r="AT30" s="26"/>
    </row>
    <row r="31" spans="1:46" ht="15.75">
      <c r="A31" s="312"/>
      <c r="B31" s="312"/>
      <c r="C31" s="312"/>
      <c r="D31" s="312"/>
      <c r="E31" s="312"/>
      <c r="F31" s="365">
        <f t="shared" si="6"/>
        <v>25</v>
      </c>
      <c r="G31" s="326"/>
      <c r="H31" s="425" t="s">
        <v>1101</v>
      </c>
      <c r="I31" s="426"/>
      <c r="J31" s="427" t="s">
        <v>1102</v>
      </c>
      <c r="K31" s="427" t="s">
        <v>1102</v>
      </c>
      <c r="L31" s="326"/>
      <c r="M31" s="326"/>
      <c r="N31" s="326"/>
      <c r="O31" s="312"/>
      <c r="P31" s="312"/>
      <c r="Q31" s="321"/>
      <c r="R31" s="347">
        <v>1</v>
      </c>
      <c r="S31" s="348">
        <f ca="1">AI26/Investment*100</f>
        <v>1411.9629232748646</v>
      </c>
      <c r="T31" s="384">
        <f ca="1">EXP(y_inter1-(slope*LN(+S31)))</f>
        <v>2.147108106325637</v>
      </c>
      <c r="U31" s="385">
        <f ca="1">(+S31*T31/100)/100</f>
        <v>0.3031637038394705</v>
      </c>
      <c r="V31" s="385">
        <f>regDebt_weighted</f>
        <v>3.5860000000000003E-2</v>
      </c>
      <c r="W31" s="385">
        <f ca="1">+U31-V31</f>
        <v>0.2673037038394705</v>
      </c>
      <c r="X31" s="385">
        <f ca="1">+((W31*(1-0.34))-Pfd_weighted)/Equity_percent</f>
        <v>0.49485594341293754</v>
      </c>
      <c r="Y31" s="385">
        <f ca="1">+X31*equityP</f>
        <v>0.29691356604776253</v>
      </c>
      <c r="Z31" s="385">
        <f ca="1">+Y31/(1-taxrate)</f>
        <v>0.37583995702248418</v>
      </c>
      <c r="AA31" s="385">
        <f>debtP*Debt_Rate</f>
        <v>1.5959999999999998E-2</v>
      </c>
      <c r="AB31" s="385">
        <f ca="1">+AA31+Z31</f>
        <v>0.39179995702248416</v>
      </c>
      <c r="AC31" s="385">
        <f ca="1">+AB31/(S31/100)</f>
        <v>2.7748600941571121E-2</v>
      </c>
      <c r="AD31" s="385">
        <f ca="1">1-AC31</f>
        <v>0.97225139905842883</v>
      </c>
      <c r="AE31" s="386">
        <f ca="1">expenses/(AD31)</f>
        <v>1993890.2458284039</v>
      </c>
      <c r="AF31" s="352">
        <f ca="1">+AE31-Revenue</f>
        <v>569463.70582840382</v>
      </c>
      <c r="AG31" s="388">
        <f ca="1">+AF31/$J$49</f>
        <v>597404.15853262541</v>
      </c>
      <c r="AH31" s="388">
        <f ca="1">+AG31*$J$47</f>
        <v>12007.82358650577</v>
      </c>
      <c r="AI31" s="386">
        <f ca="1">ROUND(+AH31+AE31,5)</f>
        <v>2005898.06941</v>
      </c>
      <c r="AJ31" s="26"/>
      <c r="AK31" s="26"/>
      <c r="AL31" s="26"/>
      <c r="AM31" s="26"/>
      <c r="AN31" s="26"/>
      <c r="AO31" s="26"/>
      <c r="AP31" s="26"/>
      <c r="AQ31" s="26"/>
      <c r="AR31" s="26"/>
      <c r="AS31" s="26"/>
      <c r="AT31" s="26"/>
    </row>
    <row r="32" spans="1:46" ht="15.75">
      <c r="A32" s="312"/>
      <c r="B32" s="312"/>
      <c r="C32" s="312"/>
      <c r="D32" s="312"/>
      <c r="E32" s="312"/>
      <c r="F32" s="365">
        <f t="shared" si="6"/>
        <v>26</v>
      </c>
      <c r="G32" s="326"/>
      <c r="H32" s="338"/>
      <c r="I32" s="338"/>
      <c r="J32" s="338"/>
      <c r="K32" s="338"/>
      <c r="L32" s="326"/>
      <c r="M32" s="326"/>
      <c r="N32" s="326"/>
      <c r="O32" s="312"/>
      <c r="P32" s="312"/>
      <c r="Q32" s="321"/>
      <c r="R32" s="357">
        <v>2</v>
      </c>
      <c r="S32" s="358">
        <f ca="1">AI27/Investment*100</f>
        <v>1411.3188680406861</v>
      </c>
      <c r="T32" s="372">
        <f ca="1">EXP(y_inter2-(slope*LN(+S32)))</f>
        <v>2.1172197545671869</v>
      </c>
      <c r="U32" s="360">
        <f ca="1">(+S32*T32/100)/100</f>
        <v>0.29880721874091415</v>
      </c>
      <c r="V32" s="360">
        <f>regDebt_weighted</f>
        <v>3.5860000000000003E-2</v>
      </c>
      <c r="W32" s="360">
        <f ca="1">+U32-V32</f>
        <v>0.26294721874091415</v>
      </c>
      <c r="X32" s="360">
        <f ca="1">+((W32*(1-0.34))-Pfd_weighted)/Equity_percent</f>
        <v>0.4864975708401259</v>
      </c>
      <c r="Y32" s="360">
        <f ca="1">+X32*equityP</f>
        <v>0.29189854250407554</v>
      </c>
      <c r="Z32" s="360">
        <f ca="1">+Y32/(1-taxrate)</f>
        <v>0.36949182595452601</v>
      </c>
      <c r="AA32" s="360">
        <f>debtP*Debt_Rate</f>
        <v>1.5959999999999998E-2</v>
      </c>
      <c r="AB32" s="360">
        <f ca="1">+AA32+Z32</f>
        <v>0.38545182595452598</v>
      </c>
      <c r="AC32" s="360">
        <f ca="1">+AB32/(S32/100)</f>
        <v>2.7311462680977495E-2</v>
      </c>
      <c r="AD32" s="360">
        <f ca="1">1-AC32</f>
        <v>0.97268853731902249</v>
      </c>
      <c r="AE32" s="361">
        <f ca="1">expenses/(AD32)</f>
        <v>1992994.1668879872</v>
      </c>
      <c r="AF32" s="362">
        <f ca="1">+AE32-Revenue</f>
        <v>568567.62688798713</v>
      </c>
      <c r="AG32" s="363">
        <f ca="1">+AF32/$J$49</f>
        <v>596464.1139259201</v>
      </c>
      <c r="AH32" s="363">
        <f ca="1">+AG32*$J$47</f>
        <v>11988.928689910994</v>
      </c>
      <c r="AI32" s="361">
        <f t="shared" ref="AI32:AI34" ca="1" si="11">ROUND(+AH32+AE32,5)</f>
        <v>2004983.09558</v>
      </c>
      <c r="AJ32" s="26"/>
      <c r="AK32" s="26"/>
      <c r="AL32" s="26"/>
      <c r="AM32" s="26"/>
      <c r="AN32" s="26"/>
      <c r="AO32" s="26"/>
      <c r="AP32" s="26"/>
      <c r="AQ32" s="26"/>
      <c r="AR32" s="26"/>
      <c r="AS32" s="26"/>
      <c r="AT32" s="26"/>
    </row>
    <row r="33" spans="1:46" ht="15.75">
      <c r="A33" s="312"/>
      <c r="B33" s="312"/>
      <c r="C33" s="312"/>
      <c r="D33" s="312"/>
      <c r="E33" s="312"/>
      <c r="F33" s="365">
        <f t="shared" si="6"/>
        <v>27</v>
      </c>
      <c r="G33" s="326"/>
      <c r="H33" s="338" t="s">
        <v>1103</v>
      </c>
      <c r="I33" s="338"/>
      <c r="J33" s="428">
        <f ca="1">+K9/J28</f>
        <v>0.37620643317327468</v>
      </c>
      <c r="K33" s="428">
        <f ca="1">+(M14+M11)/J28</f>
        <v>0.30055468220688702</v>
      </c>
      <c r="L33" s="326"/>
      <c r="M33" s="326"/>
      <c r="N33" s="326"/>
      <c r="O33" s="312"/>
      <c r="P33" s="312"/>
      <c r="Q33" s="321"/>
      <c r="R33" s="366">
        <v>3</v>
      </c>
      <c r="S33" s="358">
        <f ca="1">AI28/Investment*100</f>
        <v>1410.8851202368642</v>
      </c>
      <c r="T33" s="359">
        <f ca="1">EXP(y_inter3-(slope*LN(S33)))</f>
        <v>2.0970758868241908</v>
      </c>
      <c r="U33" s="360">
        <f ca="1">(+S33*T33/100)/100</f>
        <v>0.2958733164727777</v>
      </c>
      <c r="V33" s="360">
        <f>regDebt_weighted</f>
        <v>3.5860000000000003E-2</v>
      </c>
      <c r="W33" s="360">
        <f ca="1">+U33-V33</f>
        <v>0.2600133164727777</v>
      </c>
      <c r="X33" s="360">
        <f ca="1">+((W33*(1-0.34))-Pfd_weighted)/Equity_percent</f>
        <v>0.4808685723024223</v>
      </c>
      <c r="Y33" s="360">
        <f ca="1">+X33*equityP</f>
        <v>0.28852114338145335</v>
      </c>
      <c r="Z33" s="360">
        <f ca="1">+Y33/(1-taxrate)</f>
        <v>0.3652166371917131</v>
      </c>
      <c r="AA33" s="360">
        <f>debtP*Debt_Rate</f>
        <v>1.5959999999999998E-2</v>
      </c>
      <c r="AB33" s="360">
        <f ca="1">+AA33+Z33</f>
        <v>0.38117663719171307</v>
      </c>
      <c r="AC33" s="360">
        <f ca="1">+AB33/(S33/100)</f>
        <v>2.7016844371263893E-2</v>
      </c>
      <c r="AD33" s="360">
        <f ca="1">1-AC33</f>
        <v>0.97298315562873605</v>
      </c>
      <c r="AE33" s="361">
        <f ca="1">expenses/(AD33)</f>
        <v>1992390.6902817164</v>
      </c>
      <c r="AF33" s="362">
        <f ca="1">+AE33-Revenue</f>
        <v>567964.15028171637</v>
      </c>
      <c r="AG33" s="363">
        <f ca="1">+AF33/$J$49</f>
        <v>595831.02804094902</v>
      </c>
      <c r="AH33" s="363">
        <f ca="1">+AG33*$J$47</f>
        <v>11976.203663623075</v>
      </c>
      <c r="AI33" s="361">
        <f t="shared" ca="1" si="11"/>
        <v>2004366.8939499999</v>
      </c>
      <c r="AJ33" s="26"/>
      <c r="AK33" s="26"/>
      <c r="AL33" s="26"/>
      <c r="AM33" s="26"/>
      <c r="AN33" s="26"/>
      <c r="AO33" s="26"/>
      <c r="AP33" s="26"/>
      <c r="AQ33" s="26"/>
      <c r="AR33" s="26"/>
      <c r="AS33" s="26"/>
      <c r="AT33" s="26"/>
    </row>
    <row r="34" spans="1:46" ht="15.75">
      <c r="A34" s="312"/>
      <c r="B34" s="312"/>
      <c r="C34" s="312"/>
      <c r="D34" s="312"/>
      <c r="E34" s="312"/>
      <c r="F34" s="365">
        <f t="shared" si="6"/>
        <v>28</v>
      </c>
      <c r="G34" s="326"/>
      <c r="H34" s="338" t="s">
        <v>1104</v>
      </c>
      <c r="I34" s="338"/>
      <c r="J34" s="428">
        <f ca="1">+(M9-M11)/J26</f>
        <v>0.60041072195545775</v>
      </c>
      <c r="K34" s="428">
        <f ca="1">+M14/J26</f>
        <v>0.47432447034481168</v>
      </c>
      <c r="L34" s="326"/>
      <c r="M34" s="326"/>
      <c r="N34" s="326"/>
      <c r="O34" s="429"/>
      <c r="P34" s="312"/>
      <c r="Q34" s="321"/>
      <c r="R34" s="369">
        <v>4</v>
      </c>
      <c r="S34" s="358">
        <f ca="1">AI29/Investment*100</f>
        <v>1410.607706872366</v>
      </c>
      <c r="T34" s="375">
        <f ca="1">EXP(y_inter4-(slope*LN(S34)))</f>
        <v>2.0841860147917881</v>
      </c>
      <c r="U34" s="360">
        <f ca="1">(+S34*T34/100)/100</f>
        <v>0.29399688550208991</v>
      </c>
      <c r="V34" s="360">
        <f>regDebt_weighted</f>
        <v>3.5860000000000003E-2</v>
      </c>
      <c r="W34" s="360">
        <f ca="1">+U34-V34</f>
        <v>0.25813688550208991</v>
      </c>
      <c r="X34" s="360">
        <f ca="1">+((W34*(1-0.34))-Pfd_weighted)/Equity_percent</f>
        <v>0.47726844311447481</v>
      </c>
      <c r="Y34" s="360">
        <f ca="1">+X34*equityP</f>
        <v>0.28636106586868487</v>
      </c>
      <c r="Z34" s="360">
        <f ca="1">+Y34/(1-taxrate)</f>
        <v>0.36248236185909477</v>
      </c>
      <c r="AA34" s="360">
        <f>debtP*Debt_Rate</f>
        <v>1.5959999999999998E-2</v>
      </c>
      <c r="AB34" s="360">
        <f ca="1">+AA34+Z34</f>
        <v>0.37844236185909474</v>
      </c>
      <c r="AC34" s="360">
        <f ca="1">+AB34/(S34/100)</f>
        <v>2.6828320873007738E-2</v>
      </c>
      <c r="AD34" s="360">
        <f ca="1">1-AC34</f>
        <v>0.97317167912699221</v>
      </c>
      <c r="AE34" s="361">
        <f ca="1">expenses/(AD34)</f>
        <v>1992004.7229638412</v>
      </c>
      <c r="AF34" s="362">
        <f ca="1">+AE34-Revenue</f>
        <v>567578.18296384113</v>
      </c>
      <c r="AG34" s="363">
        <f ca="1">+AF34/$J$49</f>
        <v>595426.12342912494</v>
      </c>
      <c r="AH34" s="363">
        <f ca="1">+AG34*$J$47</f>
        <v>11968.065080925411</v>
      </c>
      <c r="AI34" s="361">
        <f t="shared" ca="1" si="11"/>
        <v>2003972.78804</v>
      </c>
      <c r="AJ34" s="26"/>
      <c r="AK34" s="26"/>
      <c r="AL34" s="26"/>
      <c r="AM34" s="26"/>
      <c r="AN34" s="26"/>
      <c r="AO34" s="26"/>
      <c r="AP34" s="26"/>
      <c r="AQ34" s="26"/>
      <c r="AR34" s="26"/>
      <c r="AS34" s="26"/>
      <c r="AT34" s="26"/>
    </row>
    <row r="35" spans="1:46" ht="15.75">
      <c r="A35" s="312"/>
      <c r="B35" s="312"/>
      <c r="C35" s="312"/>
      <c r="D35" s="312"/>
      <c r="E35" s="312"/>
      <c r="F35" s="365">
        <f t="shared" si="6"/>
        <v>29</v>
      </c>
      <c r="G35" s="326"/>
      <c r="H35" s="430" t="s">
        <v>478</v>
      </c>
      <c r="I35" s="338"/>
      <c r="J35" s="428">
        <f ca="1">+K8/K7</f>
        <v>0.97316999999999998</v>
      </c>
      <c r="K35" s="428">
        <f ca="1">+M8/M7</f>
        <v>0.97333023399627749</v>
      </c>
      <c r="L35" s="326"/>
      <c r="M35" s="326"/>
      <c r="N35" s="326"/>
      <c r="O35" s="312"/>
      <c r="P35" s="312"/>
      <c r="Q35" s="321"/>
      <c r="R35" s="328" t="s">
        <v>1105</v>
      </c>
      <c r="S35" s="26"/>
      <c r="T35" s="26"/>
      <c r="U35" s="26"/>
      <c r="V35" s="26"/>
      <c r="W35" s="26"/>
      <c r="X35" s="30"/>
      <c r="Y35" s="431"/>
      <c r="Z35" s="415"/>
      <c r="AA35" s="30"/>
      <c r="AB35" s="26"/>
      <c r="AC35" s="30"/>
      <c r="AD35" s="30"/>
      <c r="AE35" s="415"/>
      <c r="AF35" s="414"/>
      <c r="AG35" s="26"/>
      <c r="AH35" s="415"/>
      <c r="AI35" s="26"/>
      <c r="AJ35" s="26"/>
      <c r="AK35" s="26"/>
      <c r="AL35" s="26"/>
      <c r="AM35" s="26"/>
      <c r="AN35" s="26"/>
      <c r="AO35" s="26"/>
      <c r="AP35" s="26"/>
      <c r="AQ35" s="26"/>
      <c r="AR35" s="26"/>
      <c r="AS35" s="26"/>
      <c r="AT35" s="26"/>
    </row>
    <row r="36" spans="1:46" ht="15.75">
      <c r="A36" s="312"/>
      <c r="B36" s="312"/>
      <c r="C36" s="312"/>
      <c r="D36" s="312"/>
      <c r="E36" s="312"/>
      <c r="F36" s="365">
        <f t="shared" si="6"/>
        <v>30</v>
      </c>
      <c r="G36" s="326"/>
      <c r="H36" s="338" t="s">
        <v>1106</v>
      </c>
      <c r="I36" s="338"/>
      <c r="J36" s="428">
        <f ca="1">+K9/K7</f>
        <v>2.6830000000000045E-2</v>
      </c>
      <c r="K36" s="428">
        <f ca="1">+J36</f>
        <v>2.6830000000000045E-2</v>
      </c>
      <c r="L36" s="326"/>
      <c r="M36" s="326"/>
      <c r="N36" s="326"/>
      <c r="O36" s="312"/>
      <c r="P36" s="312"/>
      <c r="Q36" s="321"/>
      <c r="R36" s="347">
        <v>1</v>
      </c>
      <c r="S36" s="348">
        <f ca="1">AI31/Investment*100</f>
        <v>1411.9629220359909</v>
      </c>
      <c r="T36" s="384">
        <f ca="1">EXP(y_inter1-(slope*LN(+S36)))</f>
        <v>2.1471081076136005</v>
      </c>
      <c r="U36" s="385">
        <f ca="1">(+S36*T36/100)/100</f>
        <v>0.30316370375532659</v>
      </c>
      <c r="V36" s="385">
        <f>regDebt_weighted</f>
        <v>3.5860000000000003E-2</v>
      </c>
      <c r="W36" s="385">
        <f ca="1">+U36-V36</f>
        <v>0.26730370375532658</v>
      </c>
      <c r="X36" s="385">
        <f ca="1">+((W36*(1-0.34))-Pfd_weighted)/Equity_percent</f>
        <v>0.49485594325149862</v>
      </c>
      <c r="Y36" s="385">
        <f ca="1">+X36*equityP</f>
        <v>0.29691356595089918</v>
      </c>
      <c r="Z36" s="385">
        <f ca="1">+Y36/(1-taxrate)</f>
        <v>0.37583995689987237</v>
      </c>
      <c r="AA36" s="385">
        <f>debtP*Debt_Rate</f>
        <v>1.5959999999999998E-2</v>
      </c>
      <c r="AB36" s="385">
        <f ca="1">+AA36+Z36</f>
        <v>0.39179995689987235</v>
      </c>
      <c r="AC36" s="385">
        <f ca="1">+AB36/(S36/100)</f>
        <v>2.7748600957234297E-2</v>
      </c>
      <c r="AD36" s="385">
        <f ca="1">1-AC36</f>
        <v>0.9722513990427657</v>
      </c>
      <c r="AE36" s="386">
        <f ca="1">expenses/(AD36)</f>
        <v>1993890.2458605256</v>
      </c>
      <c r="AF36" s="352">
        <f ca="1">+AE36-Revenue</f>
        <v>569463.7058605256</v>
      </c>
      <c r="AG36" s="388">
        <f ca="1">+AF36/$J$49</f>
        <v>597404.15856632323</v>
      </c>
      <c r="AH36" s="388">
        <f ca="1">+AG36*$J$47</f>
        <v>12007.823587183097</v>
      </c>
      <c r="AI36" s="386">
        <f ca="1">ROUND(+AH36+AE36,5)</f>
        <v>2005898.0694500001</v>
      </c>
      <c r="AJ36" s="26"/>
      <c r="AK36" s="26"/>
      <c r="AL36" s="26"/>
      <c r="AM36" s="26"/>
      <c r="AN36" s="26"/>
      <c r="AO36" s="26"/>
      <c r="AP36" s="26"/>
      <c r="AQ36" s="26"/>
      <c r="AR36" s="26"/>
      <c r="AS36" s="26"/>
      <c r="AT36" s="26"/>
    </row>
    <row r="37" spans="1:46" ht="15.75">
      <c r="A37" s="312"/>
      <c r="B37" s="312"/>
      <c r="C37" s="312"/>
      <c r="D37" s="312"/>
      <c r="E37" s="312"/>
      <c r="F37" s="365">
        <f t="shared" si="6"/>
        <v>31</v>
      </c>
      <c r="G37" s="326"/>
      <c r="H37" s="338" t="s">
        <v>1107</v>
      </c>
      <c r="I37" s="432"/>
      <c r="J37" s="433">
        <f ca="1">+S39/100</f>
        <v>14.106077056616481</v>
      </c>
      <c r="K37" s="433">
        <f ca="1">+J37</f>
        <v>14.106077056616481</v>
      </c>
      <c r="L37" s="326"/>
      <c r="M37" s="326"/>
      <c r="N37" s="326"/>
      <c r="O37" s="312"/>
      <c r="P37" s="312"/>
      <c r="Q37" s="321"/>
      <c r="R37" s="357">
        <v>2</v>
      </c>
      <c r="S37" s="358">
        <f ca="1">AI32/Investment*100</f>
        <v>1411.3188668158903</v>
      </c>
      <c r="T37" s="372">
        <f ca="1">EXP(y_inter2-(slope*LN(+S37)))</f>
        <v>2.1172197558233647</v>
      </c>
      <c r="U37" s="360">
        <f ca="1">(+S37*T37/100)/100</f>
        <v>0.29880721865888471</v>
      </c>
      <c r="V37" s="360">
        <f>regDebt_weighted</f>
        <v>3.5860000000000003E-2</v>
      </c>
      <c r="W37" s="360">
        <f ca="1">+U37-V37</f>
        <v>0.26294721865888471</v>
      </c>
      <c r="X37" s="360">
        <f ca="1">+((W37*(1-0.34))-Pfd_weighted)/Equity_percent</f>
        <v>0.48649757068274391</v>
      </c>
      <c r="Y37" s="360">
        <f ca="1">+X37*equityP</f>
        <v>0.29189854240964636</v>
      </c>
      <c r="Z37" s="360">
        <f ca="1">+Y37/(1-taxrate)</f>
        <v>0.36949182583499535</v>
      </c>
      <c r="AA37" s="360">
        <f>debtP*Debt_Rate</f>
        <v>1.5959999999999998E-2</v>
      </c>
      <c r="AB37" s="360">
        <f ca="1">+AA37+Z37</f>
        <v>0.38545182583499532</v>
      </c>
      <c r="AC37" s="360">
        <f ca="1">+AB37/(S37/100)</f>
        <v>2.731146269620998E-2</v>
      </c>
      <c r="AD37" s="360">
        <f ca="1">1-AC37</f>
        <v>0.97268853730379001</v>
      </c>
      <c r="AE37" s="361">
        <f ca="1">expenses/(AD37)</f>
        <v>1992994.1669191979</v>
      </c>
      <c r="AF37" s="362">
        <f ca="1">+AE37-Revenue</f>
        <v>568567.62691919785</v>
      </c>
      <c r="AG37" s="363">
        <f ca="1">+AF37/$J$49</f>
        <v>596464.11395866214</v>
      </c>
      <c r="AH37" s="363">
        <f ca="1">+AG37*$J$47</f>
        <v>11988.92869056911</v>
      </c>
      <c r="AI37" s="361">
        <f t="shared" ref="AI37:AI39" ca="1" si="12">ROUND(+AH37+AE37,5)</f>
        <v>2004983.09561</v>
      </c>
      <c r="AJ37" s="26"/>
      <c r="AK37" s="26"/>
      <c r="AL37" s="26"/>
      <c r="AM37" s="26"/>
      <c r="AN37" s="26"/>
      <c r="AO37" s="26"/>
      <c r="AP37" s="26"/>
      <c r="AQ37" s="26"/>
      <c r="AR37" s="26"/>
      <c r="AS37" s="26"/>
      <c r="AT37" s="26"/>
    </row>
    <row r="38" spans="1:46" ht="15.75">
      <c r="A38" s="312"/>
      <c r="B38" s="312"/>
      <c r="C38" s="312"/>
      <c r="D38" s="312"/>
      <c r="E38" s="312"/>
      <c r="F38" s="365">
        <f t="shared" si="6"/>
        <v>32</v>
      </c>
      <c r="G38" s="326"/>
      <c r="H38" s="338" t="s">
        <v>3</v>
      </c>
      <c r="I38" s="326"/>
      <c r="J38" s="428">
        <f>+C10</f>
        <v>0.21</v>
      </c>
      <c r="K38" s="428">
        <f>+J38</f>
        <v>0.21</v>
      </c>
      <c r="L38" s="326"/>
      <c r="M38" s="326"/>
      <c r="N38" s="326"/>
      <c r="O38" s="312"/>
      <c r="P38" s="312"/>
      <c r="Q38" s="434"/>
      <c r="R38" s="366">
        <v>3</v>
      </c>
      <c r="S38" s="358">
        <f ca="1">AI33/Investment*100</f>
        <v>1410.8851190261464</v>
      </c>
      <c r="T38" s="359">
        <f ca="1">EXP(y_inter3-(slope*LN(S38)))</f>
        <v>2.0970758880544942</v>
      </c>
      <c r="U38" s="360">
        <f ca="1">(+S38*T38/100)/100</f>
        <v>0.29587331639246267</v>
      </c>
      <c r="V38" s="360">
        <f>regDebt_weighted</f>
        <v>3.5860000000000003E-2</v>
      </c>
      <c r="W38" s="360">
        <f ca="1">+U38-V38</f>
        <v>0.26001331639246267</v>
      </c>
      <c r="X38" s="360">
        <f ca="1">+((W38*(1-0.34))-Pfd_weighted)/Equity_percent</f>
        <v>0.48086857214832951</v>
      </c>
      <c r="Y38" s="360">
        <f ca="1">+X38*equityP</f>
        <v>0.28852114328899769</v>
      </c>
      <c r="Z38" s="360">
        <f ca="1">+Y38/(1-taxrate)</f>
        <v>0.36521663707468061</v>
      </c>
      <c r="AA38" s="360">
        <f>debtP*Debt_Rate</f>
        <v>1.5959999999999998E-2</v>
      </c>
      <c r="AB38" s="360">
        <f ca="1">+AA38+Z38</f>
        <v>0.38117663707468058</v>
      </c>
      <c r="AC38" s="360">
        <f ca="1">+AB38/(S38/100)</f>
        <v>2.7016844386152792E-2</v>
      </c>
      <c r="AD38" s="360">
        <f ca="1">1-AC38</f>
        <v>0.97298315561384718</v>
      </c>
      <c r="AE38" s="361">
        <f ca="1">expenses/(AD38)</f>
        <v>1992390.6903122046</v>
      </c>
      <c r="AF38" s="362">
        <f ca="1">+AE38-Revenue</f>
        <v>567964.15031220461</v>
      </c>
      <c r="AG38" s="363">
        <f ca="1">+AF38/$J$49</f>
        <v>595831.02807293308</v>
      </c>
      <c r="AH38" s="363">
        <f ca="1">+AG38*$J$47</f>
        <v>11976.203664265955</v>
      </c>
      <c r="AI38" s="361">
        <f t="shared" ca="1" si="12"/>
        <v>2004366.8939799999</v>
      </c>
      <c r="AJ38" s="26"/>
      <c r="AK38" s="26"/>
      <c r="AL38" s="26"/>
      <c r="AM38" s="26"/>
      <c r="AN38" s="26"/>
      <c r="AO38" s="26"/>
      <c r="AP38" s="26"/>
      <c r="AQ38" s="26"/>
      <c r="AR38" s="26"/>
      <c r="AS38" s="26"/>
      <c r="AT38" s="26"/>
    </row>
    <row r="39" spans="1:46" ht="15.75">
      <c r="A39" s="312"/>
      <c r="B39" s="312"/>
      <c r="C39" s="312"/>
      <c r="D39" s="312"/>
      <c r="E39" s="312"/>
      <c r="F39" s="365">
        <f t="shared" si="6"/>
        <v>33</v>
      </c>
      <c r="G39" s="326"/>
      <c r="H39" s="326"/>
      <c r="I39" s="326"/>
      <c r="J39" s="326"/>
      <c r="K39" s="326"/>
      <c r="L39" s="326"/>
      <c r="M39" s="326"/>
      <c r="N39" s="326"/>
      <c r="O39" s="312"/>
      <c r="P39" s="312"/>
      <c r="Q39" s="321"/>
      <c r="R39" s="369">
        <v>4</v>
      </c>
      <c r="S39" s="358">
        <f ca="1">AI34/Investment*100</f>
        <v>1410.6077056616482</v>
      </c>
      <c r="T39" s="375">
        <f ca="1">EXP(y_inter4-(slope*LN(S39)))</f>
        <v>2.0841860160147676</v>
      </c>
      <c r="U39" s="360">
        <f ca="1">(+S39*T39/100)/100</f>
        <v>0.29399688542226826</v>
      </c>
      <c r="V39" s="360">
        <f>regDebt_weighted</f>
        <v>3.5860000000000003E-2</v>
      </c>
      <c r="W39" s="360">
        <f ca="1">+U39-V39</f>
        <v>0.25813688542226826</v>
      </c>
      <c r="X39" s="360">
        <f ca="1">+((W39*(1-0.34))-Pfd_weighted)/Equity_percent</f>
        <v>0.47726844296132859</v>
      </c>
      <c r="Y39" s="360">
        <f ca="1">+X39*equityP</f>
        <v>0.28636106577679715</v>
      </c>
      <c r="Z39" s="360">
        <f ca="1">+Y39/(1-taxrate)</f>
        <v>0.3624823617427812</v>
      </c>
      <c r="AA39" s="360">
        <f>debtP*Debt_Rate</f>
        <v>1.5959999999999998E-2</v>
      </c>
      <c r="AB39" s="360">
        <f ca="1">+AA39+Z39</f>
        <v>0.37844236174278117</v>
      </c>
      <c r="AC39" s="360">
        <f ca="1">+AB39/(S39/100)</f>
        <v>2.682832088778872E-2</v>
      </c>
      <c r="AD39" s="360">
        <f ca="1">1-AC39</f>
        <v>0.97317167911221125</v>
      </c>
      <c r="AE39" s="361">
        <f ca="1">expenses/(AD39)</f>
        <v>1992004.7229940966</v>
      </c>
      <c r="AF39" s="362">
        <f ca="1">+AE39-Revenue</f>
        <v>567578.18299409654</v>
      </c>
      <c r="AG39" s="363">
        <f ca="1">+AF39/$J$49</f>
        <v>595426.12346086476</v>
      </c>
      <c r="AH39" s="363">
        <f ca="1">+AG39*$J$47</f>
        <v>11968.065081563382</v>
      </c>
      <c r="AI39" s="361">
        <f t="shared" ca="1" si="12"/>
        <v>2003972.7880800001</v>
      </c>
      <c r="AJ39" s="26"/>
      <c r="AK39" s="26"/>
      <c r="AL39" s="26"/>
      <c r="AM39" s="26"/>
      <c r="AN39" s="26"/>
      <c r="AO39" s="26"/>
      <c r="AP39" s="26"/>
      <c r="AQ39" s="26"/>
      <c r="AR39" s="26"/>
      <c r="AS39" s="26"/>
      <c r="AT39" s="26"/>
    </row>
    <row r="40" spans="1:46" ht="15.75">
      <c r="A40" s="312"/>
      <c r="B40" s="312"/>
      <c r="C40" s="312"/>
      <c r="D40" s="312"/>
      <c r="E40" s="312"/>
      <c r="F40" s="365">
        <f t="shared" si="6"/>
        <v>34</v>
      </c>
      <c r="G40" s="432"/>
      <c r="H40" s="326"/>
      <c r="I40" s="326"/>
      <c r="J40" s="326"/>
      <c r="K40" s="326"/>
      <c r="L40" s="326"/>
      <c r="M40" s="326"/>
      <c r="N40" s="326"/>
      <c r="O40" s="312"/>
      <c r="P40" s="312"/>
      <c r="Q40" s="321"/>
      <c r="R40" s="328"/>
      <c r="S40" s="26"/>
      <c r="T40" s="26"/>
      <c r="U40" s="26"/>
      <c r="V40" s="26"/>
      <c r="W40" s="26"/>
      <c r="X40" s="30"/>
      <c r="Y40" s="431"/>
      <c r="Z40" s="415"/>
      <c r="AA40" s="30"/>
      <c r="AB40" s="26"/>
      <c r="AC40" s="30"/>
      <c r="AD40" s="30"/>
      <c r="AE40" s="415"/>
      <c r="AF40" s="414"/>
      <c r="AG40" s="26"/>
      <c r="AH40" s="415"/>
      <c r="AI40" s="26"/>
      <c r="AJ40" s="26"/>
      <c r="AK40" s="26"/>
      <c r="AL40" s="26"/>
      <c r="AM40" s="26"/>
      <c r="AN40" s="26"/>
      <c r="AO40" s="26"/>
      <c r="AP40" s="26"/>
      <c r="AQ40" s="26"/>
      <c r="AR40" s="26"/>
      <c r="AS40" s="26"/>
      <c r="AT40" s="26"/>
    </row>
    <row r="41" spans="1:46" ht="15.75">
      <c r="A41" s="312"/>
      <c r="B41" s="312"/>
      <c r="C41" s="312"/>
      <c r="D41" s="312"/>
      <c r="E41" s="312"/>
      <c r="F41" s="365">
        <f t="shared" si="6"/>
        <v>35</v>
      </c>
      <c r="G41" s="326"/>
      <c r="H41" s="425" t="s">
        <v>1108</v>
      </c>
      <c r="I41" s="435"/>
      <c r="J41" s="326"/>
      <c r="K41" s="326"/>
      <c r="L41" s="326"/>
      <c r="M41" s="326"/>
      <c r="N41" s="326"/>
      <c r="O41" s="312"/>
      <c r="P41" s="312"/>
      <c r="Q41" s="321"/>
      <c r="R41" s="436" t="s">
        <v>1109</v>
      </c>
      <c r="S41" s="437"/>
      <c r="T41" s="438"/>
      <c r="U41" s="438"/>
      <c r="V41" s="439"/>
      <c r="W41" s="26"/>
      <c r="X41" s="440"/>
      <c r="Y41" s="431"/>
      <c r="Z41" s="415"/>
      <c r="AA41" s="30"/>
      <c r="AB41" s="26"/>
      <c r="AC41" s="30"/>
      <c r="AD41" s="30"/>
      <c r="AE41" s="415"/>
      <c r="AF41" s="414"/>
      <c r="AG41" s="26"/>
      <c r="AH41" s="415"/>
      <c r="AI41" s="26"/>
      <c r="AJ41" s="26"/>
      <c r="AK41" s="26"/>
      <c r="AL41" s="26"/>
      <c r="AM41" s="26"/>
      <c r="AN41" s="26"/>
      <c r="AO41" s="26"/>
      <c r="AP41" s="26"/>
      <c r="AQ41" s="26"/>
      <c r="AR41" s="26"/>
      <c r="AS41" s="26"/>
      <c r="AT41" s="26"/>
    </row>
    <row r="42" spans="1:46" ht="15.75">
      <c r="A42" s="312"/>
      <c r="B42" s="312"/>
      <c r="C42" s="312"/>
      <c r="D42" s="312"/>
      <c r="E42" s="312"/>
      <c r="F42" s="365">
        <f t="shared" si="6"/>
        <v>36</v>
      </c>
      <c r="G42" s="326"/>
      <c r="H42" s="326"/>
      <c r="I42" s="326"/>
      <c r="J42" s="441" t="s">
        <v>729</v>
      </c>
      <c r="K42" s="442" t="s">
        <v>1058</v>
      </c>
      <c r="L42" s="326"/>
      <c r="M42" s="326"/>
      <c r="N42" s="326"/>
      <c r="O42" s="312"/>
      <c r="P42" s="312"/>
      <c r="Q42" s="321"/>
      <c r="R42" s="443" t="s">
        <v>1110</v>
      </c>
      <c r="S42" s="444"/>
      <c r="T42" s="445"/>
      <c r="U42" s="445"/>
      <c r="V42" s="446"/>
      <c r="W42" s="26"/>
      <c r="X42" s="30"/>
      <c r="Y42" s="431"/>
      <c r="Z42" s="415"/>
      <c r="AA42" s="30"/>
      <c r="AB42" s="26"/>
      <c r="AC42" s="30"/>
      <c r="AD42" s="30"/>
      <c r="AE42" s="415"/>
      <c r="AF42" s="26"/>
      <c r="AG42" s="26"/>
      <c r="AH42" s="415"/>
      <c r="AI42" s="26"/>
      <c r="AJ42" s="26"/>
      <c r="AK42" s="26"/>
      <c r="AL42" s="26"/>
      <c r="AM42" s="26"/>
      <c r="AN42" s="26"/>
      <c r="AO42" s="26"/>
      <c r="AP42" s="26"/>
      <c r="AQ42" s="26"/>
      <c r="AR42" s="26"/>
      <c r="AS42" s="26"/>
      <c r="AT42" s="26"/>
    </row>
    <row r="43" spans="1:46" ht="15.75">
      <c r="A43" s="312"/>
      <c r="B43" s="312"/>
      <c r="C43" s="312"/>
      <c r="D43" s="312"/>
      <c r="E43" s="312"/>
      <c r="F43" s="365">
        <f t="shared" si="6"/>
        <v>37</v>
      </c>
      <c r="G43" s="326"/>
      <c r="H43" s="338" t="s">
        <v>4</v>
      </c>
      <c r="I43" s="447"/>
      <c r="J43" s="448">
        <f>IF($A$65=TRUE,C11,0)</f>
        <v>1.4999999999999999E-2</v>
      </c>
      <c r="K43" s="449">
        <f ca="1">+J43*($J$7/$J$49)</f>
        <v>8931.4459366623832</v>
      </c>
      <c r="L43" s="326"/>
      <c r="M43" s="326"/>
      <c r="N43" s="326"/>
      <c r="O43" s="312"/>
      <c r="P43" s="312"/>
      <c r="Q43" s="321"/>
      <c r="R43" s="366">
        <v>0</v>
      </c>
      <c r="S43" s="450">
        <v>1</v>
      </c>
      <c r="T43" s="445"/>
      <c r="U43" s="451" t="s">
        <v>1106</v>
      </c>
      <c r="V43" s="452">
        <f ca="1">VLOOKUP(R49,R36:AE39,12)</f>
        <v>2.682832088778872E-2</v>
      </c>
      <c r="W43" s="26"/>
      <c r="X43" s="26"/>
      <c r="Y43" s="26"/>
      <c r="Z43" s="26"/>
      <c r="AA43" s="30"/>
      <c r="AB43" s="26"/>
      <c r="AC43" s="30"/>
      <c r="AD43" s="26"/>
      <c r="AE43" s="26"/>
      <c r="AF43" s="26"/>
      <c r="AG43" s="26"/>
      <c r="AH43" s="415"/>
      <c r="AI43" s="26"/>
      <c r="AJ43" s="26"/>
      <c r="AK43" s="26"/>
      <c r="AL43" s="30"/>
      <c r="AM43" s="30"/>
      <c r="AN43" s="30"/>
      <c r="AO43" s="30"/>
      <c r="AP43" s="30"/>
      <c r="AQ43" s="30"/>
      <c r="AR43" s="30"/>
      <c r="AS43" s="30"/>
      <c r="AT43" s="30"/>
    </row>
    <row r="44" spans="1:46" ht="15.75">
      <c r="A44" s="312"/>
      <c r="B44" s="312"/>
      <c r="C44" s="312"/>
      <c r="D44" s="312"/>
      <c r="E44" s="312"/>
      <c r="F44" s="365">
        <f t="shared" si="6"/>
        <v>38</v>
      </c>
      <c r="G44" s="326"/>
      <c r="H44" s="338" t="s">
        <v>5</v>
      </c>
      <c r="I44" s="447"/>
      <c r="J44" s="448">
        <f t="shared" ref="J44:J46" si="13">IF($A$65=TRUE,C12,0)</f>
        <v>5.1000000000000004E-3</v>
      </c>
      <c r="K44" s="449">
        <f ca="1">+J44*($J$7/$J$49)</f>
        <v>3036.6916184652105</v>
      </c>
      <c r="L44" s="326"/>
      <c r="M44" s="326"/>
      <c r="N44" s="326"/>
      <c r="O44" s="312"/>
      <c r="P44" s="312"/>
      <c r="Q44" s="321"/>
      <c r="R44" s="366">
        <v>50</v>
      </c>
      <c r="S44" s="450">
        <v>2</v>
      </c>
      <c r="T44" s="445"/>
      <c r="U44" s="451" t="s">
        <v>478</v>
      </c>
      <c r="V44" s="452">
        <f ca="1">ROUND(1-V43,5)</f>
        <v>0.97316999999999998</v>
      </c>
      <c r="W44" s="26"/>
      <c r="X44" s="26"/>
      <c r="Y44" s="453"/>
      <c r="Z44" s="328"/>
      <c r="AA44" s="328"/>
      <c r="AB44" s="26"/>
      <c r="AC44" s="30"/>
      <c r="AD44" s="26"/>
      <c r="AE44" s="26"/>
      <c r="AF44" s="414"/>
      <c r="AG44" s="26"/>
      <c r="AH44" s="415"/>
      <c r="AI44" s="26"/>
      <c r="AJ44" s="26"/>
      <c r="AK44" s="26"/>
      <c r="AL44" s="30"/>
      <c r="AM44" s="30"/>
      <c r="AN44" s="30"/>
      <c r="AO44" s="30"/>
      <c r="AP44" s="30"/>
      <c r="AQ44" s="30"/>
      <c r="AR44" s="30"/>
      <c r="AS44" s="30"/>
      <c r="AT44" s="30"/>
    </row>
    <row r="45" spans="1:46" ht="15.75">
      <c r="A45" s="312"/>
      <c r="B45" s="312"/>
      <c r="C45" s="312"/>
      <c r="D45" s="312"/>
      <c r="E45" s="312"/>
      <c r="F45" s="365">
        <f t="shared" si="6"/>
        <v>39</v>
      </c>
      <c r="G45" s="326"/>
      <c r="H45" s="338" t="s">
        <v>6</v>
      </c>
      <c r="I45" s="447"/>
      <c r="J45" s="448">
        <f t="shared" si="13"/>
        <v>0</v>
      </c>
      <c r="K45" s="449">
        <f ca="1">+J45*($J$7/$J$49)</f>
        <v>0</v>
      </c>
      <c r="L45" s="326"/>
      <c r="M45" s="326"/>
      <c r="N45" s="326"/>
      <c r="O45" s="312"/>
      <c r="P45" s="312"/>
      <c r="Q45" s="321"/>
      <c r="R45" s="366">
        <v>125</v>
      </c>
      <c r="S45" s="450">
        <v>3</v>
      </c>
      <c r="T45" s="445"/>
      <c r="U45" s="454" t="s">
        <v>1111</v>
      </c>
      <c r="V45" s="455">
        <f ca="1">+M7/Revenue-1</f>
        <v>0.40686531828014094</v>
      </c>
      <c r="W45" s="456"/>
      <c r="X45" s="30"/>
      <c r="Y45" s="453"/>
      <c r="Z45" s="415"/>
      <c r="AA45" s="30"/>
      <c r="AB45" s="26"/>
      <c r="AC45" s="30"/>
      <c r="AD45" s="30"/>
      <c r="AE45" s="415"/>
      <c r="AF45" s="414"/>
      <c r="AG45" s="26"/>
      <c r="AH45" s="415"/>
      <c r="AI45" s="26"/>
      <c r="AJ45" s="26"/>
      <c r="AK45" s="26"/>
      <c r="AL45" s="30"/>
      <c r="AM45" s="30"/>
      <c r="AN45" s="30"/>
      <c r="AO45" s="30"/>
      <c r="AP45" s="30"/>
      <c r="AQ45" s="30"/>
      <c r="AR45" s="30"/>
      <c r="AS45" s="30"/>
      <c r="AT45" s="30"/>
    </row>
    <row r="46" spans="1:46" ht="15.75">
      <c r="A46" s="312"/>
      <c r="B46" s="312"/>
      <c r="C46" s="312"/>
      <c r="D46" s="312"/>
      <c r="E46" s="312"/>
      <c r="F46" s="365">
        <f t="shared" si="6"/>
        <v>40</v>
      </c>
      <c r="G46" s="326"/>
      <c r="H46" s="338" t="s">
        <v>7</v>
      </c>
      <c r="I46" s="447"/>
      <c r="J46" s="448">
        <f t="shared" si="13"/>
        <v>0</v>
      </c>
      <c r="K46" s="449">
        <f ca="1">+J46*($J$7/$J$49)</f>
        <v>0</v>
      </c>
      <c r="L46" s="326"/>
      <c r="M46" s="326"/>
      <c r="N46" s="326"/>
      <c r="O46" s="312"/>
      <c r="P46" s="312"/>
      <c r="Q46" s="321"/>
      <c r="R46" s="369">
        <v>401</v>
      </c>
      <c r="S46" s="457">
        <v>4</v>
      </c>
      <c r="T46" s="458"/>
      <c r="U46" s="458"/>
      <c r="V46" s="459"/>
      <c r="W46" s="26"/>
      <c r="X46" s="30"/>
      <c r="Y46" s="431"/>
      <c r="Z46" s="415"/>
      <c r="AA46" s="30"/>
      <c r="AB46" s="26"/>
      <c r="AC46" s="30"/>
      <c r="AD46" s="30"/>
      <c r="AE46" s="415"/>
      <c r="AF46" s="414"/>
      <c r="AG46" s="26"/>
      <c r="AH46" s="415"/>
      <c r="AI46" s="26"/>
      <c r="AJ46" s="26"/>
      <c r="AK46" s="26"/>
      <c r="AL46" s="30"/>
      <c r="AM46" s="30"/>
      <c r="AN46" s="30"/>
      <c r="AO46" s="30"/>
      <c r="AP46" s="30"/>
      <c r="AQ46" s="30"/>
      <c r="AR46" s="30"/>
      <c r="AS46" s="30"/>
      <c r="AT46" s="30"/>
    </row>
    <row r="47" spans="1:46" ht="16.5" thickBot="1">
      <c r="A47" s="312"/>
      <c r="B47" s="312"/>
      <c r="C47" s="312"/>
      <c r="D47" s="312"/>
      <c r="E47" s="312"/>
      <c r="F47" s="365">
        <f t="shared" si="6"/>
        <v>41</v>
      </c>
      <c r="G47" s="326"/>
      <c r="H47" s="338" t="s">
        <v>8</v>
      </c>
      <c r="I47" s="432"/>
      <c r="J47" s="460">
        <f>SUM(J43:J46)</f>
        <v>2.01E-2</v>
      </c>
      <c r="K47" s="421">
        <f ca="1">+K43+K44+K45+K46</f>
        <v>11968.137555127594</v>
      </c>
      <c r="L47" s="326"/>
      <c r="M47" s="326"/>
      <c r="N47" s="326"/>
      <c r="O47" s="312"/>
      <c r="P47" s="312"/>
      <c r="Q47" s="321"/>
      <c r="R47" s="366"/>
      <c r="S47" s="461"/>
      <c r="T47" s="445"/>
      <c r="U47" s="445"/>
      <c r="V47" s="445"/>
      <c r="W47" s="26"/>
      <c r="X47" s="30"/>
      <c r="Y47" s="431"/>
      <c r="Z47" s="415"/>
      <c r="AA47" s="30"/>
      <c r="AB47" s="26"/>
      <c r="AC47" s="30"/>
      <c r="AD47" s="30"/>
      <c r="AE47" s="415"/>
      <c r="AF47" s="414"/>
      <c r="AG47" s="26"/>
      <c r="AH47" s="415"/>
      <c r="AI47" s="26"/>
      <c r="AJ47" s="26"/>
      <c r="AK47" s="26"/>
      <c r="AL47" s="30"/>
      <c r="AM47" s="30"/>
      <c r="AN47" s="30"/>
      <c r="AO47" s="30"/>
      <c r="AP47" s="30"/>
      <c r="AQ47" s="30"/>
      <c r="AR47" s="30"/>
      <c r="AS47" s="30"/>
      <c r="AT47" s="30"/>
    </row>
    <row r="48" spans="1:46" ht="16.5" thickTop="1">
      <c r="A48" s="312"/>
      <c r="B48" s="312"/>
      <c r="C48" s="312"/>
      <c r="D48" s="312"/>
      <c r="E48" s="312"/>
      <c r="F48" s="365">
        <f t="shared" si="6"/>
        <v>42</v>
      </c>
      <c r="G48" s="326"/>
      <c r="H48" s="338"/>
      <c r="I48" s="432"/>
      <c r="J48" s="462"/>
      <c r="K48" s="419"/>
      <c r="L48" s="326"/>
      <c r="M48" s="326"/>
      <c r="N48" s="326"/>
      <c r="O48" s="312"/>
      <c r="P48" s="312"/>
      <c r="Q48" s="321"/>
      <c r="R48" s="463">
        <f ca="1">VLOOKUP(R49,R36:S39,2)</f>
        <v>1410.6077056616482</v>
      </c>
      <c r="S48" s="464" t="s">
        <v>1112</v>
      </c>
      <c r="T48" s="439"/>
      <c r="U48" s="26"/>
      <c r="V48" s="438"/>
      <c r="W48" s="26"/>
      <c r="X48" s="26" t="s">
        <v>10</v>
      </c>
      <c r="Y48" s="26"/>
      <c r="Z48" s="26"/>
      <c r="AA48" s="26"/>
      <c r="AB48" s="26"/>
      <c r="AC48" s="30"/>
      <c r="AD48" s="26"/>
      <c r="AE48" s="26"/>
      <c r="AF48" s="414"/>
      <c r="AG48" s="26"/>
      <c r="AH48" s="415"/>
      <c r="AI48" s="26"/>
      <c r="AJ48" s="26"/>
      <c r="AK48" s="26"/>
      <c r="AL48" s="26"/>
      <c r="AM48" s="26"/>
      <c r="AN48" s="26"/>
      <c r="AO48" s="26"/>
      <c r="AP48" s="26"/>
      <c r="AQ48" s="26"/>
      <c r="AR48" s="26"/>
      <c r="AS48" s="26"/>
      <c r="AT48" s="26"/>
    </row>
    <row r="49" spans="1:46" ht="15.75">
      <c r="A49" s="312"/>
      <c r="B49" s="312"/>
      <c r="C49" s="312"/>
      <c r="D49" s="312"/>
      <c r="E49" s="312"/>
      <c r="F49" s="365">
        <f t="shared" si="6"/>
        <v>43</v>
      </c>
      <c r="G49" s="332"/>
      <c r="H49" s="465" t="s">
        <v>9</v>
      </c>
      <c r="I49" s="408"/>
      <c r="J49" s="466">
        <f ca="1">((K35)-J47)</f>
        <v>0.95323023399627749</v>
      </c>
      <c r="K49" s="408"/>
      <c r="L49" s="408"/>
      <c r="M49" s="408"/>
      <c r="N49" s="408"/>
      <c r="O49" s="312"/>
      <c r="P49" s="312"/>
      <c r="Q49" s="321"/>
      <c r="R49" s="467">
        <f ca="1">VLOOKUP(S36,R43:S46,2)</f>
        <v>4</v>
      </c>
      <c r="S49" s="468" t="s">
        <v>1113</v>
      </c>
      <c r="T49" s="446"/>
      <c r="U49" s="26"/>
      <c r="V49" s="26"/>
      <c r="W49" s="26"/>
      <c r="X49" s="26" t="s">
        <v>11</v>
      </c>
      <c r="Y49" s="26"/>
      <c r="Z49" s="26"/>
      <c r="AA49" s="328"/>
      <c r="AB49" s="26"/>
      <c r="AC49" s="30"/>
      <c r="AD49" s="26"/>
      <c r="AE49" s="26"/>
      <c r="AF49" s="26"/>
      <c r="AG49" s="26"/>
      <c r="AH49" s="415"/>
      <c r="AI49" s="26"/>
      <c r="AJ49" s="26"/>
      <c r="AK49" s="26"/>
      <c r="AL49" s="26"/>
      <c r="AM49" s="26"/>
      <c r="AN49" s="26"/>
      <c r="AO49" s="26"/>
      <c r="AP49" s="26"/>
      <c r="AQ49" s="26"/>
      <c r="AR49" s="26"/>
      <c r="AS49" s="26"/>
      <c r="AT49" s="26"/>
    </row>
    <row r="50" spans="1:46">
      <c r="A50" s="312"/>
      <c r="B50" s="312"/>
      <c r="C50" s="312"/>
      <c r="D50" s="312"/>
      <c r="E50" s="312"/>
      <c r="F50" s="312"/>
      <c r="G50" s="312"/>
      <c r="H50" s="312"/>
      <c r="I50" s="312"/>
      <c r="J50" s="312"/>
      <c r="K50" s="469"/>
      <c r="L50" s="312"/>
      <c r="M50" s="312"/>
      <c r="N50" s="470"/>
      <c r="O50" s="312"/>
      <c r="P50" s="312"/>
      <c r="Q50" s="321"/>
      <c r="R50" s="467"/>
      <c r="S50" s="454"/>
      <c r="T50" s="446"/>
      <c r="U50" s="26"/>
      <c r="V50" s="26"/>
      <c r="W50" s="26"/>
      <c r="X50" s="26" t="s">
        <v>12</v>
      </c>
      <c r="Y50" s="26"/>
      <c r="Z50" s="26"/>
      <c r="AA50" s="30"/>
      <c r="AB50" s="26"/>
      <c r="AC50" s="30"/>
      <c r="AD50" s="30"/>
      <c r="AE50" s="415"/>
      <c r="AF50" s="26"/>
      <c r="AG50" s="26"/>
      <c r="AH50" s="415"/>
      <c r="AI50" s="26"/>
      <c r="AJ50" s="26"/>
      <c r="AK50" s="26"/>
      <c r="AL50" s="26"/>
      <c r="AM50" s="26"/>
      <c r="AN50" s="26"/>
      <c r="AO50" s="26"/>
      <c r="AP50" s="26"/>
      <c r="AQ50" s="26"/>
      <c r="AR50" s="26"/>
      <c r="AS50" s="26"/>
      <c r="AT50" s="26"/>
    </row>
    <row r="51" spans="1:46">
      <c r="A51" s="312"/>
      <c r="B51" s="312"/>
      <c r="C51" s="312"/>
      <c r="D51" s="312"/>
      <c r="E51" s="312"/>
      <c r="F51" s="312"/>
      <c r="G51" s="312"/>
      <c r="H51" s="312"/>
      <c r="I51" s="312"/>
      <c r="J51" s="312"/>
      <c r="K51" s="469"/>
      <c r="L51" s="312"/>
      <c r="M51" s="312"/>
      <c r="N51" s="470"/>
      <c r="O51" s="312"/>
      <c r="P51" s="312"/>
      <c r="Q51" s="321"/>
      <c r="R51" s="471">
        <f ca="1">+V44</f>
        <v>0.97316999999999998</v>
      </c>
      <c r="S51" s="472" t="s">
        <v>478</v>
      </c>
      <c r="T51" s="473"/>
      <c r="U51" s="26"/>
      <c r="V51" s="26"/>
      <c r="W51" s="26"/>
      <c r="X51" s="26" t="s">
        <v>13</v>
      </c>
      <c r="Y51" s="26"/>
      <c r="Z51" s="26"/>
      <c r="AA51" s="30"/>
      <c r="AB51" s="26"/>
      <c r="AC51" s="30"/>
      <c r="AD51" s="30"/>
      <c r="AE51" s="415"/>
      <c r="AF51" s="30"/>
      <c r="AG51" s="26"/>
      <c r="AH51" s="415"/>
      <c r="AI51" s="26"/>
      <c r="AJ51" s="26"/>
      <c r="AK51" s="26"/>
      <c r="AL51" s="30"/>
      <c r="AM51" s="30"/>
      <c r="AN51" s="30"/>
      <c r="AO51" s="30"/>
      <c r="AP51" s="30"/>
      <c r="AQ51" s="30"/>
      <c r="AR51" s="30"/>
      <c r="AS51" s="30"/>
      <c r="AT51" s="30"/>
    </row>
    <row r="52" spans="1:46">
      <c r="A52" s="312"/>
      <c r="B52" s="312"/>
      <c r="C52" s="312"/>
      <c r="D52" s="312"/>
      <c r="E52" s="312"/>
      <c r="F52" s="312"/>
      <c r="G52" s="312"/>
      <c r="H52" s="312"/>
      <c r="I52" s="312"/>
      <c r="J52" s="312"/>
      <c r="K52" s="312"/>
      <c r="L52" s="312"/>
      <c r="M52" s="312"/>
      <c r="N52" s="312"/>
      <c r="O52" s="312"/>
      <c r="P52" s="312"/>
      <c r="Q52" s="321"/>
      <c r="R52" s="328"/>
      <c r="S52" s="26"/>
      <c r="T52" s="26"/>
      <c r="U52" s="26"/>
      <c r="V52" s="26"/>
      <c r="W52" s="26"/>
      <c r="X52" s="26"/>
      <c r="Y52" s="26"/>
      <c r="Z52" s="415"/>
      <c r="AA52" s="30"/>
      <c r="AB52" s="26"/>
      <c r="AC52" s="30"/>
      <c r="AD52" s="30"/>
      <c r="AE52" s="415"/>
      <c r="AF52" s="414"/>
      <c r="AG52" s="26"/>
      <c r="AH52" s="415"/>
      <c r="AI52" s="26"/>
      <c r="AJ52" s="26"/>
      <c r="AK52" s="26"/>
      <c r="AL52" s="30"/>
      <c r="AM52" s="30"/>
      <c r="AN52" s="30"/>
      <c r="AO52" s="30"/>
      <c r="AP52" s="30"/>
      <c r="AQ52" s="30"/>
      <c r="AR52" s="30"/>
      <c r="AS52" s="30"/>
      <c r="AT52" s="30"/>
    </row>
    <row r="53" spans="1:46">
      <c r="A53" s="312"/>
      <c r="B53" s="312"/>
      <c r="C53" s="312"/>
      <c r="D53" s="312"/>
      <c r="E53" s="312"/>
      <c r="F53" s="312"/>
      <c r="G53" s="312"/>
      <c r="H53" s="312"/>
      <c r="I53" s="312"/>
      <c r="J53" s="474"/>
      <c r="K53" s="474"/>
      <c r="L53" s="474"/>
      <c r="M53" s="474"/>
      <c r="N53" s="312"/>
      <c r="O53" s="312"/>
      <c r="P53" s="312"/>
      <c r="Q53" s="321"/>
      <c r="R53" s="26"/>
      <c r="S53" s="26"/>
      <c r="T53" s="26"/>
      <c r="U53" s="26"/>
      <c r="V53" s="26"/>
      <c r="W53" s="26"/>
      <c r="X53" s="26"/>
      <c r="Y53" s="26"/>
      <c r="Z53" s="415"/>
      <c r="AA53" s="30"/>
      <c r="AB53" s="26"/>
      <c r="AC53" s="30"/>
      <c r="AD53" s="30"/>
      <c r="AE53" s="415"/>
      <c r="AF53" s="414"/>
      <c r="AG53" s="26"/>
      <c r="AH53" s="415"/>
      <c r="AI53" s="26"/>
      <c r="AJ53" s="26"/>
      <c r="AK53" s="26"/>
      <c r="AL53" s="30"/>
      <c r="AM53" s="30"/>
      <c r="AN53" s="30"/>
      <c r="AO53" s="30"/>
      <c r="AP53" s="30"/>
      <c r="AQ53" s="30"/>
      <c r="AR53" s="30"/>
      <c r="AS53" s="30"/>
      <c r="AT53" s="30"/>
    </row>
    <row r="54" spans="1:46" ht="15.75">
      <c r="A54" s="312"/>
      <c r="B54" s="312"/>
      <c r="C54" s="312"/>
      <c r="D54" s="312"/>
      <c r="E54" s="312"/>
      <c r="F54" s="312"/>
      <c r="G54" s="312"/>
      <c r="H54" s="312"/>
      <c r="I54" s="312"/>
      <c r="J54" s="312"/>
      <c r="K54" s="474"/>
      <c r="L54" s="474"/>
      <c r="M54" s="474"/>
      <c r="N54" s="312"/>
      <c r="O54" s="312"/>
      <c r="P54" s="312"/>
      <c r="Q54" s="321"/>
      <c r="R54" s="26"/>
      <c r="S54" s="26" t="s">
        <v>1114</v>
      </c>
      <c r="T54" s="30"/>
      <c r="U54" s="475"/>
      <c r="V54" s="26"/>
      <c r="W54" s="476" t="s">
        <v>1115</v>
      </c>
      <c r="X54" s="477"/>
      <c r="Y54" s="477"/>
      <c r="Z54" s="477"/>
      <c r="AA54" s="26"/>
      <c r="AB54" s="26"/>
      <c r="AC54" s="30"/>
      <c r="AD54" s="26"/>
      <c r="AE54" s="26"/>
      <c r="AF54" s="414"/>
      <c r="AG54" s="26"/>
      <c r="AH54" s="415"/>
      <c r="AI54" s="26"/>
      <c r="AJ54" s="26"/>
      <c r="AK54" s="26"/>
      <c r="AL54" s="30"/>
      <c r="AM54" s="30"/>
      <c r="AN54" s="30"/>
      <c r="AO54" s="30"/>
      <c r="AP54" s="30"/>
      <c r="AQ54" s="30"/>
      <c r="AR54" s="30"/>
      <c r="AS54" s="30"/>
      <c r="AT54" s="30"/>
    </row>
    <row r="55" spans="1:46">
      <c r="A55" s="312"/>
      <c r="B55" s="312"/>
      <c r="C55" s="312"/>
      <c r="D55" s="312"/>
      <c r="E55" s="312"/>
      <c r="F55" s="312"/>
      <c r="G55" s="312"/>
      <c r="H55" s="312"/>
      <c r="I55" s="312"/>
      <c r="J55" s="312"/>
      <c r="K55" s="312"/>
      <c r="L55" s="478"/>
      <c r="M55" s="478"/>
      <c r="N55" s="312"/>
      <c r="O55" s="312"/>
      <c r="P55" s="312"/>
      <c r="Q55" s="321"/>
      <c r="R55" s="479"/>
      <c r="S55" s="480" t="s">
        <v>1093</v>
      </c>
      <c r="T55" s="480" t="s">
        <v>1116</v>
      </c>
      <c r="U55" s="481" t="s">
        <v>1096</v>
      </c>
      <c r="V55" s="26"/>
      <c r="W55" s="482" t="s">
        <v>1117</v>
      </c>
      <c r="X55" s="483">
        <v>5.7225999999999999</v>
      </c>
      <c r="Y55" s="484" t="s">
        <v>1118</v>
      </c>
      <c r="Z55" s="485">
        <v>5.6985000000000001</v>
      </c>
      <c r="AA55" s="328"/>
      <c r="AB55" s="26"/>
      <c r="AC55" s="30"/>
      <c r="AD55" s="26"/>
      <c r="AE55" s="26"/>
      <c r="AF55" s="26"/>
      <c r="AG55" s="26"/>
      <c r="AH55" s="415"/>
      <c r="AI55" s="26"/>
      <c r="AJ55" s="26"/>
      <c r="AK55" s="26"/>
      <c r="AL55" s="26"/>
      <c r="AM55" s="26"/>
      <c r="AN55" s="26"/>
      <c r="AO55" s="26"/>
      <c r="AP55" s="26"/>
      <c r="AQ55" s="26"/>
      <c r="AR55" s="26"/>
      <c r="AS55" s="26"/>
      <c r="AT55" s="26"/>
    </row>
    <row r="56" spans="1:46">
      <c r="A56" s="312"/>
      <c r="B56" s="312"/>
      <c r="C56" s="312"/>
      <c r="D56" s="312"/>
      <c r="E56" s="312"/>
      <c r="F56" s="312"/>
      <c r="G56" s="312"/>
      <c r="H56" s="312"/>
      <c r="I56" s="312"/>
      <c r="J56" s="478"/>
      <c r="K56" s="312"/>
      <c r="L56" s="478"/>
      <c r="M56" s="478"/>
      <c r="N56" s="312"/>
      <c r="O56" s="312"/>
      <c r="P56" s="312"/>
      <c r="Q56" s="321"/>
      <c r="R56" s="321" t="s">
        <v>1056</v>
      </c>
      <c r="S56" s="486">
        <v>0.56200000000000006</v>
      </c>
      <c r="T56" s="486">
        <v>6.3799999999999996E-2</v>
      </c>
      <c r="U56" s="452">
        <f>ROUND(+S56*T56,5)</f>
        <v>3.5860000000000003E-2</v>
      </c>
      <c r="V56" s="26"/>
      <c r="W56" s="487" t="s">
        <v>1119</v>
      </c>
      <c r="X56" s="488">
        <v>5.7082699999999997</v>
      </c>
      <c r="Y56" s="489" t="s">
        <v>1120</v>
      </c>
      <c r="Z56" s="490">
        <v>5.6921999999999997</v>
      </c>
      <c r="AA56" s="30"/>
      <c r="AB56" s="26"/>
      <c r="AC56" s="30"/>
      <c r="AD56" s="30"/>
      <c r="AE56" s="415"/>
      <c r="AF56" s="26"/>
      <c r="AG56" s="26"/>
      <c r="AH56" s="415"/>
      <c r="AI56" s="26"/>
      <c r="AJ56" s="26"/>
      <c r="AK56" s="26"/>
      <c r="AL56" s="26"/>
      <c r="AM56" s="26"/>
      <c r="AN56" s="26"/>
      <c r="AO56" s="26"/>
      <c r="AP56" s="26"/>
      <c r="AQ56" s="26"/>
      <c r="AR56" s="26"/>
      <c r="AS56" s="26"/>
      <c r="AT56" s="26"/>
    </row>
    <row r="57" spans="1:46">
      <c r="A57" s="312"/>
      <c r="B57" s="312"/>
      <c r="C57" s="312"/>
      <c r="D57" s="312"/>
      <c r="E57" s="474"/>
      <c r="F57" s="312"/>
      <c r="G57" s="312"/>
      <c r="H57" s="312"/>
      <c r="I57" s="312"/>
      <c r="J57" s="478"/>
      <c r="K57" s="312"/>
      <c r="L57" s="478"/>
      <c r="M57" s="478"/>
      <c r="N57" s="312"/>
      <c r="O57" s="312"/>
      <c r="P57" s="312"/>
      <c r="Q57" s="321"/>
      <c r="R57" s="321" t="s">
        <v>1121</v>
      </c>
      <c r="S57" s="486">
        <v>9.4E-2</v>
      </c>
      <c r="T57" s="486">
        <v>6.59E-2</v>
      </c>
      <c r="U57" s="452">
        <f>ROUND(+S57*T57,5)</f>
        <v>6.1900000000000002E-3</v>
      </c>
      <c r="V57" s="26"/>
      <c r="W57" s="321"/>
      <c r="X57" s="445"/>
      <c r="Y57" s="491"/>
      <c r="Z57" s="492"/>
      <c r="AA57" s="30"/>
      <c r="AB57" s="26"/>
      <c r="AC57" s="30"/>
      <c r="AD57" s="30"/>
      <c r="AE57" s="415"/>
      <c r="AF57" s="414"/>
      <c r="AG57" s="26"/>
      <c r="AH57" s="415"/>
      <c r="AI57" s="26"/>
      <c r="AJ57" s="26"/>
      <c r="AK57" s="26"/>
      <c r="AL57" s="30"/>
      <c r="AM57" s="26"/>
      <c r="AN57" s="26"/>
      <c r="AO57" s="26"/>
      <c r="AP57" s="26"/>
      <c r="AQ57" s="26"/>
      <c r="AR57" s="26"/>
      <c r="AS57" s="26"/>
      <c r="AT57" s="26"/>
    </row>
    <row r="58" spans="1:46" ht="15.75">
      <c r="A58" s="312"/>
      <c r="B58" s="312"/>
      <c r="C58" s="312"/>
      <c r="D58" s="312"/>
      <c r="E58" s="474"/>
      <c r="F58" s="474"/>
      <c r="G58" s="474"/>
      <c r="H58" s="493"/>
      <c r="I58" s="474"/>
      <c r="J58" s="478"/>
      <c r="K58" s="312"/>
      <c r="L58" s="312"/>
      <c r="M58" s="312"/>
      <c r="N58" s="312"/>
      <c r="O58" s="312"/>
      <c r="P58" s="312"/>
      <c r="Q58" s="321"/>
      <c r="R58" s="321" t="s">
        <v>107</v>
      </c>
      <c r="S58" s="494">
        <v>0.34399999999999997</v>
      </c>
      <c r="T58" s="495"/>
      <c r="U58" s="496"/>
      <c r="V58" s="26"/>
      <c r="W58" s="497"/>
      <c r="X58" s="498" t="s">
        <v>1122</v>
      </c>
      <c r="Y58" s="499">
        <v>0.68367</v>
      </c>
      <c r="Z58" s="500"/>
      <c r="AA58" s="30"/>
      <c r="AB58" s="26"/>
      <c r="AC58" s="30"/>
      <c r="AD58" s="30"/>
      <c r="AE58" s="415"/>
      <c r="AF58" s="414"/>
      <c r="AG58" s="26"/>
      <c r="AH58" s="415"/>
      <c r="AI58" s="26"/>
      <c r="AJ58" s="26"/>
      <c r="AK58" s="26"/>
      <c r="AL58" s="26"/>
      <c r="AM58" s="26"/>
      <c r="AN58" s="26"/>
      <c r="AO58" s="26"/>
      <c r="AP58" s="26"/>
      <c r="AQ58" s="26"/>
      <c r="AR58" s="26"/>
      <c r="AS58" s="26"/>
      <c r="AT58" s="26"/>
    </row>
    <row r="59" spans="1:46" ht="15.75">
      <c r="A59" s="312"/>
      <c r="B59" s="312"/>
      <c r="C59" s="312"/>
      <c r="D59" s="312"/>
      <c r="E59" s="312"/>
      <c r="F59" s="312"/>
      <c r="G59" s="312"/>
      <c r="H59" s="312"/>
      <c r="I59" s="312"/>
      <c r="J59" s="312"/>
      <c r="K59" s="312"/>
      <c r="L59" s="312"/>
      <c r="M59" s="312"/>
      <c r="N59" s="312"/>
      <c r="O59" s="312"/>
      <c r="P59" s="312"/>
      <c r="Q59" s="321"/>
      <c r="R59" s="497"/>
      <c r="S59" s="494">
        <f>SUM(S56:S58)</f>
        <v>1</v>
      </c>
      <c r="T59" s="501"/>
      <c r="U59" s="502"/>
      <c r="V59" s="26"/>
      <c r="W59" s="26"/>
      <c r="X59" s="30"/>
      <c r="Y59" s="431"/>
      <c r="Z59" s="415"/>
      <c r="AA59" s="30"/>
      <c r="AB59" s="26"/>
      <c r="AC59" s="30"/>
      <c r="AD59" s="30"/>
      <c r="AE59" s="415"/>
      <c r="AF59" s="414"/>
      <c r="AG59" s="26"/>
      <c r="AH59" s="415"/>
      <c r="AI59" s="26"/>
      <c r="AJ59" s="26"/>
      <c r="AK59" s="26"/>
      <c r="AL59" s="26"/>
      <c r="AM59" s="26"/>
      <c r="AN59" s="26"/>
      <c r="AO59" s="26"/>
      <c r="AP59" s="26"/>
      <c r="AQ59" s="26"/>
      <c r="AR59" s="26"/>
      <c r="AS59" s="26"/>
      <c r="AT59" s="26"/>
    </row>
    <row r="60" spans="1:46">
      <c r="A60" s="312"/>
      <c r="B60" s="312"/>
      <c r="C60" s="312"/>
      <c r="D60" s="312"/>
      <c r="E60" s="312"/>
      <c r="F60" s="312"/>
      <c r="G60" s="312"/>
      <c r="H60" s="312"/>
      <c r="I60" s="312"/>
      <c r="J60" s="312"/>
      <c r="K60" s="312"/>
      <c r="L60" s="312"/>
      <c r="M60" s="312"/>
      <c r="N60" s="312"/>
      <c r="O60" s="312"/>
      <c r="P60" s="312"/>
      <c r="Q60" s="321"/>
      <c r="R60" s="328"/>
      <c r="S60" s="26"/>
      <c r="T60" s="26"/>
      <c r="U60" s="26"/>
      <c r="V60" s="26"/>
      <c r="W60" s="26"/>
      <c r="X60" s="503"/>
      <c r="Y60" s="26"/>
      <c r="Z60" s="26"/>
      <c r="AA60" s="26"/>
      <c r="AB60" s="26"/>
      <c r="AC60" s="30"/>
      <c r="AD60" s="26"/>
      <c r="AE60" s="26"/>
      <c r="AF60" s="414"/>
      <c r="AG60" s="26"/>
      <c r="AH60" s="415"/>
      <c r="AI60" s="26"/>
      <c r="AJ60" s="26"/>
      <c r="AK60" s="26"/>
      <c r="AL60" s="414"/>
      <c r="AM60" s="414"/>
      <c r="AN60" s="414"/>
      <c r="AO60" s="414"/>
      <c r="AP60" s="414"/>
      <c r="AQ60" s="414"/>
      <c r="AR60" s="414"/>
      <c r="AS60" s="414"/>
      <c r="AT60" s="414"/>
    </row>
    <row r="61" spans="1:46">
      <c r="A61" s="312"/>
      <c r="B61" s="312"/>
      <c r="C61" s="312"/>
      <c r="D61" s="312"/>
      <c r="E61" s="474"/>
      <c r="F61" s="312"/>
      <c r="G61" s="312"/>
      <c r="H61" s="312"/>
      <c r="I61" s="312"/>
      <c r="J61" s="312"/>
      <c r="K61" s="312"/>
      <c r="L61" s="312"/>
      <c r="M61" s="312"/>
      <c r="N61" s="312"/>
      <c r="O61" s="312"/>
      <c r="P61" s="312"/>
      <c r="Q61" s="321"/>
      <c r="R61" s="328"/>
      <c r="S61" s="26"/>
      <c r="T61" s="26"/>
      <c r="U61" s="26"/>
      <c r="V61" s="26"/>
      <c r="W61" s="479" t="s">
        <v>1101</v>
      </c>
      <c r="X61" s="504"/>
      <c r="Y61" s="438" t="s">
        <v>1123</v>
      </c>
      <c r="Z61" s="439" t="s">
        <v>1039</v>
      </c>
      <c r="AA61" s="26"/>
      <c r="AB61" s="26"/>
      <c r="AC61" s="30"/>
      <c r="AD61" s="26"/>
      <c r="AE61" s="26"/>
      <c r="AF61" s="26"/>
      <c r="AG61" s="26"/>
      <c r="AH61" s="415"/>
      <c r="AI61" s="26"/>
      <c r="AJ61" s="26"/>
      <c r="AK61" s="26"/>
      <c r="AL61" s="414"/>
      <c r="AM61" s="414"/>
      <c r="AN61" s="414"/>
      <c r="AO61" s="414"/>
      <c r="AP61" s="414"/>
      <c r="AQ61" s="414"/>
      <c r="AR61" s="414"/>
      <c r="AS61" s="414"/>
      <c r="AT61" s="414"/>
    </row>
    <row r="62" spans="1:46">
      <c r="A62" s="312"/>
      <c r="B62" s="312"/>
      <c r="C62" s="312"/>
      <c r="D62" s="312"/>
      <c r="E62" s="312"/>
      <c r="F62" s="474"/>
      <c r="G62" s="474"/>
      <c r="H62" s="474"/>
      <c r="I62" s="474"/>
      <c r="J62" s="474"/>
      <c r="K62" s="474"/>
      <c r="L62" s="474"/>
      <c r="M62" s="474"/>
      <c r="N62" s="474"/>
      <c r="O62" s="312"/>
      <c r="P62" s="312"/>
      <c r="Q62" s="321"/>
      <c r="R62" s="328"/>
      <c r="S62" s="26"/>
      <c r="T62" s="26"/>
      <c r="U62" s="26"/>
      <c r="V62" s="26"/>
      <c r="W62" s="505"/>
      <c r="X62" s="506"/>
      <c r="Y62" s="506"/>
      <c r="Z62" s="507"/>
      <c r="AA62" s="26"/>
      <c r="AB62" s="26"/>
      <c r="AC62" s="30"/>
      <c r="AD62" s="30"/>
      <c r="AE62" s="415"/>
      <c r="AF62" s="26"/>
      <c r="AG62" s="26"/>
      <c r="AH62" s="415"/>
      <c r="AI62" s="26"/>
      <c r="AJ62" s="26"/>
      <c r="AK62" s="26"/>
      <c r="AL62" s="414"/>
      <c r="AM62" s="414"/>
      <c r="AN62" s="414"/>
      <c r="AO62" s="414"/>
      <c r="AP62" s="414"/>
      <c r="AQ62" s="414"/>
      <c r="AR62" s="414"/>
      <c r="AS62" s="414"/>
      <c r="AT62" s="414"/>
    </row>
    <row r="63" spans="1:46">
      <c r="A63" s="312"/>
      <c r="B63" s="312"/>
      <c r="C63" s="312"/>
      <c r="D63" s="312"/>
      <c r="E63" s="312"/>
      <c r="F63" s="312"/>
      <c r="G63" s="312"/>
      <c r="H63" s="312"/>
      <c r="I63" s="312"/>
      <c r="J63" s="312"/>
      <c r="K63" s="312"/>
      <c r="L63" s="312"/>
      <c r="M63" s="312"/>
      <c r="N63" s="312"/>
      <c r="O63" s="312"/>
      <c r="P63" s="312"/>
      <c r="Q63" s="321"/>
      <c r="R63" s="328"/>
      <c r="S63" s="26"/>
      <c r="T63" s="26"/>
      <c r="U63" s="26"/>
      <c r="V63" s="26"/>
      <c r="W63" s="321" t="s">
        <v>1103</v>
      </c>
      <c r="X63" s="506"/>
      <c r="Y63" s="452">
        <f t="shared" ref="Y63:Z68" ca="1" si="14">+J33</f>
        <v>0.37620643317327468</v>
      </c>
      <c r="Z63" s="452">
        <f ca="1">+K33</f>
        <v>0.30055468220688702</v>
      </c>
      <c r="AA63" s="26"/>
      <c r="AB63" s="26"/>
      <c r="AC63" s="30"/>
      <c r="AD63" s="30"/>
      <c r="AE63" s="415"/>
      <c r="AF63" s="414"/>
      <c r="AG63" s="26"/>
      <c r="AH63" s="415"/>
      <c r="AI63" s="26"/>
      <c r="AJ63" s="26"/>
      <c r="AK63" s="26"/>
      <c r="AL63" s="414"/>
      <c r="AM63" s="414"/>
      <c r="AN63" s="414"/>
      <c r="AO63" s="414"/>
      <c r="AP63" s="414"/>
      <c r="AQ63" s="414"/>
      <c r="AR63" s="414"/>
      <c r="AS63" s="414"/>
      <c r="AT63" s="414"/>
    </row>
    <row r="64" spans="1:46">
      <c r="A64" s="312"/>
      <c r="B64" s="312"/>
      <c r="C64" s="312"/>
      <c r="D64" s="312"/>
      <c r="E64" s="312"/>
      <c r="F64" s="312"/>
      <c r="G64" s="312"/>
      <c r="H64" s="312"/>
      <c r="I64" s="312"/>
      <c r="J64" s="312"/>
      <c r="K64" s="312"/>
      <c r="L64" s="312"/>
      <c r="M64" s="312"/>
      <c r="N64" s="312"/>
      <c r="O64" s="312"/>
      <c r="P64" s="312"/>
      <c r="Q64" s="321"/>
      <c r="R64" s="328"/>
      <c r="S64" s="26"/>
      <c r="T64" s="26"/>
      <c r="U64" s="26"/>
      <c r="V64" s="26"/>
      <c r="W64" s="321" t="s">
        <v>1104</v>
      </c>
      <c r="X64" s="506"/>
      <c r="Y64" s="452">
        <f t="shared" ca="1" si="14"/>
        <v>0.60041072195545775</v>
      </c>
      <c r="Z64" s="452">
        <f t="shared" ca="1" si="14"/>
        <v>0.47432447034481168</v>
      </c>
      <c r="AA64" s="26"/>
      <c r="AB64" s="26"/>
      <c r="AC64" s="30"/>
      <c r="AD64" s="30"/>
      <c r="AE64" s="415"/>
      <c r="AF64" s="414"/>
      <c r="AG64" s="26"/>
      <c r="AH64" s="415"/>
      <c r="AI64" s="26"/>
      <c r="AJ64" s="26"/>
      <c r="AK64" s="26"/>
      <c r="AL64" s="26"/>
      <c r="AM64" s="26"/>
      <c r="AN64" s="26"/>
      <c r="AO64" s="26"/>
      <c r="AP64" s="26"/>
      <c r="AQ64" s="26"/>
      <c r="AR64" s="26"/>
      <c r="AS64" s="26"/>
      <c r="AT64" s="26"/>
    </row>
    <row r="65" spans="1:46">
      <c r="A65" s="26" t="b">
        <v>1</v>
      </c>
      <c r="B65" s="508"/>
      <c r="C65" s="508"/>
      <c r="D65" s="508"/>
      <c r="E65" s="508"/>
      <c r="F65" s="312"/>
      <c r="G65" s="312"/>
      <c r="H65" s="312"/>
      <c r="I65" s="312"/>
      <c r="J65" s="312"/>
      <c r="K65" s="312"/>
      <c r="L65" s="312"/>
      <c r="M65" s="312"/>
      <c r="N65" s="312"/>
      <c r="O65" s="508"/>
      <c r="P65" s="508"/>
      <c r="Q65" s="321"/>
      <c r="R65" s="328"/>
      <c r="S65" s="26"/>
      <c r="T65" s="26"/>
      <c r="U65" s="26"/>
      <c r="V65" s="26"/>
      <c r="W65" s="321" t="s">
        <v>478</v>
      </c>
      <c r="X65" s="506"/>
      <c r="Y65" s="452">
        <f t="shared" ca="1" si="14"/>
        <v>0.97316999999999998</v>
      </c>
      <c r="Z65" s="452">
        <f t="shared" ca="1" si="14"/>
        <v>0.97333023399627749</v>
      </c>
      <c r="AA65" s="26"/>
      <c r="AB65" s="26"/>
      <c r="AC65" s="30"/>
      <c r="AD65" s="30"/>
      <c r="AE65" s="415"/>
      <c r="AF65" s="414"/>
      <c r="AG65" s="26"/>
      <c r="AH65" s="415"/>
      <c r="AI65" s="26"/>
      <c r="AJ65" s="26"/>
      <c r="AK65" s="26"/>
      <c r="AL65" s="26"/>
      <c r="AM65" s="26"/>
      <c r="AN65" s="26"/>
      <c r="AO65" s="26"/>
      <c r="AP65" s="26"/>
      <c r="AQ65" s="26"/>
      <c r="AR65" s="26"/>
      <c r="AS65" s="26"/>
      <c r="AT65" s="26"/>
    </row>
    <row r="66" spans="1:46">
      <c r="A66" s="26"/>
      <c r="B66" s="508"/>
      <c r="C66" s="508"/>
      <c r="D66" s="508"/>
      <c r="E66" s="508"/>
      <c r="F66" s="26"/>
      <c r="G66" s="26"/>
      <c r="H66" s="414"/>
      <c r="I66" s="414"/>
      <c r="J66" s="414"/>
      <c r="K66" s="414"/>
      <c r="L66" s="414"/>
      <c r="M66" s="414"/>
      <c r="N66" s="414"/>
      <c r="O66" s="414"/>
      <c r="P66" s="508"/>
      <c r="Q66" s="321"/>
      <c r="R66" s="328"/>
      <c r="S66" s="26"/>
      <c r="T66" s="26"/>
      <c r="U66" s="26"/>
      <c r="V66" s="26"/>
      <c r="W66" s="321" t="s">
        <v>1106</v>
      </c>
      <c r="X66" s="506"/>
      <c r="Y66" s="452">
        <f t="shared" ca="1" si="14"/>
        <v>2.6830000000000045E-2</v>
      </c>
      <c r="Z66" s="452">
        <f t="shared" ca="1" si="14"/>
        <v>2.6830000000000045E-2</v>
      </c>
      <c r="AA66" s="26"/>
      <c r="AB66" s="26"/>
      <c r="AC66" s="30"/>
      <c r="AD66" s="26"/>
      <c r="AE66" s="26"/>
      <c r="AF66" s="414"/>
      <c r="AG66" s="26"/>
      <c r="AH66" s="415"/>
      <c r="AI66" s="26"/>
      <c r="AJ66" s="26"/>
      <c r="AK66" s="26"/>
      <c r="AL66" s="414"/>
      <c r="AM66" s="26"/>
      <c r="AN66" s="26"/>
      <c r="AO66" s="26"/>
      <c r="AP66" s="26"/>
      <c r="AQ66" s="26"/>
      <c r="AR66" s="26"/>
      <c r="AS66" s="26"/>
      <c r="AT66" s="26"/>
    </row>
    <row r="67" spans="1:46">
      <c r="A67" s="26"/>
      <c r="B67" s="508"/>
      <c r="C67" s="508"/>
      <c r="D67" s="508"/>
      <c r="E67" s="508"/>
      <c r="F67" s="26"/>
      <c r="G67" s="26"/>
      <c r="H67" s="414"/>
      <c r="I67" s="414"/>
      <c r="J67" s="414"/>
      <c r="K67" s="414"/>
      <c r="L67" s="414"/>
      <c r="M67" s="414"/>
      <c r="N67" s="414"/>
      <c r="O67" s="414"/>
      <c r="P67" s="508"/>
      <c r="Q67" s="321"/>
      <c r="R67" s="328"/>
      <c r="S67" s="26"/>
      <c r="T67" s="26"/>
      <c r="U67" s="26"/>
      <c r="V67" s="26"/>
      <c r="W67" s="321" t="s">
        <v>1107</v>
      </c>
      <c r="X67" s="509"/>
      <c r="Y67" s="452">
        <f t="shared" ca="1" si="14"/>
        <v>14.106077056616481</v>
      </c>
      <c r="Z67" s="452">
        <f t="shared" ca="1" si="14"/>
        <v>14.106077056616481</v>
      </c>
      <c r="AA67" s="26"/>
      <c r="AB67" s="26"/>
      <c r="AC67" s="30"/>
      <c r="AD67" s="26"/>
      <c r="AE67" s="26"/>
      <c r="AF67" s="26"/>
      <c r="AG67" s="26"/>
      <c r="AH67" s="415"/>
      <c r="AI67" s="26"/>
      <c r="AJ67" s="26"/>
      <c r="AK67" s="26"/>
      <c r="AL67" s="26"/>
      <c r="AM67" s="26"/>
      <c r="AN67" s="26"/>
      <c r="AO67" s="26"/>
      <c r="AP67" s="26"/>
      <c r="AQ67" s="26"/>
      <c r="AR67" s="26"/>
      <c r="AS67" s="26"/>
      <c r="AT67" s="26"/>
    </row>
    <row r="68" spans="1:46">
      <c r="A68" s="26"/>
      <c r="B68" s="508"/>
      <c r="C68" s="508"/>
      <c r="D68" s="508"/>
      <c r="E68" s="508"/>
      <c r="F68" s="26"/>
      <c r="G68" s="26"/>
      <c r="H68" s="26"/>
      <c r="I68" s="26"/>
      <c r="J68" s="26"/>
      <c r="K68" s="26"/>
      <c r="L68" s="26"/>
      <c r="M68" s="26"/>
      <c r="N68" s="26"/>
      <c r="O68" s="414"/>
      <c r="P68" s="508"/>
      <c r="Q68" s="321"/>
      <c r="R68" s="328"/>
      <c r="S68" s="26"/>
      <c r="T68" s="26"/>
      <c r="U68" s="26"/>
      <c r="V68" s="26"/>
      <c r="W68" s="321" t="s">
        <v>3</v>
      </c>
      <c r="X68" s="510"/>
      <c r="Y68" s="452">
        <f t="shared" si="14"/>
        <v>0.21</v>
      </c>
      <c r="Z68" s="452">
        <f t="shared" si="14"/>
        <v>0.21</v>
      </c>
      <c r="AA68" s="26"/>
      <c r="AB68" s="26"/>
      <c r="AC68" s="30"/>
      <c r="AD68" s="30"/>
      <c r="AE68" s="415"/>
      <c r="AF68" s="26"/>
      <c r="AG68" s="26"/>
      <c r="AH68" s="415"/>
      <c r="AI68" s="26"/>
      <c r="AJ68" s="26"/>
      <c r="AK68" s="26"/>
      <c r="AL68" s="26"/>
      <c r="AM68" s="26"/>
      <c r="AN68" s="26"/>
      <c r="AO68" s="26"/>
      <c r="AP68" s="26"/>
      <c r="AQ68" s="26"/>
      <c r="AR68" s="26"/>
      <c r="AS68" s="26"/>
      <c r="AT68" s="26"/>
    </row>
    <row r="69" spans="1:46" ht="15.75">
      <c r="A69" s="26"/>
      <c r="B69" s="508"/>
      <c r="C69" s="508"/>
      <c r="D69" s="508"/>
      <c r="E69" s="508"/>
      <c r="F69" s="26"/>
      <c r="G69" s="26"/>
      <c r="H69" s="26"/>
      <c r="I69" s="26"/>
      <c r="J69" s="26"/>
      <c r="K69" s="26"/>
      <c r="L69" s="26"/>
      <c r="M69" s="26"/>
      <c r="N69" s="26"/>
      <c r="O69" s="414"/>
      <c r="P69" s="508"/>
      <c r="Q69" s="321"/>
      <c r="R69" s="328"/>
      <c r="S69" s="26"/>
      <c r="T69" s="26"/>
      <c r="U69" s="26"/>
      <c r="V69" s="26"/>
      <c r="W69" s="321"/>
      <c r="X69" s="445"/>
      <c r="Y69" s="495"/>
      <c r="Z69" s="511"/>
      <c r="AA69" s="26"/>
      <c r="AB69" s="26"/>
      <c r="AC69" s="30"/>
      <c r="AD69" s="30"/>
      <c r="AE69" s="415"/>
      <c r="AF69" s="414"/>
      <c r="AG69" s="26"/>
      <c r="AH69" s="415"/>
      <c r="AI69" s="26"/>
      <c r="AJ69" s="26"/>
      <c r="AK69" s="26"/>
      <c r="AL69" s="26"/>
      <c r="AM69" s="26"/>
      <c r="AN69" s="26"/>
      <c r="AO69" s="26"/>
      <c r="AP69" s="26"/>
      <c r="AQ69" s="26"/>
      <c r="AR69" s="26"/>
      <c r="AS69" s="26"/>
      <c r="AT69" s="26"/>
    </row>
    <row r="70" spans="1:46">
      <c r="A70" s="26"/>
      <c r="B70" s="508"/>
      <c r="C70" s="508"/>
      <c r="D70" s="508"/>
      <c r="E70" s="508"/>
      <c r="F70" s="26"/>
      <c r="G70" s="26"/>
      <c r="H70" s="26"/>
      <c r="I70" s="26"/>
      <c r="J70" s="26"/>
      <c r="K70" s="26"/>
      <c r="L70" s="26"/>
      <c r="M70" s="26"/>
      <c r="N70" s="26"/>
      <c r="O70" s="414"/>
      <c r="P70" s="508"/>
      <c r="Q70" s="321"/>
      <c r="R70" s="328"/>
      <c r="S70" s="26"/>
      <c r="T70" s="26"/>
      <c r="U70" s="26"/>
      <c r="V70" s="26"/>
      <c r="W70" s="497"/>
      <c r="X70" s="512"/>
      <c r="Y70" s="513"/>
      <c r="Z70" s="514"/>
      <c r="AA70" s="30"/>
      <c r="AB70" s="26"/>
      <c r="AC70" s="30"/>
      <c r="AD70" s="30"/>
      <c r="AE70" s="415"/>
      <c r="AF70" s="414"/>
      <c r="AG70" s="26"/>
      <c r="AH70" s="415"/>
      <c r="AI70" s="26"/>
      <c r="AJ70" s="26"/>
      <c r="AK70" s="26"/>
      <c r="AL70" s="26"/>
      <c r="AM70" s="26"/>
      <c r="AN70" s="26"/>
      <c r="AO70" s="26"/>
      <c r="AP70" s="26"/>
      <c r="AQ70" s="26"/>
      <c r="AR70" s="26"/>
      <c r="AS70" s="26"/>
      <c r="AT70" s="26"/>
    </row>
    <row r="71" spans="1:46">
      <c r="A71" s="26"/>
      <c r="B71" s="508"/>
      <c r="C71" s="508"/>
      <c r="D71" s="508"/>
      <c r="E71" s="508"/>
      <c r="F71" s="26"/>
      <c r="G71" s="26"/>
      <c r="H71" s="26"/>
      <c r="I71" s="26"/>
      <c r="J71" s="26"/>
      <c r="K71" s="26"/>
      <c r="L71" s="26"/>
      <c r="M71" s="26"/>
      <c r="N71" s="26"/>
      <c r="O71" s="508"/>
      <c r="P71" s="508"/>
      <c r="Q71" s="321"/>
      <c r="R71" s="328"/>
      <c r="S71" s="26"/>
      <c r="T71" s="26"/>
      <c r="U71" s="26"/>
      <c r="V71" s="26"/>
      <c r="W71" s="26"/>
      <c r="X71" s="30"/>
      <c r="Y71" s="431"/>
      <c r="Z71" s="415"/>
      <c r="AA71" s="30"/>
      <c r="AB71" s="26"/>
      <c r="AC71" s="30"/>
      <c r="AD71" s="30"/>
      <c r="AE71" s="415"/>
      <c r="AF71" s="414"/>
      <c r="AG71" s="26"/>
      <c r="AH71" s="415"/>
      <c r="AI71" s="26"/>
      <c r="AJ71" s="26"/>
      <c r="AK71" s="26"/>
      <c r="AL71" s="26"/>
      <c r="AM71" s="26"/>
      <c r="AN71" s="26"/>
      <c r="AO71" s="26"/>
      <c r="AP71" s="26"/>
      <c r="AQ71" s="26"/>
      <c r="AR71" s="26"/>
      <c r="AS71" s="26"/>
      <c r="AT71" s="26"/>
    </row>
    <row r="72" spans="1:46">
      <c r="A72" s="26"/>
      <c r="B72" s="508"/>
      <c r="C72" s="508"/>
      <c r="D72" s="508"/>
      <c r="E72" s="508"/>
      <c r="F72" s="26"/>
      <c r="G72" s="26"/>
      <c r="H72" s="26"/>
      <c r="I72" s="26"/>
      <c r="J72" s="26"/>
      <c r="K72" s="26"/>
      <c r="L72" s="26"/>
      <c r="M72" s="26"/>
      <c r="N72" s="26"/>
      <c r="O72" s="508"/>
      <c r="P72" s="508"/>
      <c r="Q72" s="321"/>
      <c r="R72" s="328"/>
      <c r="S72" s="26"/>
      <c r="T72" s="26"/>
      <c r="U72" s="26"/>
      <c r="V72" s="26"/>
      <c r="W72" s="26"/>
      <c r="X72" s="26"/>
      <c r="Y72" s="26"/>
      <c r="Z72" s="26"/>
      <c r="AA72" s="26"/>
      <c r="AB72" s="26"/>
      <c r="AC72" s="30"/>
      <c r="AD72" s="26"/>
      <c r="AE72" s="26"/>
      <c r="AF72" s="414"/>
      <c r="AG72" s="26"/>
      <c r="AH72" s="415"/>
      <c r="AI72" s="26"/>
      <c r="AJ72" s="26"/>
      <c r="AK72" s="26"/>
      <c r="AL72" s="26"/>
      <c r="AM72" s="26"/>
      <c r="AN72" s="26"/>
      <c r="AO72" s="26"/>
      <c r="AP72" s="26"/>
      <c r="AQ72" s="26"/>
      <c r="AR72" s="26"/>
      <c r="AS72" s="26"/>
      <c r="AT72" s="26"/>
    </row>
    <row r="73" spans="1:46">
      <c r="A73" s="26"/>
      <c r="B73" s="508"/>
      <c r="C73" s="508"/>
      <c r="D73" s="508"/>
      <c r="E73" s="508"/>
      <c r="F73" s="26"/>
      <c r="G73" s="26"/>
      <c r="H73" s="26"/>
      <c r="I73" s="26"/>
      <c r="J73" s="26"/>
      <c r="K73" s="26"/>
      <c r="L73" s="26"/>
      <c r="M73" s="26"/>
      <c r="N73" s="26"/>
      <c r="O73" s="508"/>
      <c r="P73" s="508"/>
      <c r="Q73" s="321"/>
      <c r="R73" s="328"/>
      <c r="S73" s="26"/>
      <c r="T73" s="26"/>
      <c r="U73" s="26"/>
      <c r="V73" s="26"/>
      <c r="W73" s="26"/>
      <c r="X73" s="26"/>
      <c r="Y73" s="328"/>
      <c r="Z73" s="328"/>
      <c r="AA73" s="328"/>
      <c r="AB73" s="26"/>
      <c r="AC73" s="30"/>
      <c r="AD73" s="26"/>
      <c r="AE73" s="26"/>
      <c r="AF73" s="26"/>
      <c r="AG73" s="26"/>
      <c r="AH73" s="415"/>
      <c r="AI73" s="26"/>
      <c r="AJ73" s="26"/>
      <c r="AK73" s="26"/>
      <c r="AL73" s="26"/>
      <c r="AM73" s="26"/>
      <c r="AN73" s="26"/>
      <c r="AO73" s="26"/>
      <c r="AP73" s="26"/>
      <c r="AQ73" s="26"/>
      <c r="AR73" s="26"/>
      <c r="AS73" s="26"/>
      <c r="AT73" s="26"/>
    </row>
    <row r="74" spans="1:46">
      <c r="A74" s="26"/>
      <c r="B74" s="508"/>
      <c r="C74" s="508"/>
      <c r="D74" s="508"/>
      <c r="E74" s="508"/>
      <c r="F74" s="26"/>
      <c r="G74" s="26"/>
      <c r="H74" s="26"/>
      <c r="I74" s="26"/>
      <c r="J74" s="26"/>
      <c r="K74" s="26"/>
      <c r="L74" s="26"/>
      <c r="M74" s="26"/>
      <c r="N74" s="26"/>
      <c r="O74" s="508"/>
      <c r="P74" s="508"/>
      <c r="Q74" s="321"/>
      <c r="R74" s="328"/>
      <c r="S74" s="26"/>
      <c r="T74" s="26"/>
      <c r="U74" s="26"/>
      <c r="V74" s="26"/>
      <c r="W74" s="26"/>
      <c r="X74" s="30"/>
      <c r="Y74" s="431"/>
      <c r="Z74" s="415"/>
      <c r="AA74" s="30"/>
      <c r="AB74" s="26"/>
      <c r="AC74" s="30"/>
      <c r="AD74" s="30"/>
      <c r="AE74" s="415"/>
      <c r="AF74" s="26"/>
      <c r="AG74" s="26"/>
      <c r="AH74" s="415"/>
      <c r="AI74" s="26"/>
      <c r="AJ74" s="26"/>
      <c r="AK74" s="26"/>
      <c r="AL74" s="26"/>
      <c r="AM74" s="26"/>
      <c r="AN74" s="26"/>
      <c r="AO74" s="26"/>
      <c r="AP74" s="26"/>
      <c r="AQ74" s="26"/>
      <c r="AR74" s="26"/>
      <c r="AS74" s="26"/>
      <c r="AT74" s="26"/>
    </row>
    <row r="75" spans="1:46">
      <c r="A75" s="26"/>
      <c r="B75" s="508"/>
      <c r="C75" s="508"/>
      <c r="D75" s="508"/>
      <c r="E75" s="508"/>
      <c r="F75" s="26"/>
      <c r="G75" s="26"/>
      <c r="H75" s="26"/>
      <c r="I75" s="26"/>
      <c r="J75" s="26"/>
      <c r="K75" s="26"/>
      <c r="L75" s="26"/>
      <c r="M75" s="26"/>
      <c r="N75" s="26"/>
      <c r="O75" s="508"/>
      <c r="P75" s="508"/>
      <c r="Q75" s="321"/>
      <c r="R75" s="328"/>
      <c r="S75" s="26"/>
      <c r="T75" s="26"/>
      <c r="U75" s="26"/>
      <c r="V75" s="26"/>
      <c r="W75" s="26"/>
      <c r="X75" s="30"/>
      <c r="Y75" s="431"/>
      <c r="Z75" s="415"/>
      <c r="AA75" s="30"/>
      <c r="AB75" s="26"/>
      <c r="AC75" s="30"/>
      <c r="AD75" s="30"/>
      <c r="AE75" s="415"/>
      <c r="AF75" s="414"/>
      <c r="AG75" s="26"/>
      <c r="AH75" s="415"/>
      <c r="AI75" s="26"/>
      <c r="AJ75" s="26"/>
      <c r="AK75" s="26"/>
      <c r="AL75" s="26"/>
      <c r="AM75" s="26"/>
      <c r="AN75" s="26"/>
      <c r="AO75" s="26"/>
      <c r="AP75" s="26"/>
      <c r="AQ75" s="26"/>
      <c r="AR75" s="26"/>
      <c r="AS75" s="26"/>
      <c r="AT75" s="26"/>
    </row>
    <row r="76" spans="1:46">
      <c r="A76" s="26"/>
      <c r="B76" s="508"/>
      <c r="C76" s="508"/>
      <c r="D76" s="508"/>
      <c r="E76" s="508"/>
      <c r="F76" s="26"/>
      <c r="G76" s="26"/>
      <c r="H76" s="26"/>
      <c r="I76" s="26"/>
      <c r="J76" s="26"/>
      <c r="K76" s="26"/>
      <c r="L76" s="26"/>
      <c r="M76" s="26"/>
      <c r="N76" s="26"/>
      <c r="O76" s="508"/>
      <c r="P76" s="508"/>
      <c r="Q76" s="321"/>
      <c r="R76" s="328"/>
      <c r="S76" s="26"/>
      <c r="T76" s="26"/>
      <c r="U76" s="26"/>
      <c r="V76" s="26"/>
      <c r="W76" s="26"/>
      <c r="X76" s="30"/>
      <c r="Y76" s="431"/>
      <c r="Z76" s="415"/>
      <c r="AA76" s="30"/>
      <c r="AB76" s="26"/>
      <c r="AC76" s="30"/>
      <c r="AD76" s="30"/>
      <c r="AE76" s="415"/>
      <c r="AF76" s="414"/>
      <c r="AG76" s="26"/>
      <c r="AH76" s="415"/>
      <c r="AI76" s="26"/>
      <c r="AJ76" s="26"/>
      <c r="AK76" s="26"/>
      <c r="AL76" s="26"/>
      <c r="AM76" s="26"/>
      <c r="AN76" s="26"/>
      <c r="AO76" s="26"/>
      <c r="AP76" s="26"/>
      <c r="AQ76" s="26"/>
      <c r="AR76" s="26"/>
      <c r="AS76" s="26"/>
      <c r="AT76" s="26"/>
    </row>
    <row r="77" spans="1:46">
      <c r="A77" s="26"/>
      <c r="B77" s="508"/>
      <c r="C77" s="508"/>
      <c r="D77" s="508"/>
      <c r="E77" s="508"/>
      <c r="F77" s="26"/>
      <c r="G77" s="26"/>
      <c r="H77" s="26"/>
      <c r="I77" s="26"/>
      <c r="J77" s="26"/>
      <c r="K77" s="26"/>
      <c r="L77" s="26"/>
      <c r="M77" s="26"/>
      <c r="N77" s="26"/>
      <c r="O77" s="508"/>
      <c r="P77" s="508"/>
      <c r="Q77" s="321"/>
      <c r="R77" s="328"/>
      <c r="S77" s="26"/>
      <c r="T77" s="26"/>
      <c r="U77" s="26"/>
      <c r="V77" s="26"/>
      <c r="W77" s="26"/>
      <c r="X77" s="30"/>
      <c r="Y77" s="431"/>
      <c r="Z77" s="415"/>
      <c r="AA77" s="30"/>
      <c r="AB77" s="26"/>
      <c r="AC77" s="30"/>
      <c r="AD77" s="30"/>
      <c r="AE77" s="415"/>
      <c r="AF77" s="414"/>
      <c r="AG77" s="26"/>
      <c r="AH77" s="415"/>
      <c r="AI77" s="26"/>
      <c r="AJ77" s="26"/>
      <c r="AK77" s="26"/>
      <c r="AL77" s="26"/>
      <c r="AM77" s="26"/>
      <c r="AN77" s="26"/>
      <c r="AO77" s="26"/>
      <c r="AP77" s="26"/>
      <c r="AQ77" s="26"/>
      <c r="AR77" s="26"/>
      <c r="AS77" s="26"/>
      <c r="AT77" s="26"/>
    </row>
    <row r="78" spans="1:46">
      <c r="A78" s="26"/>
      <c r="B78" s="508"/>
      <c r="C78" s="508"/>
      <c r="D78" s="508"/>
      <c r="E78" s="508"/>
      <c r="F78" s="26"/>
      <c r="G78" s="26"/>
      <c r="H78" s="26"/>
      <c r="I78" s="26"/>
      <c r="J78" s="26"/>
      <c r="K78" s="26"/>
      <c r="L78" s="26"/>
      <c r="M78" s="26"/>
      <c r="N78" s="26"/>
      <c r="O78" s="508"/>
      <c r="P78" s="508"/>
      <c r="Q78" s="321"/>
      <c r="R78" s="328"/>
      <c r="S78" s="26"/>
      <c r="T78" s="26"/>
      <c r="U78" s="26"/>
      <c r="V78" s="26"/>
      <c r="W78" s="26"/>
      <c r="X78" s="26"/>
      <c r="Y78" s="26"/>
      <c r="Z78" s="26"/>
      <c r="AA78" s="26"/>
      <c r="AB78" s="26"/>
      <c r="AC78" s="30"/>
      <c r="AD78" s="26"/>
      <c r="AE78" s="26"/>
      <c r="AF78" s="414"/>
      <c r="AG78" s="26"/>
      <c r="AH78" s="415"/>
      <c r="AI78" s="26"/>
      <c r="AJ78" s="26"/>
      <c r="AK78" s="26"/>
      <c r="AL78" s="26"/>
      <c r="AM78" s="26"/>
      <c r="AN78" s="26"/>
      <c r="AO78" s="26"/>
      <c r="AP78" s="26"/>
      <c r="AQ78" s="26"/>
      <c r="AR78" s="26"/>
      <c r="AS78" s="26"/>
      <c r="AT78" s="26"/>
    </row>
    <row r="79" spans="1:46">
      <c r="A79" s="26"/>
      <c r="B79" s="508"/>
      <c r="C79" s="508"/>
      <c r="D79" s="508"/>
      <c r="E79" s="508"/>
      <c r="F79" s="26"/>
      <c r="G79" s="26"/>
      <c r="H79" s="26"/>
      <c r="I79" s="26"/>
      <c r="J79" s="26"/>
      <c r="K79" s="26"/>
      <c r="L79" s="26"/>
      <c r="M79" s="26"/>
      <c r="N79" s="26"/>
      <c r="O79" s="508"/>
      <c r="P79" s="508"/>
      <c r="Q79" s="321"/>
      <c r="R79" s="328"/>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row>
    <row r="80" spans="1:46">
      <c r="A80" s="26"/>
      <c r="B80" s="508"/>
      <c r="C80" s="508"/>
      <c r="D80" s="508"/>
      <c r="E80" s="508"/>
      <c r="F80" s="26"/>
      <c r="G80" s="26"/>
      <c r="H80" s="26"/>
      <c r="I80" s="26"/>
      <c r="J80" s="26"/>
      <c r="K80" s="26"/>
      <c r="L80" s="26"/>
      <c r="M80" s="26"/>
      <c r="N80" s="26"/>
      <c r="O80" s="508"/>
      <c r="P80" s="508"/>
      <c r="Q80" s="321"/>
      <c r="R80" s="328"/>
      <c r="S80" s="26"/>
      <c r="T80" s="26"/>
      <c r="U80" s="26"/>
      <c r="V80" s="26"/>
      <c r="W80" s="26"/>
      <c r="X80" s="30"/>
      <c r="Y80" s="431"/>
      <c r="Z80" s="415"/>
      <c r="AA80" s="30"/>
      <c r="AB80" s="26"/>
      <c r="AC80" s="26"/>
      <c r="AD80" s="30"/>
      <c r="AE80" s="415"/>
      <c r="AF80" s="26"/>
      <c r="AG80" s="26"/>
      <c r="AH80" s="26"/>
      <c r="AI80" s="26"/>
      <c r="AJ80" s="26"/>
      <c r="AK80" s="26"/>
      <c r="AL80" s="26"/>
      <c r="AM80" s="26"/>
      <c r="AN80" s="26"/>
      <c r="AO80" s="26"/>
      <c r="AP80" s="26"/>
      <c r="AQ80" s="26"/>
      <c r="AR80" s="26"/>
      <c r="AS80" s="26"/>
      <c r="AT80" s="26"/>
    </row>
    <row r="81" spans="1:46">
      <c r="A81" s="26"/>
      <c r="B81" s="508"/>
      <c r="C81" s="508"/>
      <c r="D81" s="508"/>
      <c r="E81" s="508"/>
      <c r="F81" s="26"/>
      <c r="G81" s="26"/>
      <c r="H81" s="26"/>
      <c r="I81" s="26"/>
      <c r="J81" s="26"/>
      <c r="K81" s="26"/>
      <c r="L81" s="26"/>
      <c r="M81" s="26"/>
      <c r="N81" s="26"/>
      <c r="O81" s="508"/>
      <c r="P81" s="508"/>
      <c r="Q81" s="321"/>
      <c r="R81" s="328"/>
      <c r="S81" s="26"/>
      <c r="T81" s="26"/>
      <c r="U81" s="26"/>
      <c r="V81" s="26"/>
      <c r="W81" s="26"/>
      <c r="X81" s="30"/>
      <c r="Y81" s="431"/>
      <c r="Z81" s="415"/>
      <c r="AA81" s="30"/>
      <c r="AB81" s="26"/>
      <c r="AC81" s="26"/>
      <c r="AD81" s="30"/>
      <c r="AE81" s="415"/>
      <c r="AF81" s="414"/>
      <c r="AG81" s="26"/>
      <c r="AH81" s="26"/>
      <c r="AI81" s="26"/>
      <c r="AJ81" s="26"/>
      <c r="AK81" s="26"/>
      <c r="AL81" s="26"/>
      <c r="AM81" s="26"/>
      <c r="AN81" s="26"/>
      <c r="AO81" s="26"/>
      <c r="AP81" s="26"/>
      <c r="AQ81" s="26"/>
      <c r="AR81" s="26"/>
      <c r="AS81" s="26"/>
      <c r="AT81" s="26"/>
    </row>
    <row r="82" spans="1:46">
      <c r="A82" s="26"/>
      <c r="B82" s="508"/>
      <c r="C82" s="508"/>
      <c r="D82" s="508"/>
      <c r="E82" s="508"/>
      <c r="F82" s="26"/>
      <c r="G82" s="26"/>
      <c r="H82" s="26"/>
      <c r="I82" s="26"/>
      <c r="J82" s="26"/>
      <c r="K82" s="26"/>
      <c r="L82" s="26"/>
      <c r="M82" s="26"/>
      <c r="N82" s="26"/>
      <c r="O82" s="508"/>
      <c r="P82" s="508"/>
      <c r="Q82" s="321"/>
      <c r="R82" s="328"/>
      <c r="S82" s="26"/>
      <c r="T82" s="26"/>
      <c r="U82" s="26"/>
      <c r="V82" s="26"/>
      <c r="W82" s="26"/>
      <c r="X82" s="30"/>
      <c r="Y82" s="431"/>
      <c r="Z82" s="415"/>
      <c r="AA82" s="30"/>
      <c r="AB82" s="26"/>
      <c r="AC82" s="26"/>
      <c r="AD82" s="30"/>
      <c r="AE82" s="415"/>
      <c r="AF82" s="414"/>
      <c r="AG82" s="26"/>
      <c r="AH82" s="26"/>
      <c r="AI82" s="26"/>
      <c r="AJ82" s="26"/>
      <c r="AK82" s="26"/>
      <c r="AL82" s="26"/>
      <c r="AM82" s="26"/>
      <c r="AN82" s="26"/>
      <c r="AO82" s="26"/>
      <c r="AP82" s="26"/>
      <c r="AQ82" s="26"/>
      <c r="AR82" s="26"/>
      <c r="AS82" s="26"/>
      <c r="AT82" s="26"/>
    </row>
    <row r="83" spans="1:46">
      <c r="A83" s="26"/>
      <c r="B83" s="508"/>
      <c r="C83" s="508"/>
      <c r="D83" s="508"/>
      <c r="E83" s="508"/>
      <c r="F83" s="26"/>
      <c r="G83" s="26"/>
      <c r="H83" s="26"/>
      <c r="I83" s="26"/>
      <c r="J83" s="26"/>
      <c r="K83" s="26"/>
      <c r="L83" s="26"/>
      <c r="M83" s="26"/>
      <c r="N83" s="26"/>
      <c r="O83" s="508"/>
      <c r="P83" s="508"/>
      <c r="Q83" s="321"/>
      <c r="R83" s="328"/>
      <c r="S83" s="26"/>
      <c r="T83" s="26"/>
      <c r="U83" s="26"/>
      <c r="V83" s="26"/>
      <c r="W83" s="26"/>
      <c r="X83" s="30"/>
      <c r="Y83" s="431"/>
      <c r="Z83" s="415"/>
      <c r="AA83" s="30"/>
      <c r="AB83" s="26"/>
      <c r="AC83" s="26"/>
      <c r="AD83" s="30"/>
      <c r="AE83" s="415"/>
      <c r="AF83" s="414"/>
      <c r="AG83" s="26"/>
      <c r="AH83" s="26"/>
      <c r="AI83" s="26"/>
      <c r="AJ83" s="26"/>
      <c r="AK83" s="26"/>
      <c r="AL83" s="26"/>
      <c r="AM83" s="26"/>
      <c r="AN83" s="26"/>
      <c r="AO83" s="26"/>
      <c r="AP83" s="26"/>
      <c r="AQ83" s="26"/>
      <c r="AR83" s="26"/>
      <c r="AS83" s="26"/>
      <c r="AT83" s="26"/>
    </row>
    <row r="84" spans="1:46">
      <c r="A84" s="26"/>
      <c r="B84" s="508"/>
      <c r="C84" s="508"/>
      <c r="D84" s="508"/>
      <c r="E84" s="508"/>
      <c r="F84" s="26"/>
      <c r="G84" s="26"/>
      <c r="H84" s="26"/>
      <c r="I84" s="26"/>
      <c r="J84" s="26"/>
      <c r="K84" s="26"/>
      <c r="L84" s="26"/>
      <c r="M84" s="26"/>
      <c r="N84" s="26"/>
      <c r="O84" s="508"/>
      <c r="P84" s="508"/>
      <c r="Q84" s="321"/>
      <c r="R84" s="328"/>
      <c r="S84" s="26"/>
      <c r="T84" s="26"/>
      <c r="U84" s="26"/>
      <c r="V84" s="26"/>
      <c r="W84" s="26"/>
      <c r="X84" s="26"/>
      <c r="Y84" s="26"/>
      <c r="Z84" s="26"/>
      <c r="AA84" s="26"/>
      <c r="AB84" s="26"/>
      <c r="AC84" s="26"/>
      <c r="AD84" s="26"/>
      <c r="AE84" s="26"/>
      <c r="AF84" s="414"/>
      <c r="AG84" s="26"/>
      <c r="AH84" s="26"/>
      <c r="AI84" s="26"/>
      <c r="AJ84" s="26"/>
      <c r="AK84" s="26"/>
      <c r="AL84" s="26"/>
      <c r="AM84" s="26"/>
      <c r="AN84" s="26"/>
      <c r="AO84" s="26"/>
      <c r="AP84" s="26"/>
      <c r="AQ84" s="26"/>
      <c r="AR84" s="26"/>
      <c r="AS84" s="26"/>
      <c r="AT84" s="26"/>
    </row>
    <row r="85" spans="1:46">
      <c r="A85" s="26"/>
      <c r="B85" s="508"/>
      <c r="C85" s="508"/>
      <c r="D85" s="508"/>
      <c r="E85" s="508"/>
      <c r="F85" s="26"/>
      <c r="G85" s="26"/>
      <c r="H85" s="26"/>
      <c r="I85" s="26"/>
      <c r="J85" s="26"/>
      <c r="K85" s="26"/>
      <c r="L85" s="26"/>
      <c r="M85" s="26"/>
      <c r="N85" s="26"/>
      <c r="O85" s="508"/>
      <c r="P85" s="508"/>
      <c r="Q85" s="321"/>
      <c r="R85" s="328"/>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row>
    <row r="86" spans="1:46">
      <c r="A86" s="26"/>
      <c r="B86" s="508"/>
      <c r="C86" s="508"/>
      <c r="D86" s="508"/>
      <c r="E86" s="508"/>
      <c r="F86" s="26"/>
      <c r="G86" s="26"/>
      <c r="H86" s="26"/>
      <c r="I86" s="26"/>
      <c r="J86" s="26"/>
      <c r="K86" s="26"/>
      <c r="L86" s="26"/>
      <c r="M86" s="26"/>
      <c r="N86" s="26"/>
      <c r="O86" s="508"/>
      <c r="P86" s="508"/>
      <c r="Q86" s="321"/>
      <c r="R86" s="328"/>
      <c r="S86" s="26"/>
      <c r="T86" s="26"/>
      <c r="U86" s="26"/>
      <c r="V86" s="26"/>
      <c r="W86" s="26"/>
      <c r="X86" s="30"/>
      <c r="Y86" s="431"/>
      <c r="Z86" s="415"/>
      <c r="AA86" s="30"/>
      <c r="AB86" s="26"/>
      <c r="AC86" s="26"/>
      <c r="AD86" s="30"/>
      <c r="AE86" s="415"/>
      <c r="AF86" s="26"/>
      <c r="AG86" s="26"/>
      <c r="AH86" s="26"/>
      <c r="AI86" s="26"/>
      <c r="AJ86" s="26"/>
      <c r="AK86" s="26"/>
      <c r="AL86" s="26"/>
      <c r="AM86" s="26"/>
      <c r="AN86" s="26"/>
      <c r="AO86" s="26"/>
      <c r="AP86" s="26"/>
      <c r="AQ86" s="26"/>
      <c r="AR86" s="26"/>
      <c r="AS86" s="26"/>
      <c r="AT86" s="26"/>
    </row>
    <row r="87" spans="1:46">
      <c r="A87" s="26"/>
      <c r="B87" s="508"/>
      <c r="C87" s="508"/>
      <c r="D87" s="508"/>
      <c r="E87" s="508"/>
      <c r="F87" s="26"/>
      <c r="G87" s="26"/>
      <c r="H87" s="26"/>
      <c r="I87" s="26"/>
      <c r="J87" s="26"/>
      <c r="K87" s="26"/>
      <c r="L87" s="26"/>
      <c r="M87" s="26"/>
      <c r="N87" s="26"/>
      <c r="O87" s="508"/>
      <c r="P87" s="508"/>
      <c r="Q87" s="321"/>
      <c r="R87" s="328"/>
      <c r="S87" s="26"/>
      <c r="T87" s="26"/>
      <c r="U87" s="26"/>
      <c r="V87" s="26"/>
      <c r="W87" s="26"/>
      <c r="X87" s="30"/>
      <c r="Y87" s="431"/>
      <c r="Z87" s="415"/>
      <c r="AA87" s="30"/>
      <c r="AB87" s="26"/>
      <c r="AC87" s="26"/>
      <c r="AD87" s="30"/>
      <c r="AE87" s="415"/>
      <c r="AF87" s="414"/>
      <c r="AG87" s="26"/>
      <c r="AH87" s="26"/>
      <c r="AI87" s="26"/>
      <c r="AJ87" s="26"/>
      <c r="AK87" s="26"/>
      <c r="AL87" s="26"/>
      <c r="AM87" s="26"/>
      <c r="AN87" s="26"/>
      <c r="AO87" s="26"/>
      <c r="AP87" s="26"/>
      <c r="AQ87" s="26"/>
      <c r="AR87" s="26"/>
      <c r="AS87" s="26"/>
      <c r="AT87" s="26"/>
    </row>
    <row r="88" spans="1:46">
      <c r="A88" s="26"/>
      <c r="B88" s="508"/>
      <c r="C88" s="508"/>
      <c r="D88" s="508"/>
      <c r="E88" s="508"/>
      <c r="F88" s="26"/>
      <c r="G88" s="26"/>
      <c r="H88" s="26"/>
      <c r="I88" s="26"/>
      <c r="J88" s="26"/>
      <c r="K88" s="26"/>
      <c r="L88" s="26"/>
      <c r="M88" s="26"/>
      <c r="N88" s="26"/>
      <c r="O88" s="508"/>
      <c r="P88" s="508"/>
      <c r="Q88" s="321"/>
      <c r="R88" s="328"/>
      <c r="S88" s="26"/>
      <c r="T88" s="26"/>
      <c r="U88" s="26"/>
      <c r="V88" s="26"/>
      <c r="W88" s="26"/>
      <c r="X88" s="30"/>
      <c r="Y88" s="431"/>
      <c r="Z88" s="415"/>
      <c r="AA88" s="30"/>
      <c r="AB88" s="26"/>
      <c r="AC88" s="26"/>
      <c r="AD88" s="30"/>
      <c r="AE88" s="415"/>
      <c r="AF88" s="414"/>
      <c r="AG88" s="26"/>
      <c r="AH88" s="26"/>
      <c r="AI88" s="26"/>
      <c r="AJ88" s="26"/>
      <c r="AK88" s="26"/>
      <c r="AL88" s="26"/>
      <c r="AM88" s="26"/>
      <c r="AN88" s="26"/>
      <c r="AO88" s="26"/>
      <c r="AP88" s="26"/>
      <c r="AQ88" s="26"/>
      <c r="AR88" s="26"/>
      <c r="AS88" s="26"/>
      <c r="AT88" s="26"/>
    </row>
    <row r="89" spans="1:46">
      <c r="A89" s="26"/>
      <c r="B89" s="508"/>
      <c r="C89" s="508"/>
      <c r="D89" s="508"/>
      <c r="E89" s="508"/>
      <c r="F89" s="26"/>
      <c r="G89" s="26"/>
      <c r="H89" s="26"/>
      <c r="I89" s="26"/>
      <c r="J89" s="26"/>
      <c r="K89" s="26"/>
      <c r="L89" s="26"/>
      <c r="M89" s="26"/>
      <c r="N89" s="26"/>
      <c r="O89" s="508"/>
      <c r="P89" s="508"/>
      <c r="Q89" s="321"/>
      <c r="R89" s="328"/>
      <c r="S89" s="26"/>
      <c r="T89" s="26"/>
      <c r="U89" s="26"/>
      <c r="V89" s="26"/>
      <c r="W89" s="26"/>
      <c r="X89" s="30"/>
      <c r="Y89" s="431"/>
      <c r="Z89" s="415"/>
      <c r="AA89" s="30"/>
      <c r="AB89" s="26"/>
      <c r="AC89" s="26"/>
      <c r="AD89" s="30"/>
      <c r="AE89" s="415"/>
      <c r="AF89" s="414"/>
      <c r="AG89" s="26"/>
      <c r="AH89" s="26"/>
      <c r="AI89" s="26"/>
      <c r="AJ89" s="26"/>
      <c r="AK89" s="26"/>
      <c r="AL89" s="26"/>
      <c r="AM89" s="26"/>
      <c r="AN89" s="26"/>
      <c r="AO89" s="26"/>
      <c r="AP89" s="26"/>
      <c r="AQ89" s="26"/>
      <c r="AR89" s="26"/>
      <c r="AS89" s="26"/>
      <c r="AT89" s="26"/>
    </row>
    <row r="90" spans="1:46">
      <c r="A90" s="26"/>
      <c r="B90" s="508"/>
      <c r="C90" s="508"/>
      <c r="D90" s="508"/>
      <c r="E90" s="508"/>
      <c r="F90" s="26"/>
      <c r="G90" s="26"/>
      <c r="H90" s="26"/>
      <c r="I90" s="26"/>
      <c r="J90" s="26"/>
      <c r="K90" s="26"/>
      <c r="L90" s="26"/>
      <c r="M90" s="26"/>
      <c r="N90" s="26"/>
      <c r="O90" s="508"/>
      <c r="P90" s="508"/>
      <c r="Q90" s="321"/>
      <c r="R90" s="328"/>
      <c r="S90" s="26"/>
      <c r="T90" s="26"/>
      <c r="U90" s="26"/>
      <c r="V90" s="26"/>
      <c r="W90" s="26"/>
      <c r="X90" s="26"/>
      <c r="Y90" s="26"/>
      <c r="Z90" s="26"/>
      <c r="AA90" s="26"/>
      <c r="AB90" s="26"/>
      <c r="AC90" s="26"/>
      <c r="AD90" s="26"/>
      <c r="AE90" s="26"/>
      <c r="AF90" s="414"/>
      <c r="AG90" s="26"/>
      <c r="AH90" s="26"/>
      <c r="AI90" s="26"/>
      <c r="AJ90" s="26"/>
      <c r="AK90" s="26"/>
      <c r="AL90" s="26"/>
      <c r="AM90" s="26"/>
      <c r="AN90" s="26"/>
      <c r="AO90" s="26"/>
      <c r="AP90" s="26"/>
      <c r="AQ90" s="26"/>
      <c r="AR90" s="26"/>
      <c r="AS90" s="26"/>
      <c r="AT90" s="26"/>
    </row>
    <row r="91" spans="1:46">
      <c r="A91" s="26"/>
      <c r="B91" s="508"/>
      <c r="C91" s="508"/>
      <c r="D91" s="508"/>
      <c r="E91" s="508"/>
      <c r="F91" s="26"/>
      <c r="G91" s="26"/>
      <c r="H91" s="26"/>
      <c r="I91" s="26"/>
      <c r="J91" s="26"/>
      <c r="K91" s="26"/>
      <c r="L91" s="26"/>
      <c r="M91" s="26"/>
      <c r="N91" s="26"/>
      <c r="O91" s="508"/>
      <c r="P91" s="508"/>
      <c r="Q91" s="321"/>
      <c r="R91" s="328"/>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row>
    <row r="92" spans="1:46">
      <c r="A92" s="26"/>
      <c r="B92" s="508"/>
      <c r="C92" s="508"/>
      <c r="D92" s="508"/>
      <c r="E92" s="508"/>
      <c r="F92" s="26"/>
      <c r="G92" s="26"/>
      <c r="H92" s="26"/>
      <c r="I92" s="26"/>
      <c r="J92" s="26"/>
      <c r="K92" s="26"/>
      <c r="L92" s="26"/>
      <c r="M92" s="26"/>
      <c r="N92" s="26"/>
      <c r="O92" s="508"/>
      <c r="P92" s="508"/>
      <c r="Q92" s="321"/>
      <c r="R92" s="328"/>
      <c r="S92" s="26"/>
      <c r="T92" s="26"/>
      <c r="U92" s="26"/>
      <c r="V92" s="26"/>
      <c r="W92" s="26"/>
      <c r="X92" s="30"/>
      <c r="Y92" s="431"/>
      <c r="Z92" s="415"/>
      <c r="AA92" s="30"/>
      <c r="AB92" s="26"/>
      <c r="AC92" s="26"/>
      <c r="AD92" s="30"/>
      <c r="AE92" s="415"/>
      <c r="AF92" s="26"/>
      <c r="AG92" s="26"/>
      <c r="AH92" s="26"/>
      <c r="AI92" s="26"/>
      <c r="AJ92" s="26"/>
      <c r="AK92" s="26"/>
      <c r="AL92" s="26"/>
      <c r="AM92" s="26"/>
      <c r="AN92" s="26"/>
      <c r="AO92" s="26"/>
      <c r="AP92" s="26"/>
      <c r="AQ92" s="26"/>
      <c r="AR92" s="26"/>
      <c r="AS92" s="26"/>
      <c r="AT92" s="26"/>
    </row>
    <row r="93" spans="1:46">
      <c r="A93" s="26"/>
      <c r="B93" s="508"/>
      <c r="C93" s="508"/>
      <c r="D93" s="508"/>
      <c r="E93" s="508"/>
      <c r="F93" s="26"/>
      <c r="G93" s="26"/>
      <c r="H93" s="26"/>
      <c r="I93" s="26"/>
      <c r="J93" s="26"/>
      <c r="K93" s="26"/>
      <c r="L93" s="26"/>
      <c r="M93" s="26"/>
      <c r="N93" s="26"/>
      <c r="O93" s="508"/>
      <c r="P93" s="508"/>
      <c r="Q93" s="321"/>
      <c r="R93" s="328"/>
      <c r="S93" s="26"/>
      <c r="T93" s="26"/>
      <c r="U93" s="26"/>
      <c r="V93" s="26"/>
      <c r="W93" s="26"/>
      <c r="X93" s="30"/>
      <c r="Y93" s="431"/>
      <c r="Z93" s="415"/>
      <c r="AA93" s="30"/>
      <c r="AB93" s="26"/>
      <c r="AC93" s="26"/>
      <c r="AD93" s="30"/>
      <c r="AE93" s="415"/>
      <c r="AF93" s="414"/>
      <c r="AG93" s="26"/>
      <c r="AH93" s="26"/>
      <c r="AI93" s="26"/>
      <c r="AJ93" s="26"/>
      <c r="AK93" s="26"/>
      <c r="AL93" s="26"/>
      <c r="AM93" s="26"/>
      <c r="AN93" s="26"/>
      <c r="AO93" s="26"/>
      <c r="AP93" s="26"/>
      <c r="AQ93" s="26"/>
      <c r="AR93" s="26"/>
      <c r="AS93" s="26"/>
      <c r="AT93" s="26"/>
    </row>
    <row r="94" spans="1:46">
      <c r="A94" s="26"/>
      <c r="B94" s="508"/>
      <c r="C94" s="508"/>
      <c r="D94" s="508"/>
      <c r="E94" s="508"/>
      <c r="F94" s="26"/>
      <c r="G94" s="26"/>
      <c r="H94" s="26"/>
      <c r="I94" s="26"/>
      <c r="J94" s="26"/>
      <c r="K94" s="26"/>
      <c r="L94" s="26"/>
      <c r="M94" s="26"/>
      <c r="N94" s="26"/>
      <c r="O94" s="508"/>
      <c r="P94" s="508"/>
      <c r="Q94" s="321"/>
      <c r="R94" s="328"/>
      <c r="S94" s="26"/>
      <c r="T94" s="26"/>
      <c r="U94" s="26"/>
      <c r="V94" s="26"/>
      <c r="W94" s="26"/>
      <c r="X94" s="30"/>
      <c r="Y94" s="431"/>
      <c r="Z94" s="415"/>
      <c r="AA94" s="30"/>
      <c r="AB94" s="26"/>
      <c r="AC94" s="26"/>
      <c r="AD94" s="30"/>
      <c r="AE94" s="415"/>
      <c r="AF94" s="414"/>
      <c r="AG94" s="26"/>
      <c r="AH94" s="26"/>
      <c r="AI94" s="26"/>
      <c r="AJ94" s="26"/>
      <c r="AK94" s="26"/>
      <c r="AL94" s="26"/>
      <c r="AM94" s="26"/>
      <c r="AN94" s="26"/>
      <c r="AO94" s="26"/>
      <c r="AP94" s="26"/>
      <c r="AQ94" s="26"/>
      <c r="AR94" s="26"/>
      <c r="AS94" s="26"/>
      <c r="AT94" s="26"/>
    </row>
    <row r="95" spans="1:46">
      <c r="A95" s="26"/>
      <c r="B95" s="508"/>
      <c r="C95" s="508"/>
      <c r="D95" s="508"/>
      <c r="E95" s="508"/>
      <c r="F95" s="26"/>
      <c r="G95" s="26"/>
      <c r="H95" s="26"/>
      <c r="I95" s="26"/>
      <c r="J95" s="26"/>
      <c r="K95" s="26"/>
      <c r="L95" s="26"/>
      <c r="M95" s="26"/>
      <c r="N95" s="26"/>
      <c r="O95" s="508"/>
      <c r="P95" s="508"/>
      <c r="Q95" s="321"/>
      <c r="R95" s="328"/>
      <c r="S95" s="26"/>
      <c r="T95" s="26"/>
      <c r="U95" s="26"/>
      <c r="V95" s="26"/>
      <c r="W95" s="26"/>
      <c r="X95" s="30"/>
      <c r="Y95" s="431"/>
      <c r="Z95" s="415"/>
      <c r="AA95" s="30"/>
      <c r="AB95" s="26"/>
      <c r="AC95" s="26"/>
      <c r="AD95" s="30"/>
      <c r="AE95" s="415"/>
      <c r="AF95" s="414"/>
      <c r="AG95" s="26"/>
      <c r="AH95" s="26"/>
      <c r="AI95" s="26"/>
      <c r="AJ95" s="26"/>
      <c r="AK95" s="26"/>
      <c r="AL95" s="26"/>
      <c r="AM95" s="26"/>
      <c r="AN95" s="26"/>
      <c r="AO95" s="26"/>
      <c r="AP95" s="26"/>
      <c r="AQ95" s="26"/>
      <c r="AR95" s="26"/>
      <c r="AS95" s="26"/>
      <c r="AT95" s="26"/>
    </row>
    <row r="96" spans="1:46">
      <c r="A96" s="26"/>
      <c r="B96" s="508"/>
      <c r="C96" s="508"/>
      <c r="D96" s="508"/>
      <c r="E96" s="508"/>
      <c r="F96" s="26"/>
      <c r="G96" s="26"/>
      <c r="H96" s="26"/>
      <c r="I96" s="26"/>
      <c r="J96" s="26"/>
      <c r="K96" s="26"/>
      <c r="L96" s="26"/>
      <c r="M96" s="26"/>
      <c r="N96" s="26"/>
      <c r="O96" s="508"/>
      <c r="P96" s="508"/>
      <c r="Q96" s="321"/>
      <c r="R96" s="328"/>
      <c r="S96" s="26"/>
      <c r="T96" s="26"/>
      <c r="U96" s="26"/>
      <c r="V96" s="26"/>
      <c r="W96" s="26"/>
      <c r="X96" s="26"/>
      <c r="Y96" s="26"/>
      <c r="Z96" s="26"/>
      <c r="AA96" s="26"/>
      <c r="AB96" s="26"/>
      <c r="AC96" s="26"/>
      <c r="AD96" s="26"/>
      <c r="AE96" s="26"/>
      <c r="AF96" s="414"/>
      <c r="AG96" s="26"/>
      <c r="AH96" s="26"/>
      <c r="AI96" s="26"/>
      <c r="AJ96" s="26"/>
      <c r="AK96" s="26"/>
      <c r="AL96" s="26"/>
      <c r="AM96" s="26"/>
      <c r="AN96" s="26"/>
      <c r="AO96" s="26"/>
      <c r="AP96" s="26"/>
      <c r="AQ96" s="26"/>
      <c r="AR96" s="26"/>
      <c r="AS96" s="26"/>
      <c r="AT96" s="26"/>
    </row>
    <row r="97" spans="1:46">
      <c r="A97" s="26"/>
      <c r="B97" s="508"/>
      <c r="C97" s="508"/>
      <c r="D97" s="508"/>
      <c r="E97" s="508"/>
      <c r="F97" s="26"/>
      <c r="G97" s="26"/>
      <c r="H97" s="26"/>
      <c r="I97" s="26"/>
      <c r="J97" s="26"/>
      <c r="K97" s="26"/>
      <c r="L97" s="26"/>
      <c r="M97" s="26"/>
      <c r="N97" s="26"/>
      <c r="O97" s="508"/>
      <c r="P97" s="508"/>
      <c r="Q97" s="321"/>
      <c r="R97" s="328"/>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row>
    <row r="98" spans="1:46">
      <c r="A98" s="26"/>
      <c r="B98" s="508"/>
      <c r="C98" s="508"/>
      <c r="D98" s="508"/>
      <c r="E98" s="508"/>
      <c r="F98" s="26"/>
      <c r="G98" s="26"/>
      <c r="H98" s="26"/>
      <c r="I98" s="26"/>
      <c r="J98" s="26"/>
      <c r="K98" s="26"/>
      <c r="L98" s="26"/>
      <c r="M98" s="26"/>
      <c r="N98" s="26"/>
      <c r="O98" s="508"/>
      <c r="P98" s="508"/>
      <c r="Q98" s="321"/>
      <c r="R98" s="328"/>
      <c r="S98" s="26"/>
      <c r="T98" s="26"/>
      <c r="U98" s="26"/>
      <c r="V98" s="26"/>
      <c r="W98" s="26"/>
      <c r="X98" s="30"/>
      <c r="Y98" s="431"/>
      <c r="Z98" s="415"/>
      <c r="AA98" s="30"/>
      <c r="AB98" s="26"/>
      <c r="AC98" s="26"/>
      <c r="AD98" s="30"/>
      <c r="AE98" s="415"/>
      <c r="AF98" s="26"/>
      <c r="AG98" s="26"/>
      <c r="AH98" s="26"/>
      <c r="AI98" s="26"/>
      <c r="AJ98" s="26"/>
      <c r="AK98" s="26"/>
      <c r="AL98" s="26"/>
      <c r="AM98" s="26"/>
      <c r="AN98" s="26"/>
      <c r="AO98" s="26"/>
      <c r="AP98" s="26"/>
      <c r="AQ98" s="26"/>
      <c r="AR98" s="26"/>
      <c r="AS98" s="26"/>
      <c r="AT98" s="26"/>
    </row>
    <row r="99" spans="1:46">
      <c r="A99" s="26"/>
      <c r="B99" s="508"/>
      <c r="C99" s="508"/>
      <c r="D99" s="508"/>
      <c r="E99" s="508"/>
      <c r="F99" s="26"/>
      <c r="G99" s="26"/>
      <c r="H99" s="26"/>
      <c r="I99" s="26"/>
      <c r="J99" s="26"/>
      <c r="K99" s="26"/>
      <c r="L99" s="26"/>
      <c r="M99" s="26"/>
      <c r="N99" s="26"/>
      <c r="O99" s="508"/>
      <c r="P99" s="508"/>
      <c r="Q99" s="321"/>
      <c r="R99" s="328"/>
      <c r="S99" s="26"/>
      <c r="T99" s="26"/>
      <c r="U99" s="26"/>
      <c r="V99" s="26"/>
      <c r="W99" s="26"/>
      <c r="X99" s="30"/>
      <c r="Y99" s="431"/>
      <c r="Z99" s="415"/>
      <c r="AA99" s="30"/>
      <c r="AB99" s="26"/>
      <c r="AC99" s="26"/>
      <c r="AD99" s="30"/>
      <c r="AE99" s="415"/>
      <c r="AF99" s="414"/>
      <c r="AG99" s="26"/>
      <c r="AH99" s="26"/>
      <c r="AI99" s="26"/>
      <c r="AJ99" s="26"/>
      <c r="AK99" s="26"/>
      <c r="AL99" s="26"/>
      <c r="AM99" s="26"/>
      <c r="AN99" s="26"/>
      <c r="AO99" s="26"/>
      <c r="AP99" s="26"/>
      <c r="AQ99" s="26"/>
      <c r="AR99" s="26"/>
      <c r="AS99" s="26"/>
      <c r="AT99" s="26"/>
    </row>
    <row r="100" spans="1:46">
      <c r="A100" s="26"/>
      <c r="B100" s="508"/>
      <c r="C100" s="508"/>
      <c r="D100" s="508"/>
      <c r="E100" s="508"/>
      <c r="F100" s="26"/>
      <c r="G100" s="26"/>
      <c r="H100" s="26"/>
      <c r="I100" s="26"/>
      <c r="J100" s="26"/>
      <c r="K100" s="26"/>
      <c r="L100" s="26"/>
      <c r="M100" s="26"/>
      <c r="N100" s="26"/>
      <c r="O100" s="508"/>
      <c r="P100" s="508"/>
      <c r="Q100" s="321"/>
      <c r="R100" s="328"/>
      <c r="S100" s="26"/>
      <c r="T100" s="26"/>
      <c r="U100" s="26"/>
      <c r="V100" s="26"/>
      <c r="W100" s="26"/>
      <c r="X100" s="30"/>
      <c r="Y100" s="431"/>
      <c r="Z100" s="415"/>
      <c r="AA100" s="30"/>
      <c r="AB100" s="26"/>
      <c r="AC100" s="26"/>
      <c r="AD100" s="30"/>
      <c r="AE100" s="415"/>
      <c r="AF100" s="414"/>
      <c r="AG100" s="26"/>
      <c r="AH100" s="26"/>
      <c r="AI100" s="26"/>
      <c r="AJ100" s="26"/>
      <c r="AK100" s="26"/>
      <c r="AL100" s="26"/>
      <c r="AM100" s="26"/>
      <c r="AN100" s="26"/>
      <c r="AO100" s="26"/>
      <c r="AP100" s="26"/>
      <c r="AQ100" s="26"/>
      <c r="AR100" s="26"/>
      <c r="AS100" s="26"/>
      <c r="AT100" s="26"/>
    </row>
    <row r="101" spans="1:46">
      <c r="A101" s="26"/>
      <c r="B101" s="508"/>
      <c r="C101" s="508"/>
      <c r="D101" s="508"/>
      <c r="E101" s="508"/>
      <c r="F101" s="26"/>
      <c r="G101" s="26"/>
      <c r="H101" s="26"/>
      <c r="I101" s="26"/>
      <c r="J101" s="26"/>
      <c r="K101" s="26"/>
      <c r="L101" s="26"/>
      <c r="M101" s="26"/>
      <c r="N101" s="26"/>
      <c r="O101" s="508"/>
      <c r="P101" s="508"/>
      <c r="Q101" s="321"/>
      <c r="R101" s="328"/>
      <c r="S101" s="26"/>
      <c r="T101" s="26"/>
      <c r="U101" s="26"/>
      <c r="V101" s="26"/>
      <c r="W101" s="26"/>
      <c r="X101" s="30"/>
      <c r="Y101" s="431"/>
      <c r="Z101" s="415"/>
      <c r="AA101" s="30"/>
      <c r="AB101" s="26"/>
      <c r="AC101" s="26"/>
      <c r="AD101" s="30"/>
      <c r="AE101" s="415"/>
      <c r="AF101" s="414"/>
      <c r="AG101" s="26"/>
      <c r="AH101" s="26"/>
      <c r="AI101" s="26"/>
      <c r="AJ101" s="26"/>
      <c r="AK101" s="26"/>
      <c r="AL101" s="26"/>
      <c r="AM101" s="26"/>
      <c r="AN101" s="26"/>
      <c r="AO101" s="26"/>
      <c r="AP101" s="26"/>
      <c r="AQ101" s="26"/>
      <c r="AR101" s="26"/>
      <c r="AS101" s="26"/>
      <c r="AT101" s="26"/>
    </row>
    <row r="102" spans="1:46">
      <c r="A102" s="26"/>
      <c r="B102" s="508"/>
      <c r="C102" s="508"/>
      <c r="D102" s="508"/>
      <c r="E102" s="508"/>
      <c r="F102" s="26"/>
      <c r="G102" s="26"/>
      <c r="H102" s="26"/>
      <c r="I102" s="26"/>
      <c r="J102" s="26"/>
      <c r="K102" s="26"/>
      <c r="L102" s="26"/>
      <c r="M102" s="26"/>
      <c r="N102" s="26"/>
      <c r="O102" s="508"/>
      <c r="P102" s="508"/>
      <c r="Q102" s="321"/>
      <c r="R102" s="328"/>
      <c r="S102" s="26"/>
      <c r="T102" s="26"/>
      <c r="U102" s="26"/>
      <c r="V102" s="26"/>
      <c r="W102" s="26"/>
      <c r="X102" s="26"/>
      <c r="Y102" s="26"/>
      <c r="Z102" s="26"/>
      <c r="AA102" s="26"/>
      <c r="AB102" s="26"/>
      <c r="AC102" s="26"/>
      <c r="AD102" s="26"/>
      <c r="AE102" s="26"/>
      <c r="AF102" s="414"/>
      <c r="AG102" s="26"/>
      <c r="AH102" s="26"/>
      <c r="AI102" s="26"/>
      <c r="AJ102" s="26"/>
      <c r="AK102" s="26"/>
      <c r="AL102" s="26"/>
      <c r="AM102" s="26"/>
      <c r="AN102" s="26"/>
      <c r="AO102" s="26"/>
      <c r="AP102" s="26"/>
      <c r="AQ102" s="26"/>
      <c r="AR102" s="26"/>
      <c r="AS102" s="26"/>
      <c r="AT102" s="26"/>
    </row>
    <row r="103" spans="1:46">
      <c r="A103" s="26"/>
      <c r="B103" s="508"/>
      <c r="C103" s="508"/>
      <c r="D103" s="508"/>
      <c r="E103" s="508"/>
      <c r="F103" s="26"/>
      <c r="G103" s="26"/>
      <c r="H103" s="26"/>
      <c r="I103" s="26"/>
      <c r="J103" s="26"/>
      <c r="K103" s="26"/>
      <c r="L103" s="26"/>
      <c r="M103" s="26"/>
      <c r="N103" s="26"/>
      <c r="O103" s="508"/>
      <c r="P103" s="508"/>
      <c r="Q103" s="321"/>
      <c r="R103" s="328"/>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c r="A104" s="26"/>
      <c r="B104" s="508"/>
      <c r="C104" s="508"/>
      <c r="D104" s="508"/>
      <c r="E104" s="508"/>
      <c r="F104" s="26"/>
      <c r="G104" s="26"/>
      <c r="H104" s="26"/>
      <c r="I104" s="26"/>
      <c r="J104" s="26"/>
      <c r="K104" s="26"/>
      <c r="L104" s="26"/>
      <c r="M104" s="26"/>
      <c r="N104" s="26"/>
      <c r="O104" s="508"/>
      <c r="P104" s="508"/>
      <c r="Q104" s="321"/>
      <c r="R104" s="328"/>
      <c r="S104" s="26"/>
      <c r="T104" s="26"/>
      <c r="U104" s="26"/>
      <c r="V104" s="26"/>
      <c r="W104" s="26"/>
      <c r="X104" s="30"/>
      <c r="Y104" s="431"/>
      <c r="Z104" s="415"/>
      <c r="AA104" s="30"/>
      <c r="AB104" s="26"/>
      <c r="AC104" s="26"/>
      <c r="AD104" s="30"/>
      <c r="AE104" s="415"/>
      <c r="AF104" s="26"/>
      <c r="AG104" s="26"/>
      <c r="AH104" s="26"/>
      <c r="AI104" s="26"/>
      <c r="AJ104" s="26"/>
      <c r="AK104" s="26"/>
      <c r="AL104" s="26"/>
      <c r="AM104" s="26"/>
      <c r="AN104" s="26"/>
      <c r="AO104" s="26"/>
      <c r="AP104" s="26"/>
      <c r="AQ104" s="26"/>
      <c r="AR104" s="26"/>
      <c r="AS104" s="26"/>
      <c r="AT104" s="26"/>
    </row>
    <row r="105" spans="1:46">
      <c r="A105" s="26"/>
      <c r="B105" s="508"/>
      <c r="C105" s="508"/>
      <c r="D105" s="508"/>
      <c r="E105" s="508"/>
      <c r="F105" s="26"/>
      <c r="G105" s="26"/>
      <c r="H105" s="26"/>
      <c r="I105" s="26"/>
      <c r="J105" s="26"/>
      <c r="K105" s="26"/>
      <c r="L105" s="26"/>
      <c r="M105" s="26"/>
      <c r="N105" s="26"/>
      <c r="O105" s="508"/>
      <c r="P105" s="508"/>
      <c r="Q105" s="321"/>
      <c r="R105" s="328"/>
      <c r="S105" s="26"/>
      <c r="T105" s="26"/>
      <c r="U105" s="26"/>
      <c r="V105" s="26"/>
      <c r="W105" s="26"/>
      <c r="X105" s="30"/>
      <c r="Y105" s="431"/>
      <c r="Z105" s="415"/>
      <c r="AA105" s="30"/>
      <c r="AB105" s="26"/>
      <c r="AC105" s="26"/>
      <c r="AD105" s="30"/>
      <c r="AE105" s="415"/>
      <c r="AF105" s="414"/>
      <c r="AG105" s="26"/>
      <c r="AH105" s="26"/>
      <c r="AI105" s="26"/>
      <c r="AJ105" s="26"/>
      <c r="AK105" s="26"/>
      <c r="AL105" s="26"/>
      <c r="AM105" s="26"/>
      <c r="AN105" s="26"/>
      <c r="AO105" s="26"/>
      <c r="AP105" s="26"/>
      <c r="AQ105" s="26"/>
      <c r="AR105" s="26"/>
      <c r="AS105" s="26"/>
      <c r="AT105" s="26"/>
    </row>
    <row r="106" spans="1:46">
      <c r="A106" s="26"/>
      <c r="B106" s="508"/>
      <c r="C106" s="508"/>
      <c r="D106" s="508"/>
      <c r="E106" s="508"/>
      <c r="F106" s="26"/>
      <c r="G106" s="26"/>
      <c r="H106" s="26"/>
      <c r="I106" s="26"/>
      <c r="J106" s="26"/>
      <c r="K106" s="26"/>
      <c r="L106" s="26"/>
      <c r="M106" s="26"/>
      <c r="N106" s="26"/>
      <c r="O106" s="508"/>
      <c r="P106" s="508"/>
      <c r="Q106" s="321"/>
      <c r="R106" s="328"/>
      <c r="S106" s="26"/>
      <c r="T106" s="26"/>
      <c r="U106" s="26"/>
      <c r="V106" s="26"/>
      <c r="W106" s="26"/>
      <c r="X106" s="30"/>
      <c r="Y106" s="431"/>
      <c r="Z106" s="415"/>
      <c r="AA106" s="30"/>
      <c r="AB106" s="26"/>
      <c r="AC106" s="26"/>
      <c r="AD106" s="30"/>
      <c r="AE106" s="415"/>
      <c r="AF106" s="414"/>
      <c r="AG106" s="26"/>
      <c r="AH106" s="26"/>
      <c r="AI106" s="26"/>
      <c r="AJ106" s="26"/>
      <c r="AK106" s="26"/>
      <c r="AL106" s="26"/>
      <c r="AM106" s="26"/>
      <c r="AN106" s="26"/>
      <c r="AO106" s="26"/>
      <c r="AP106" s="26"/>
      <c r="AQ106" s="26"/>
      <c r="AR106" s="26"/>
      <c r="AS106" s="26"/>
      <c r="AT106" s="26"/>
    </row>
    <row r="107" spans="1:46">
      <c r="A107" s="26"/>
      <c r="B107" s="508"/>
      <c r="C107" s="508"/>
      <c r="D107" s="508"/>
      <c r="E107" s="508"/>
      <c r="F107" s="26"/>
      <c r="G107" s="26"/>
      <c r="H107" s="26"/>
      <c r="I107" s="26"/>
      <c r="J107" s="26"/>
      <c r="K107" s="26"/>
      <c r="L107" s="26"/>
      <c r="M107" s="26"/>
      <c r="N107" s="26"/>
      <c r="O107" s="508"/>
      <c r="P107" s="508"/>
      <c r="Q107" s="321"/>
      <c r="R107" s="328"/>
      <c r="S107" s="26"/>
      <c r="T107" s="26"/>
      <c r="U107" s="26"/>
      <c r="V107" s="26"/>
      <c r="W107" s="26"/>
      <c r="X107" s="30"/>
      <c r="Y107" s="431"/>
      <c r="Z107" s="415"/>
      <c r="AA107" s="30"/>
      <c r="AB107" s="26"/>
      <c r="AC107" s="26"/>
      <c r="AD107" s="30"/>
      <c r="AE107" s="415"/>
      <c r="AF107" s="414"/>
      <c r="AG107" s="26"/>
      <c r="AH107" s="26"/>
      <c r="AI107" s="26"/>
      <c r="AJ107" s="26"/>
      <c r="AK107" s="26"/>
      <c r="AL107" s="26"/>
      <c r="AM107" s="26"/>
      <c r="AN107" s="26"/>
      <c r="AO107" s="26"/>
      <c r="AP107" s="26"/>
      <c r="AQ107" s="26"/>
      <c r="AR107" s="26"/>
      <c r="AS107" s="26"/>
      <c r="AT107" s="26"/>
    </row>
    <row r="108" spans="1:46">
      <c r="A108" s="26"/>
      <c r="B108" s="508"/>
      <c r="C108" s="508"/>
      <c r="D108" s="508"/>
      <c r="E108" s="508"/>
      <c r="F108" s="26"/>
      <c r="G108" s="26"/>
      <c r="H108" s="26"/>
      <c r="I108" s="26"/>
      <c r="J108" s="26"/>
      <c r="K108" s="26"/>
      <c r="L108" s="26"/>
      <c r="M108" s="26"/>
      <c r="N108" s="26"/>
      <c r="O108" s="508"/>
      <c r="P108" s="508"/>
      <c r="Q108" s="321"/>
      <c r="R108" s="328"/>
      <c r="S108" s="26"/>
      <c r="T108" s="26"/>
      <c r="U108" s="26"/>
      <c r="V108" s="26"/>
      <c r="W108" s="26"/>
      <c r="X108" s="26"/>
      <c r="Y108" s="26"/>
      <c r="Z108" s="26"/>
      <c r="AA108" s="26"/>
      <c r="AB108" s="26"/>
      <c r="AC108" s="26"/>
      <c r="AD108" s="26"/>
      <c r="AE108" s="26"/>
      <c r="AF108" s="414"/>
      <c r="AG108" s="26"/>
      <c r="AH108" s="26"/>
      <c r="AI108" s="26"/>
      <c r="AJ108" s="26"/>
      <c r="AK108" s="26"/>
      <c r="AL108" s="26"/>
      <c r="AM108" s="26"/>
      <c r="AN108" s="26"/>
      <c r="AO108" s="26"/>
      <c r="AP108" s="26"/>
      <c r="AQ108" s="26"/>
      <c r="AR108" s="26"/>
      <c r="AS108" s="26"/>
      <c r="AT108" s="26"/>
    </row>
    <row r="109" spans="1:46">
      <c r="A109" s="26"/>
      <c r="B109" s="508"/>
      <c r="C109" s="508"/>
      <c r="D109" s="508"/>
      <c r="E109" s="508"/>
      <c r="F109" s="26"/>
      <c r="G109" s="26"/>
      <c r="H109" s="26"/>
      <c r="I109" s="26"/>
      <c r="J109" s="26"/>
      <c r="K109" s="26"/>
      <c r="L109" s="26"/>
      <c r="M109" s="26"/>
      <c r="N109" s="26"/>
      <c r="O109" s="508"/>
      <c r="P109" s="508"/>
      <c r="Q109" s="321"/>
      <c r="R109" s="328"/>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c r="A110" s="26"/>
      <c r="B110" s="508"/>
      <c r="C110" s="508"/>
      <c r="D110" s="508"/>
      <c r="E110" s="508"/>
      <c r="F110" s="26"/>
      <c r="G110" s="26"/>
      <c r="H110" s="26"/>
      <c r="I110" s="26"/>
      <c r="J110" s="26"/>
      <c r="K110" s="26"/>
      <c r="L110" s="26"/>
      <c r="M110" s="26"/>
      <c r="N110" s="26"/>
      <c r="O110" s="508"/>
      <c r="P110" s="508"/>
      <c r="Q110" s="321"/>
      <c r="R110" s="328"/>
      <c r="S110" s="26"/>
      <c r="T110" s="26"/>
      <c r="U110" s="26"/>
      <c r="V110" s="26"/>
      <c r="W110" s="26"/>
      <c r="X110" s="30"/>
      <c r="Y110" s="431"/>
      <c r="Z110" s="415"/>
      <c r="AA110" s="30"/>
      <c r="AB110" s="26"/>
      <c r="AC110" s="26"/>
      <c r="AD110" s="30"/>
      <c r="AE110" s="415"/>
      <c r="AF110" s="26"/>
      <c r="AG110" s="26"/>
      <c r="AH110" s="26"/>
      <c r="AI110" s="26"/>
      <c r="AJ110" s="26"/>
      <c r="AK110" s="26"/>
      <c r="AL110" s="26"/>
      <c r="AM110" s="26"/>
      <c r="AN110" s="26"/>
      <c r="AO110" s="26"/>
      <c r="AP110" s="26"/>
      <c r="AQ110" s="26"/>
      <c r="AR110" s="26"/>
      <c r="AS110" s="26"/>
      <c r="AT110" s="26"/>
    </row>
    <row r="111" spans="1:46">
      <c r="A111" s="26"/>
      <c r="B111" s="508"/>
      <c r="C111" s="508"/>
      <c r="D111" s="508"/>
      <c r="E111" s="508"/>
      <c r="F111" s="26"/>
      <c r="G111" s="26"/>
      <c r="H111" s="26"/>
      <c r="I111" s="26"/>
      <c r="J111" s="26"/>
      <c r="K111" s="26"/>
      <c r="L111" s="26"/>
      <c r="M111" s="26"/>
      <c r="N111" s="26"/>
      <c r="O111" s="508"/>
      <c r="P111" s="508"/>
      <c r="Q111" s="321"/>
      <c r="R111" s="328"/>
      <c r="S111" s="26"/>
      <c r="T111" s="26"/>
      <c r="U111" s="26"/>
      <c r="V111" s="26"/>
      <c r="W111" s="26"/>
      <c r="X111" s="30"/>
      <c r="Y111" s="431"/>
      <c r="Z111" s="415"/>
      <c r="AA111" s="30"/>
      <c r="AB111" s="26"/>
      <c r="AC111" s="26"/>
      <c r="AD111" s="30"/>
      <c r="AE111" s="415"/>
      <c r="AF111" s="26"/>
      <c r="AG111" s="26"/>
      <c r="AH111" s="26"/>
      <c r="AI111" s="26"/>
      <c r="AJ111" s="26"/>
      <c r="AK111" s="26"/>
      <c r="AL111" s="26"/>
      <c r="AM111" s="26"/>
      <c r="AN111" s="26"/>
      <c r="AO111" s="26"/>
      <c r="AP111" s="26"/>
      <c r="AQ111" s="26"/>
      <c r="AR111" s="26"/>
      <c r="AS111" s="26"/>
      <c r="AT111" s="26"/>
    </row>
    <row r="112" spans="1:46">
      <c r="A112" s="26"/>
      <c r="B112" s="508"/>
      <c r="C112" s="508"/>
      <c r="D112" s="508"/>
      <c r="E112" s="508"/>
      <c r="F112" s="26"/>
      <c r="G112" s="26"/>
      <c r="H112" s="26"/>
      <c r="I112" s="26"/>
      <c r="J112" s="26"/>
      <c r="K112" s="26"/>
      <c r="L112" s="26"/>
      <c r="M112" s="26"/>
      <c r="N112" s="26"/>
      <c r="O112" s="508"/>
      <c r="P112" s="508"/>
      <c r="Q112" s="321"/>
      <c r="R112" s="328"/>
      <c r="S112" s="26"/>
      <c r="T112" s="26"/>
      <c r="U112" s="26"/>
      <c r="V112" s="26"/>
      <c r="W112" s="26"/>
      <c r="X112" s="30"/>
      <c r="Y112" s="431"/>
      <c r="Z112" s="415"/>
      <c r="AA112" s="30"/>
      <c r="AB112" s="26"/>
      <c r="AC112" s="26"/>
      <c r="AD112" s="30"/>
      <c r="AE112" s="415"/>
      <c r="AF112" s="26"/>
      <c r="AG112" s="26"/>
      <c r="AH112" s="26"/>
      <c r="AI112" s="26"/>
      <c r="AJ112" s="26"/>
      <c r="AK112" s="26"/>
      <c r="AL112" s="26"/>
      <c r="AM112" s="26"/>
      <c r="AN112" s="26"/>
      <c r="AO112" s="26"/>
      <c r="AP112" s="26"/>
      <c r="AQ112" s="26"/>
      <c r="AR112" s="26"/>
      <c r="AS112" s="26"/>
      <c r="AT112" s="26"/>
    </row>
    <row r="113" spans="1:46">
      <c r="A113" s="26"/>
      <c r="B113" s="508"/>
      <c r="C113" s="508"/>
      <c r="D113" s="508"/>
      <c r="E113" s="508"/>
      <c r="F113" s="26"/>
      <c r="G113" s="26"/>
      <c r="H113" s="26"/>
      <c r="I113" s="26"/>
      <c r="J113" s="26"/>
      <c r="K113" s="26"/>
      <c r="L113" s="26"/>
      <c r="M113" s="26"/>
      <c r="N113" s="26"/>
      <c r="O113" s="508"/>
      <c r="P113" s="508"/>
      <c r="Q113" s="321"/>
      <c r="R113" s="328"/>
      <c r="S113" s="26"/>
      <c r="T113" s="26"/>
      <c r="U113" s="26"/>
      <c r="V113" s="26"/>
      <c r="W113" s="26"/>
      <c r="X113" s="30"/>
      <c r="Y113" s="431"/>
      <c r="Z113" s="415"/>
      <c r="AA113" s="30"/>
      <c r="AB113" s="26"/>
      <c r="AC113" s="26"/>
      <c r="AD113" s="30"/>
      <c r="AE113" s="415"/>
      <c r="AF113" s="26"/>
      <c r="AG113" s="26"/>
      <c r="AH113" s="26"/>
      <c r="AI113" s="26"/>
      <c r="AJ113" s="26"/>
      <c r="AK113" s="26"/>
      <c r="AL113" s="26"/>
      <c r="AM113" s="26"/>
      <c r="AN113" s="26"/>
      <c r="AO113" s="26"/>
      <c r="AP113" s="26"/>
      <c r="AQ113" s="26"/>
      <c r="AR113" s="26"/>
      <c r="AS113" s="26"/>
      <c r="AT113" s="26"/>
    </row>
  </sheetData>
  <mergeCells count="6">
    <mergeCell ref="B18:C18"/>
    <mergeCell ref="B2:C2"/>
    <mergeCell ref="AF2:AI2"/>
    <mergeCell ref="B15:C15"/>
    <mergeCell ref="C16:D16"/>
    <mergeCell ref="B17:C17"/>
  </mergeCells>
  <pageMargins left="0.25" right="0.25" top="0.75" bottom="0.75" header="0.3" footer="0.3"/>
  <pageSetup scale="66" orientation="landscape" r:id="rId1"/>
  <headerFooter>
    <oddFoote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3D2B-C7D1-4C99-993B-8304E1A85483}">
  <sheetPr>
    <pageSetUpPr fitToPage="1"/>
  </sheetPr>
  <dimension ref="A1:M42"/>
  <sheetViews>
    <sheetView topLeftCell="A7" workbookViewId="0">
      <selection activeCell="B21" sqref="B21"/>
    </sheetView>
  </sheetViews>
  <sheetFormatPr defaultRowHeight="15"/>
  <cols>
    <col min="1" max="1" width="78.77734375" customWidth="1"/>
    <col min="2" max="2" width="10.77734375" customWidth="1"/>
  </cols>
  <sheetData>
    <row r="1" spans="1:13" ht="15.75">
      <c r="A1" s="580" t="s">
        <v>16</v>
      </c>
      <c r="B1" s="580"/>
      <c r="C1" s="580"/>
      <c r="D1" s="89"/>
      <c r="E1" s="89"/>
      <c r="F1" s="89"/>
      <c r="G1" s="89"/>
      <c r="H1" s="89"/>
      <c r="I1" s="89"/>
      <c r="J1" s="89"/>
      <c r="K1" s="89"/>
      <c r="L1" s="89"/>
      <c r="M1" s="89"/>
    </row>
    <row r="2" spans="1:13" ht="15.75">
      <c r="A2" s="580" t="s">
        <v>1274</v>
      </c>
      <c r="B2" s="580"/>
      <c r="C2" s="580"/>
      <c r="D2" s="89"/>
      <c r="E2" s="89"/>
      <c r="F2" s="89"/>
      <c r="G2" s="89"/>
      <c r="H2" s="89"/>
      <c r="I2" s="89"/>
      <c r="J2" s="89"/>
      <c r="K2" s="89"/>
      <c r="L2" s="89"/>
      <c r="M2" s="89"/>
    </row>
    <row r="3" spans="1:13" ht="15.75">
      <c r="A3" s="580" t="s">
        <v>1275</v>
      </c>
      <c r="B3" s="580"/>
      <c r="C3" s="580"/>
      <c r="D3" s="89"/>
      <c r="E3" s="89"/>
      <c r="F3" s="89"/>
      <c r="G3" s="89"/>
      <c r="H3" s="89"/>
      <c r="I3" s="89"/>
      <c r="J3" s="89"/>
      <c r="K3" s="89"/>
      <c r="L3" s="89"/>
      <c r="M3" s="89"/>
    </row>
    <row r="4" spans="1:13" ht="15.75">
      <c r="A4" s="89"/>
      <c r="B4" s="89"/>
      <c r="C4" s="89"/>
      <c r="D4" s="89"/>
      <c r="E4" s="89"/>
      <c r="F4" s="89"/>
      <c r="G4" s="89"/>
      <c r="H4" s="89"/>
      <c r="I4" s="89"/>
      <c r="J4" s="89"/>
      <c r="K4" s="89"/>
      <c r="L4" s="89"/>
      <c r="M4" s="89"/>
    </row>
    <row r="5" spans="1:13" ht="56.25" customHeight="1">
      <c r="A5" s="600" t="s">
        <v>1287</v>
      </c>
      <c r="B5" s="576"/>
      <c r="C5" s="576"/>
      <c r="D5" s="576"/>
      <c r="E5" s="576"/>
      <c r="F5" s="576"/>
      <c r="G5" s="576"/>
      <c r="H5" s="89"/>
      <c r="I5" s="89"/>
      <c r="J5" s="89"/>
      <c r="K5" s="89"/>
      <c r="L5" s="89"/>
      <c r="M5" s="89"/>
    </row>
    <row r="6" spans="1:13" ht="9.75" customHeight="1">
      <c r="A6" s="89"/>
      <c r="B6" s="89"/>
      <c r="C6" s="89"/>
      <c r="D6" s="89"/>
      <c r="E6" s="89"/>
      <c r="F6" s="89"/>
      <c r="G6" s="89"/>
      <c r="H6" s="89"/>
      <c r="I6" s="89"/>
      <c r="J6" s="89"/>
      <c r="K6" s="89"/>
      <c r="L6" s="89"/>
      <c r="M6" s="89"/>
    </row>
    <row r="7" spans="1:13" ht="75">
      <c r="A7" s="599" t="s">
        <v>1282</v>
      </c>
      <c r="B7" s="89"/>
      <c r="C7" s="89"/>
      <c r="D7" s="89"/>
      <c r="E7" s="89"/>
      <c r="F7" s="89"/>
      <c r="G7" s="89"/>
      <c r="H7" s="89"/>
      <c r="I7" s="89"/>
      <c r="J7" s="89"/>
      <c r="K7" s="89"/>
      <c r="L7" s="89"/>
      <c r="M7" s="89"/>
    </row>
    <row r="8" spans="1:13" ht="8.25" customHeight="1">
      <c r="A8" s="89"/>
      <c r="B8" s="89"/>
      <c r="C8" s="89"/>
      <c r="D8" s="89"/>
      <c r="E8" s="89"/>
      <c r="F8" s="89"/>
      <c r="G8" s="89"/>
      <c r="H8" s="89"/>
      <c r="I8" s="89"/>
      <c r="J8" s="89"/>
      <c r="K8" s="89"/>
      <c r="L8" s="89"/>
      <c r="M8" s="89"/>
    </row>
    <row r="9" spans="1:13" ht="45">
      <c r="A9" s="600" t="s">
        <v>1283</v>
      </c>
      <c r="B9" s="89"/>
      <c r="C9" s="89"/>
      <c r="D9" s="89"/>
      <c r="E9" s="89"/>
      <c r="F9" s="89"/>
      <c r="G9" s="89"/>
      <c r="H9" s="89"/>
      <c r="I9" s="89"/>
      <c r="J9" s="89"/>
      <c r="K9" s="89"/>
      <c r="L9" s="89"/>
      <c r="M9" s="89"/>
    </row>
    <row r="10" spans="1:13" ht="8.25" customHeight="1">
      <c r="A10" s="600"/>
      <c r="B10" s="89"/>
      <c r="C10" s="89"/>
      <c r="D10" s="89"/>
      <c r="E10" s="89"/>
      <c r="F10" s="89"/>
      <c r="G10" s="89"/>
      <c r="H10" s="89"/>
      <c r="I10" s="89"/>
      <c r="J10" s="89"/>
      <c r="K10" s="89"/>
      <c r="L10" s="89"/>
      <c r="M10" s="89"/>
    </row>
    <row r="11" spans="1:13" ht="30">
      <c r="A11" s="600" t="s">
        <v>1412</v>
      </c>
      <c r="B11" s="89"/>
      <c r="C11" s="89"/>
      <c r="D11" s="89"/>
      <c r="E11" s="89"/>
      <c r="F11" s="89"/>
      <c r="G11" s="89"/>
      <c r="H11" s="89"/>
      <c r="I11" s="89"/>
      <c r="J11" s="89"/>
      <c r="K11" s="89"/>
      <c r="L11" s="89"/>
      <c r="M11" s="89"/>
    </row>
    <row r="12" spans="1:13" ht="8.25" customHeight="1">
      <c r="A12" s="600"/>
      <c r="B12" s="127"/>
      <c r="C12" s="89"/>
      <c r="D12" s="89"/>
      <c r="E12" s="89"/>
      <c r="F12" s="89"/>
      <c r="G12" s="89"/>
      <c r="H12" s="89"/>
      <c r="I12" s="89"/>
      <c r="J12" s="89"/>
      <c r="K12" s="89"/>
      <c r="L12" s="89"/>
      <c r="M12" s="89"/>
    </row>
    <row r="13" spans="1:13" ht="60">
      <c r="A13" s="600" t="s">
        <v>1288</v>
      </c>
      <c r="B13" s="127"/>
      <c r="C13" s="89"/>
      <c r="D13" s="89"/>
      <c r="E13" s="89"/>
      <c r="F13" s="89"/>
      <c r="G13" s="89"/>
      <c r="H13" s="89"/>
      <c r="I13" s="89"/>
      <c r="J13" s="89"/>
      <c r="K13" s="89"/>
      <c r="L13" s="89"/>
      <c r="M13" s="89"/>
    </row>
    <row r="14" spans="1:13" ht="8.25" customHeight="1">
      <c r="A14" s="89"/>
      <c r="B14" s="127"/>
      <c r="C14" s="89"/>
      <c r="D14" s="89"/>
      <c r="E14" s="89"/>
      <c r="F14" s="89"/>
      <c r="G14" s="89"/>
      <c r="H14" s="89"/>
      <c r="I14" s="89"/>
      <c r="J14" s="89"/>
      <c r="K14" s="89"/>
      <c r="L14" s="89"/>
      <c r="M14" s="89"/>
    </row>
    <row r="15" spans="1:13" ht="15.75">
      <c r="A15" s="89" t="s">
        <v>1271</v>
      </c>
      <c r="B15" s="127"/>
      <c r="C15" s="89"/>
      <c r="D15" s="89"/>
      <c r="E15" s="89"/>
      <c r="F15" s="89"/>
      <c r="G15" s="89"/>
      <c r="H15" s="89"/>
      <c r="I15" s="89"/>
      <c r="J15" s="89"/>
      <c r="K15" s="89"/>
      <c r="L15" s="89"/>
      <c r="M15" s="89"/>
    </row>
    <row r="16" spans="1:13" ht="30">
      <c r="A16" s="576" t="s">
        <v>1272</v>
      </c>
      <c r="B16" s="127"/>
      <c r="C16" s="89"/>
      <c r="D16" s="89"/>
      <c r="E16" s="89"/>
      <c r="F16" s="89"/>
      <c r="G16" s="89"/>
      <c r="H16" s="89"/>
      <c r="I16" s="89"/>
      <c r="J16" s="89"/>
      <c r="K16" s="89"/>
      <c r="L16" s="89"/>
      <c r="M16" s="89"/>
    </row>
    <row r="17" spans="1:13" ht="15.75">
      <c r="A17" s="89" t="s">
        <v>1263</v>
      </c>
      <c r="B17" s="582">
        <v>106</v>
      </c>
      <c r="C17" s="89" t="s">
        <v>1273</v>
      </c>
      <c r="D17" s="89"/>
      <c r="E17" s="89"/>
      <c r="F17" s="89"/>
      <c r="H17" s="89"/>
      <c r="I17" s="89"/>
      <c r="J17" s="89"/>
      <c r="K17" s="89"/>
      <c r="L17" s="89"/>
      <c r="M17" s="89"/>
    </row>
    <row r="18" spans="1:13" ht="15.75">
      <c r="A18" s="89" t="s">
        <v>1284</v>
      </c>
      <c r="B18" s="583">
        <v>13.67</v>
      </c>
      <c r="C18" s="89"/>
      <c r="D18" s="89"/>
      <c r="E18" s="89"/>
      <c r="F18" s="89"/>
      <c r="G18" s="89"/>
      <c r="H18" s="89"/>
      <c r="I18" s="89"/>
      <c r="J18" s="89"/>
      <c r="K18" s="89"/>
      <c r="L18" s="89"/>
      <c r="M18" s="89"/>
    </row>
    <row r="19" spans="1:13" ht="15.75">
      <c r="A19" s="89" t="s">
        <v>1276</v>
      </c>
      <c r="B19" s="582">
        <f>SUM(B17:B18)</f>
        <v>119.67</v>
      </c>
      <c r="C19" s="89" t="s">
        <v>1273</v>
      </c>
      <c r="D19" s="89"/>
      <c r="E19" s="89"/>
      <c r="F19" s="89"/>
      <c r="G19" s="89"/>
      <c r="H19" s="89"/>
      <c r="I19" s="89"/>
      <c r="J19" s="89"/>
      <c r="K19" s="89"/>
      <c r="L19" s="89"/>
      <c r="M19" s="89"/>
    </row>
    <row r="20" spans="1:13" ht="15.75">
      <c r="A20" s="89"/>
      <c r="B20" s="582"/>
      <c r="C20" s="89"/>
      <c r="D20" s="89"/>
      <c r="E20" s="89"/>
      <c r="F20" s="89"/>
      <c r="G20" s="89"/>
      <c r="H20" s="89"/>
      <c r="I20" s="89"/>
      <c r="J20" s="89"/>
      <c r="K20" s="89"/>
      <c r="L20" s="89"/>
      <c r="M20" s="89"/>
    </row>
    <row r="21" spans="1:13" ht="15.75">
      <c r="A21" s="89" t="s">
        <v>1285</v>
      </c>
      <c r="B21" s="601">
        <f>13.67*15820</f>
        <v>216259.4</v>
      </c>
      <c r="C21" s="89"/>
      <c r="D21" s="89"/>
      <c r="H21" s="89"/>
      <c r="I21" s="89"/>
      <c r="J21" s="89"/>
      <c r="K21" s="89"/>
      <c r="L21" s="89"/>
      <c r="M21" s="89"/>
    </row>
    <row r="22" spans="1:13" ht="15.75">
      <c r="A22" s="89"/>
      <c r="B22" s="89"/>
      <c r="C22" s="89"/>
      <c r="D22" s="89"/>
      <c r="H22" s="89"/>
      <c r="I22" s="89"/>
      <c r="J22" s="89"/>
      <c r="K22" s="89"/>
      <c r="L22" s="89"/>
      <c r="M22" s="89"/>
    </row>
    <row r="23" spans="1:13" ht="15.75">
      <c r="A23" s="581" t="s">
        <v>1277</v>
      </c>
      <c r="B23" s="89"/>
      <c r="C23" s="89"/>
      <c r="D23" s="89"/>
      <c r="H23" s="89"/>
      <c r="I23" s="89"/>
      <c r="J23" s="89"/>
      <c r="K23" s="89"/>
      <c r="L23" s="89"/>
      <c r="M23" s="89"/>
    </row>
    <row r="24" spans="1:13" ht="15.75">
      <c r="A24" s="581" t="s">
        <v>1264</v>
      </c>
      <c r="B24" s="584">
        <v>160</v>
      </c>
      <c r="C24" s="89"/>
      <c r="D24" s="89"/>
      <c r="H24" s="89"/>
      <c r="I24" s="89"/>
      <c r="J24" s="89"/>
      <c r="K24" s="89"/>
      <c r="L24" s="89"/>
      <c r="M24" s="89"/>
    </row>
    <row r="25" spans="1:13" ht="15.75">
      <c r="A25" s="581" t="s">
        <v>1265</v>
      </c>
      <c r="B25" s="584">
        <v>145</v>
      </c>
      <c r="C25" s="89"/>
      <c r="D25" s="89"/>
      <c r="H25" s="89"/>
      <c r="I25" s="89"/>
      <c r="J25" s="89"/>
      <c r="K25" s="89"/>
      <c r="L25" s="89"/>
      <c r="M25" s="89"/>
    </row>
    <row r="26" spans="1:13" ht="15.75">
      <c r="A26" s="581" t="s">
        <v>1266</v>
      </c>
      <c r="B26" s="584">
        <v>138</v>
      </c>
      <c r="C26" s="89"/>
      <c r="D26" s="89"/>
      <c r="H26" s="89"/>
      <c r="I26" s="89"/>
      <c r="J26" s="89"/>
      <c r="K26" s="89"/>
      <c r="L26" s="89"/>
      <c r="M26" s="89"/>
    </row>
    <row r="27" spans="1:13" ht="15.75">
      <c r="A27" s="581" t="s">
        <v>1267</v>
      </c>
      <c r="B27" s="584">
        <v>118</v>
      </c>
      <c r="C27" s="89"/>
      <c r="D27" s="89"/>
      <c r="H27" s="89"/>
      <c r="I27" s="89"/>
      <c r="J27" s="89"/>
      <c r="K27" s="89"/>
      <c r="L27" s="89"/>
      <c r="M27" s="89"/>
    </row>
    <row r="28" spans="1:13" ht="15.75">
      <c r="A28" s="89" t="s">
        <v>1278</v>
      </c>
      <c r="B28" s="127"/>
      <c r="C28" s="89"/>
      <c r="D28" s="89"/>
      <c r="E28" s="89"/>
      <c r="F28" s="89"/>
      <c r="G28" s="89"/>
      <c r="H28" s="89"/>
      <c r="I28" s="89"/>
      <c r="J28" s="89"/>
      <c r="K28" s="89"/>
      <c r="L28" s="89"/>
      <c r="M28" s="89"/>
    </row>
    <row r="29" spans="1:13" ht="15.75">
      <c r="A29" s="89"/>
      <c r="B29" s="127"/>
      <c r="C29" s="89"/>
      <c r="D29" s="89"/>
      <c r="E29" s="89"/>
      <c r="F29" s="89"/>
      <c r="G29" s="89"/>
      <c r="H29" s="89"/>
      <c r="I29" s="89"/>
      <c r="J29" s="89"/>
      <c r="K29" s="89"/>
      <c r="L29" s="89"/>
      <c r="M29" s="89"/>
    </row>
    <row r="30" spans="1:13" ht="30">
      <c r="A30" s="600" t="s">
        <v>1286</v>
      </c>
      <c r="B30" s="127"/>
      <c r="C30" s="89"/>
      <c r="D30" s="89"/>
      <c r="E30" s="89"/>
      <c r="F30" s="89"/>
      <c r="G30" s="89"/>
      <c r="H30" s="89"/>
      <c r="I30" s="89"/>
      <c r="J30" s="89"/>
      <c r="K30" s="89"/>
      <c r="L30" s="89"/>
      <c r="M30" s="89"/>
    </row>
    <row r="31" spans="1:13" ht="15.75">
      <c r="A31" s="89"/>
      <c r="B31" s="127"/>
      <c r="C31" s="89"/>
      <c r="D31" s="89"/>
      <c r="E31" s="89"/>
      <c r="F31" s="89"/>
      <c r="G31" s="89"/>
      <c r="H31" s="89"/>
      <c r="I31" s="89"/>
      <c r="J31" s="89"/>
      <c r="K31" s="89"/>
      <c r="L31" s="89"/>
      <c r="M31" s="89"/>
    </row>
    <row r="32" spans="1:13" ht="15.75">
      <c r="A32" s="89"/>
      <c r="B32" s="127"/>
      <c r="C32" s="89"/>
      <c r="D32" s="89"/>
      <c r="E32" s="89"/>
      <c r="F32" s="89"/>
      <c r="G32" s="89"/>
      <c r="H32" s="89"/>
      <c r="I32" s="89"/>
      <c r="J32" s="89"/>
      <c r="K32" s="89"/>
      <c r="L32" s="89"/>
      <c r="M32" s="89"/>
    </row>
    <row r="33" spans="1:13" ht="15.75">
      <c r="A33" s="89"/>
      <c r="B33" s="127"/>
      <c r="C33" s="89"/>
      <c r="D33" s="89"/>
      <c r="E33" s="89"/>
      <c r="F33" s="89"/>
      <c r="G33" s="89"/>
      <c r="H33" s="89"/>
      <c r="I33" s="89"/>
      <c r="J33" s="89"/>
      <c r="K33" s="89"/>
      <c r="L33" s="89"/>
      <c r="M33" s="89"/>
    </row>
    <row r="34" spans="1:13" ht="15.75">
      <c r="A34" s="89"/>
      <c r="B34" s="127"/>
      <c r="C34" s="89"/>
      <c r="D34" s="89"/>
      <c r="E34" s="89"/>
      <c r="F34" s="89"/>
      <c r="G34" s="89"/>
      <c r="H34" s="89"/>
      <c r="I34" s="89"/>
      <c r="J34" s="89"/>
      <c r="K34" s="89"/>
      <c r="L34" s="89"/>
      <c r="M34" s="89"/>
    </row>
    <row r="35" spans="1:13" ht="15.75">
      <c r="A35" s="89"/>
      <c r="B35" s="127"/>
      <c r="C35" s="89"/>
      <c r="D35" s="89"/>
      <c r="E35" s="89"/>
      <c r="F35" s="89"/>
      <c r="G35" s="89"/>
      <c r="H35" s="89"/>
      <c r="I35" s="89"/>
      <c r="J35" s="89"/>
      <c r="K35" s="89"/>
      <c r="L35" s="89"/>
      <c r="M35" s="89"/>
    </row>
    <row r="36" spans="1:13" ht="15.75">
      <c r="A36" s="89"/>
      <c r="B36" s="127"/>
      <c r="C36" s="89"/>
      <c r="D36" s="89"/>
    </row>
    <row r="37" spans="1:13" ht="15.75">
      <c r="A37" s="89"/>
      <c r="B37" s="127"/>
      <c r="C37" s="89"/>
      <c r="D37" s="89"/>
    </row>
    <row r="38" spans="1:13" ht="15.75">
      <c r="A38" s="89"/>
      <c r="B38" s="127"/>
      <c r="C38" s="89"/>
      <c r="D38" s="89"/>
    </row>
    <row r="39" spans="1:13" ht="15.75">
      <c r="A39" s="89"/>
      <c r="B39" s="127"/>
      <c r="C39" s="89"/>
      <c r="D39" s="89"/>
    </row>
    <row r="40" spans="1:13" ht="15.75">
      <c r="A40" s="89"/>
      <c r="B40" s="127"/>
      <c r="C40" s="89"/>
      <c r="D40" s="89"/>
    </row>
    <row r="41" spans="1:13" ht="15.75">
      <c r="A41" s="89"/>
      <c r="B41" s="127"/>
      <c r="C41" s="89"/>
      <c r="D41" s="89"/>
    </row>
    <row r="42" spans="1:13" ht="15.75">
      <c r="A42" s="89"/>
      <c r="B42" s="127"/>
      <c r="C42" s="89"/>
      <c r="D42" s="89"/>
    </row>
  </sheetData>
  <pageMargins left="0.45" right="0.2" top="0.75" bottom="0.75" header="0.3" footer="0.3"/>
  <pageSetup scale="85" fitToHeight="0" orientation="portrait" r:id="rId1"/>
  <rowBreaks count="1" manualBreakCount="1">
    <brk id="33" max="2"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8DE31-65ED-4CB8-908A-C33D2DD2A5B6}">
  <sheetPr>
    <pageSetUpPr fitToPage="1"/>
  </sheetPr>
  <dimension ref="A1:Y29"/>
  <sheetViews>
    <sheetView topLeftCell="A13" workbookViewId="0">
      <selection activeCell="O13" sqref="O13"/>
    </sheetView>
  </sheetViews>
  <sheetFormatPr defaultRowHeight="15"/>
  <cols>
    <col min="1" max="1" width="2.33203125" customWidth="1"/>
    <col min="2" max="2" width="4.88671875" customWidth="1"/>
    <col min="3" max="4" width="1.77734375" customWidth="1"/>
    <col min="5" max="5" width="11.109375" bestFit="1" customWidth="1"/>
    <col min="6" max="6" width="1.77734375" customWidth="1"/>
    <col min="7" max="7" width="7" bestFit="1" customWidth="1"/>
    <col min="8" max="8" width="1.77734375" customWidth="1"/>
    <col min="9" max="9" width="9.77734375" bestFit="1" customWidth="1"/>
    <col min="10" max="10" width="1.77734375" customWidth="1"/>
    <col min="11" max="11" width="20" bestFit="1" customWidth="1"/>
    <col min="12" max="12" width="1.77734375" customWidth="1"/>
    <col min="13" max="13" width="20.5546875" customWidth="1"/>
    <col min="14" max="14" width="1.77734375" customWidth="1"/>
    <col min="15" max="15" width="18.109375" customWidth="1"/>
    <col min="16" max="16" width="1.77734375" customWidth="1"/>
    <col min="17" max="17" width="6.109375" bestFit="1" customWidth="1"/>
    <col min="18" max="18" width="1.77734375" customWidth="1"/>
    <col min="19" max="19" width="18.33203125" bestFit="1" customWidth="1"/>
    <col min="20" max="20" width="1.77734375" customWidth="1"/>
    <col min="21" max="21" width="7.44140625" bestFit="1" customWidth="1"/>
    <col min="22" max="22" width="1.77734375" customWidth="1"/>
    <col min="23" max="23" width="8.109375" bestFit="1" customWidth="1"/>
    <col min="24" max="24" width="1.77734375" customWidth="1"/>
    <col min="25" max="25" width="9" bestFit="1" customWidth="1"/>
  </cols>
  <sheetData>
    <row r="1" spans="1:25" ht="15.75" thickBot="1">
      <c r="A1" s="18"/>
      <c r="B1" s="18"/>
      <c r="C1" s="18"/>
      <c r="D1" s="18"/>
      <c r="E1" s="17" t="s">
        <v>1092</v>
      </c>
      <c r="F1" s="18"/>
      <c r="G1" s="17" t="s">
        <v>1138</v>
      </c>
      <c r="H1" s="18"/>
      <c r="I1" s="17" t="s">
        <v>1139</v>
      </c>
      <c r="J1" s="18"/>
      <c r="K1" s="17" t="s">
        <v>1140</v>
      </c>
      <c r="L1" s="18"/>
      <c r="M1" s="17" t="s">
        <v>1141</v>
      </c>
      <c r="N1" s="18"/>
      <c r="O1" s="17" t="s">
        <v>1142</v>
      </c>
      <c r="P1" s="18"/>
      <c r="Q1" s="17" t="s">
        <v>1143</v>
      </c>
      <c r="R1" s="18"/>
      <c r="S1" s="17" t="s">
        <v>1144</v>
      </c>
      <c r="T1" s="18"/>
      <c r="U1" s="17" t="s">
        <v>1145</v>
      </c>
      <c r="V1" s="18"/>
      <c r="W1" s="17" t="s">
        <v>1146</v>
      </c>
      <c r="X1" s="18"/>
      <c r="Y1" s="17" t="s">
        <v>1147</v>
      </c>
    </row>
    <row r="2" spans="1:25" ht="15.75" thickTop="1">
      <c r="A2" s="19"/>
      <c r="B2" s="19" t="s">
        <v>347</v>
      </c>
      <c r="C2" s="19"/>
      <c r="D2" s="19"/>
      <c r="E2" s="19"/>
      <c r="F2" s="19"/>
      <c r="G2" s="619"/>
      <c r="H2" s="19"/>
      <c r="I2" s="19"/>
      <c r="J2" s="19"/>
      <c r="K2" s="19"/>
      <c r="L2" s="19"/>
      <c r="M2" s="19"/>
      <c r="N2" s="19"/>
      <c r="O2" s="19"/>
      <c r="P2" s="19"/>
      <c r="Q2" s="19"/>
      <c r="R2" s="19"/>
      <c r="S2" s="19"/>
      <c r="T2" s="19"/>
      <c r="U2" s="620"/>
      <c r="V2" s="19"/>
      <c r="W2" s="620"/>
      <c r="X2" s="19"/>
      <c r="Y2" s="620"/>
    </row>
    <row r="3" spans="1:25">
      <c r="A3" s="21"/>
      <c r="B3" s="21"/>
      <c r="C3" s="21"/>
      <c r="D3" s="21"/>
      <c r="E3" s="21" t="s">
        <v>1164</v>
      </c>
      <c r="F3" s="21"/>
      <c r="G3" s="621">
        <v>43190</v>
      </c>
      <c r="H3" s="21"/>
      <c r="I3" s="21" t="s">
        <v>1313</v>
      </c>
      <c r="J3" s="21"/>
      <c r="K3" s="21"/>
      <c r="L3" s="21"/>
      <c r="M3" s="21" t="s">
        <v>1314</v>
      </c>
      <c r="N3" s="21"/>
      <c r="O3" s="21" t="s">
        <v>1151</v>
      </c>
      <c r="P3" s="21"/>
      <c r="Q3" s="622"/>
      <c r="R3" s="21"/>
      <c r="S3" s="21" t="s">
        <v>96</v>
      </c>
      <c r="T3" s="21"/>
      <c r="U3" s="20">
        <v>23000</v>
      </c>
      <c r="V3" s="21"/>
      <c r="W3" s="20"/>
      <c r="X3" s="21"/>
      <c r="Y3" s="20">
        <v>23000</v>
      </c>
    </row>
    <row r="4" spans="1:25">
      <c r="A4" s="21"/>
      <c r="B4" s="21"/>
      <c r="C4" s="21"/>
      <c r="D4" s="21"/>
      <c r="E4" s="21" t="s">
        <v>1148</v>
      </c>
      <c r="F4" s="21"/>
      <c r="G4" s="621">
        <v>43215</v>
      </c>
      <c r="H4" s="21"/>
      <c r="I4" s="21" t="s">
        <v>1315</v>
      </c>
      <c r="J4" s="21"/>
      <c r="K4" s="21" t="s">
        <v>1316</v>
      </c>
      <c r="L4" s="21"/>
      <c r="M4" s="21"/>
      <c r="N4" s="21"/>
      <c r="O4" s="21" t="s">
        <v>1151</v>
      </c>
      <c r="P4" s="21"/>
      <c r="Q4" s="622"/>
      <c r="R4" s="21"/>
      <c r="S4" s="21" t="s">
        <v>80</v>
      </c>
      <c r="T4" s="21"/>
      <c r="U4" s="20">
        <v>1050.98</v>
      </c>
      <c r="V4" s="21"/>
      <c r="W4" s="20"/>
      <c r="X4" s="21"/>
      <c r="Y4" s="20">
        <v>24050.98</v>
      </c>
    </row>
    <row r="5" spans="1:25">
      <c r="A5" s="21"/>
      <c r="B5" s="21"/>
      <c r="C5" s="21"/>
      <c r="D5" s="21"/>
      <c r="E5" s="21" t="s">
        <v>1148</v>
      </c>
      <c r="F5" s="21"/>
      <c r="G5" s="621">
        <v>43279</v>
      </c>
      <c r="H5" s="21"/>
      <c r="I5" s="21" t="s">
        <v>1317</v>
      </c>
      <c r="J5" s="21"/>
      <c r="K5" s="21" t="s">
        <v>1318</v>
      </c>
      <c r="L5" s="21"/>
      <c r="M5" s="21" t="s">
        <v>1319</v>
      </c>
      <c r="N5" s="21"/>
      <c r="O5" s="21" t="s">
        <v>1151</v>
      </c>
      <c r="P5" s="21"/>
      <c r="Q5" s="622"/>
      <c r="R5" s="21"/>
      <c r="S5" s="21" t="s">
        <v>80</v>
      </c>
      <c r="T5" s="21"/>
      <c r="U5" s="20">
        <v>52</v>
      </c>
      <c r="V5" s="21"/>
      <c r="W5" s="20"/>
      <c r="X5" s="21"/>
      <c r="Y5" s="20">
        <v>24102.98</v>
      </c>
    </row>
    <row r="6" spans="1:25">
      <c r="A6" s="21"/>
      <c r="B6" s="21"/>
      <c r="C6" s="21"/>
      <c r="D6" s="21"/>
      <c r="E6" s="21" t="s">
        <v>1164</v>
      </c>
      <c r="F6" s="21"/>
      <c r="G6" s="621">
        <v>43281</v>
      </c>
      <c r="H6" s="21"/>
      <c r="I6" s="21" t="s">
        <v>1165</v>
      </c>
      <c r="J6" s="21"/>
      <c r="K6" s="21"/>
      <c r="L6" s="21"/>
      <c r="M6" s="21"/>
      <c r="N6" s="21"/>
      <c r="O6" s="21" t="s">
        <v>1151</v>
      </c>
      <c r="P6" s="21"/>
      <c r="Q6" s="622"/>
      <c r="R6" s="21"/>
      <c r="S6" s="21" t="s">
        <v>1167</v>
      </c>
      <c r="T6" s="21"/>
      <c r="U6" s="20"/>
      <c r="V6" s="21"/>
      <c r="W6" s="20">
        <v>72490.98</v>
      </c>
      <c r="X6" s="21"/>
      <c r="Y6" s="20">
        <v>-48388</v>
      </c>
    </row>
    <row r="7" spans="1:25">
      <c r="A7" s="21"/>
      <c r="B7" s="21"/>
      <c r="C7" s="21"/>
      <c r="D7" s="21"/>
      <c r="E7" s="21" t="s">
        <v>1164</v>
      </c>
      <c r="F7" s="21"/>
      <c r="G7" s="621">
        <v>43281</v>
      </c>
      <c r="H7" s="21"/>
      <c r="I7" s="21" t="s">
        <v>1165</v>
      </c>
      <c r="J7" s="21"/>
      <c r="K7" s="21"/>
      <c r="L7" s="21"/>
      <c r="M7" s="21"/>
      <c r="N7" s="21"/>
      <c r="O7" s="21" t="s">
        <v>1320</v>
      </c>
      <c r="P7" s="21"/>
      <c r="Q7" s="622"/>
      <c r="R7" s="21"/>
      <c r="S7" s="21" t="s">
        <v>347</v>
      </c>
      <c r="T7" s="21"/>
      <c r="U7" s="20">
        <v>24465.71</v>
      </c>
      <c r="V7" s="21"/>
      <c r="W7" s="20"/>
      <c r="X7" s="21"/>
      <c r="Y7" s="20">
        <v>-23922.29</v>
      </c>
    </row>
    <row r="8" spans="1:25">
      <c r="A8" s="21"/>
      <c r="B8" s="21"/>
      <c r="C8" s="21"/>
      <c r="D8" s="21"/>
      <c r="E8" s="21" t="s">
        <v>1164</v>
      </c>
      <c r="F8" s="21"/>
      <c r="G8" s="621">
        <v>43281</v>
      </c>
      <c r="H8" s="21"/>
      <c r="I8" s="21" t="s">
        <v>1165</v>
      </c>
      <c r="J8" s="21"/>
      <c r="K8" s="21"/>
      <c r="L8" s="21"/>
      <c r="M8" s="21"/>
      <c r="N8" s="21"/>
      <c r="O8" s="21" t="s">
        <v>1321</v>
      </c>
      <c r="P8" s="21"/>
      <c r="Q8" s="622"/>
      <c r="R8" s="21"/>
      <c r="S8" s="21" t="s">
        <v>347</v>
      </c>
      <c r="T8" s="21"/>
      <c r="U8" s="20">
        <v>5059.87</v>
      </c>
      <c r="V8" s="21"/>
      <c r="W8" s="20"/>
      <c r="X8" s="21"/>
      <c r="Y8" s="20">
        <v>-18862.419999999998</v>
      </c>
    </row>
    <row r="9" spans="1:25">
      <c r="A9" s="21"/>
      <c r="B9" s="21"/>
      <c r="C9" s="21"/>
      <c r="D9" s="21"/>
      <c r="E9" s="21" t="s">
        <v>1164</v>
      </c>
      <c r="F9" s="21"/>
      <c r="G9" s="621">
        <v>43281</v>
      </c>
      <c r="H9" s="21"/>
      <c r="I9" s="21" t="s">
        <v>1165</v>
      </c>
      <c r="J9" s="21"/>
      <c r="K9" s="21"/>
      <c r="L9" s="21"/>
      <c r="M9" s="21"/>
      <c r="N9" s="21"/>
      <c r="O9" s="21" t="s">
        <v>1322</v>
      </c>
      <c r="P9" s="21"/>
      <c r="Q9" s="622"/>
      <c r="R9" s="21"/>
      <c r="S9" s="21" t="s">
        <v>347</v>
      </c>
      <c r="T9" s="21"/>
      <c r="U9" s="20">
        <v>8430.7000000000007</v>
      </c>
      <c r="V9" s="21"/>
      <c r="W9" s="20"/>
      <c r="X9" s="21"/>
      <c r="Y9" s="20">
        <v>-10431.719999999999</v>
      </c>
    </row>
    <row r="10" spans="1:25">
      <c r="A10" s="21"/>
      <c r="B10" s="21"/>
      <c r="C10" s="21"/>
      <c r="D10" s="21"/>
      <c r="E10" s="21" t="s">
        <v>1164</v>
      </c>
      <c r="F10" s="21"/>
      <c r="G10" s="621">
        <v>43281</v>
      </c>
      <c r="H10" s="21"/>
      <c r="I10" s="21" t="s">
        <v>1165</v>
      </c>
      <c r="J10" s="21"/>
      <c r="K10" s="21"/>
      <c r="L10" s="21"/>
      <c r="M10" s="21"/>
      <c r="N10" s="21"/>
      <c r="O10" s="21" t="s">
        <v>1323</v>
      </c>
      <c r="P10" s="21"/>
      <c r="Q10" s="622"/>
      <c r="R10" s="21"/>
      <c r="S10" s="21" t="s">
        <v>347</v>
      </c>
      <c r="T10" s="21"/>
      <c r="U10" s="20">
        <v>11816.03</v>
      </c>
      <c r="V10" s="21"/>
      <c r="W10" s="20"/>
      <c r="X10" s="21"/>
      <c r="Y10" s="20">
        <v>1384.31</v>
      </c>
    </row>
    <row r="11" spans="1:25">
      <c r="A11" s="21"/>
      <c r="B11" s="21"/>
      <c r="C11" s="21"/>
      <c r="D11" s="21"/>
      <c r="E11" s="21" t="s">
        <v>1164</v>
      </c>
      <c r="F11" s="21"/>
      <c r="G11" s="621">
        <v>43281</v>
      </c>
      <c r="H11" s="21"/>
      <c r="I11" s="21" t="s">
        <v>1165</v>
      </c>
      <c r="J11" s="21"/>
      <c r="K11" s="21"/>
      <c r="L11" s="21"/>
      <c r="M11" s="21"/>
      <c r="N11" s="21"/>
      <c r="O11" s="21" t="s">
        <v>1324</v>
      </c>
      <c r="P11" s="21"/>
      <c r="Q11" s="622"/>
      <c r="R11" s="21"/>
      <c r="S11" s="21" t="s">
        <v>347</v>
      </c>
      <c r="T11" s="21"/>
      <c r="U11" s="20">
        <v>8430.6</v>
      </c>
      <c r="V11" s="21"/>
      <c r="W11" s="20"/>
      <c r="X11" s="21"/>
      <c r="Y11" s="20">
        <v>9814.91</v>
      </c>
    </row>
    <row r="12" spans="1:25">
      <c r="A12" s="21"/>
      <c r="B12" s="21"/>
      <c r="C12" s="21"/>
      <c r="D12" s="21"/>
      <c r="E12" s="21" t="s">
        <v>1164</v>
      </c>
      <c r="F12" s="21"/>
      <c r="G12" s="621">
        <v>43281</v>
      </c>
      <c r="H12" s="21"/>
      <c r="I12" s="21" t="s">
        <v>1165</v>
      </c>
      <c r="J12" s="21"/>
      <c r="K12" s="21"/>
      <c r="L12" s="21"/>
      <c r="M12" s="21"/>
      <c r="N12" s="21"/>
      <c r="O12" s="21" t="s">
        <v>1325</v>
      </c>
      <c r="P12" s="21"/>
      <c r="Q12" s="622"/>
      <c r="R12" s="21"/>
      <c r="S12" s="21" t="s">
        <v>347</v>
      </c>
      <c r="T12" s="21"/>
      <c r="U12" s="20">
        <v>4168.2299999999996</v>
      </c>
      <c r="V12" s="21"/>
      <c r="W12" s="20"/>
      <c r="X12" s="21"/>
      <c r="Y12" s="20">
        <v>13983.14</v>
      </c>
    </row>
    <row r="13" spans="1:25">
      <c r="A13" s="21"/>
      <c r="B13" s="21"/>
      <c r="C13" s="21"/>
      <c r="D13" s="21"/>
      <c r="E13" s="21" t="s">
        <v>1164</v>
      </c>
      <c r="F13" s="21"/>
      <c r="G13" s="621">
        <v>43281</v>
      </c>
      <c r="H13" s="21"/>
      <c r="I13" s="21" t="s">
        <v>1165</v>
      </c>
      <c r="J13" s="21"/>
      <c r="K13" s="21"/>
      <c r="L13" s="21"/>
      <c r="M13" s="21"/>
      <c r="N13" s="21"/>
      <c r="O13" s="21" t="s">
        <v>1326</v>
      </c>
      <c r="P13" s="21"/>
      <c r="Q13" s="622"/>
      <c r="R13" s="21"/>
      <c r="S13" s="21" t="s">
        <v>347</v>
      </c>
      <c r="T13" s="21"/>
      <c r="U13" s="20">
        <v>5059.87</v>
      </c>
      <c r="V13" s="21"/>
      <c r="W13" s="20"/>
      <c r="X13" s="21"/>
      <c r="Y13" s="20">
        <v>19043.009999999998</v>
      </c>
    </row>
    <row r="14" spans="1:25">
      <c r="A14" s="21"/>
      <c r="B14" s="21"/>
      <c r="C14" s="21"/>
      <c r="D14" s="21"/>
      <c r="E14" s="21" t="s">
        <v>1164</v>
      </c>
      <c r="F14" s="21"/>
      <c r="G14" s="621">
        <v>43281</v>
      </c>
      <c r="H14" s="21"/>
      <c r="I14" s="21" t="s">
        <v>1165</v>
      </c>
      <c r="J14" s="21"/>
      <c r="K14" s="21"/>
      <c r="L14" s="21"/>
      <c r="M14" s="21"/>
      <c r="N14" s="21"/>
      <c r="O14" s="21" t="s">
        <v>1327</v>
      </c>
      <c r="P14" s="21"/>
      <c r="Q14" s="622"/>
      <c r="R14" s="21"/>
      <c r="S14" s="21" t="s">
        <v>347</v>
      </c>
      <c r="T14" s="21"/>
      <c r="U14" s="20">
        <v>5059.97</v>
      </c>
      <c r="V14" s="21"/>
      <c r="W14" s="20"/>
      <c r="X14" s="21"/>
      <c r="Y14" s="20">
        <v>24102.98</v>
      </c>
    </row>
    <row r="15" spans="1:25">
      <c r="A15" s="21"/>
      <c r="B15" s="21"/>
      <c r="C15" s="21"/>
      <c r="D15" s="21"/>
      <c r="E15" s="21" t="s">
        <v>1185</v>
      </c>
      <c r="F15" s="21"/>
      <c r="G15" s="621">
        <v>43304</v>
      </c>
      <c r="H15" s="21"/>
      <c r="I15" s="21" t="s">
        <v>1328</v>
      </c>
      <c r="J15" s="21"/>
      <c r="K15" s="21" t="s">
        <v>1329</v>
      </c>
      <c r="L15" s="21"/>
      <c r="M15" s="21" t="s">
        <v>1330</v>
      </c>
      <c r="N15" s="21"/>
      <c r="O15" s="21" t="s">
        <v>1151</v>
      </c>
      <c r="P15" s="21"/>
      <c r="Q15" s="622"/>
      <c r="R15" s="21"/>
      <c r="S15" s="21" t="s">
        <v>85</v>
      </c>
      <c r="T15" s="21"/>
      <c r="U15" s="20">
        <v>49.99</v>
      </c>
      <c r="V15" s="21"/>
      <c r="W15" s="20"/>
      <c r="X15" s="21"/>
      <c r="Y15" s="20">
        <v>24152.97</v>
      </c>
    </row>
    <row r="16" spans="1:25">
      <c r="A16" s="21"/>
      <c r="B16" s="21"/>
      <c r="C16" s="21"/>
      <c r="D16" s="21"/>
      <c r="E16" s="21" t="s">
        <v>1148</v>
      </c>
      <c r="F16" s="21"/>
      <c r="G16" s="621">
        <v>43306</v>
      </c>
      <c r="H16" s="21"/>
      <c r="I16" s="21" t="s">
        <v>1331</v>
      </c>
      <c r="J16" s="21"/>
      <c r="K16" s="21" t="s">
        <v>1332</v>
      </c>
      <c r="L16" s="21"/>
      <c r="M16" s="21" t="s">
        <v>1333</v>
      </c>
      <c r="N16" s="21"/>
      <c r="O16" s="21" t="s">
        <v>1151</v>
      </c>
      <c r="P16" s="21"/>
      <c r="Q16" s="622"/>
      <c r="R16" s="21"/>
      <c r="S16" s="21" t="s">
        <v>80</v>
      </c>
      <c r="T16" s="21"/>
      <c r="U16" s="20">
        <v>2554</v>
      </c>
      <c r="V16" s="21"/>
      <c r="W16" s="20"/>
      <c r="X16" s="21"/>
      <c r="Y16" s="20">
        <v>26706.97</v>
      </c>
    </row>
    <row r="17" spans="1:25">
      <c r="A17" s="21"/>
      <c r="B17" s="21"/>
      <c r="C17" s="21"/>
      <c r="D17" s="21"/>
      <c r="E17" s="21" t="s">
        <v>1148</v>
      </c>
      <c r="F17" s="21"/>
      <c r="G17" s="621">
        <v>43376</v>
      </c>
      <c r="H17" s="21"/>
      <c r="I17" s="21" t="s">
        <v>1334</v>
      </c>
      <c r="J17" s="21"/>
      <c r="K17" s="21" t="s">
        <v>1335</v>
      </c>
      <c r="L17" s="21"/>
      <c r="M17" s="21" t="s">
        <v>1336</v>
      </c>
      <c r="N17" s="21"/>
      <c r="O17" s="21" t="s">
        <v>1151</v>
      </c>
      <c r="P17" s="21"/>
      <c r="Q17" s="622"/>
      <c r="R17" s="21"/>
      <c r="S17" s="21" t="s">
        <v>80</v>
      </c>
      <c r="T17" s="21"/>
      <c r="U17" s="20">
        <v>2565</v>
      </c>
      <c r="V17" s="21"/>
      <c r="W17" s="20"/>
      <c r="X17" s="21"/>
      <c r="Y17" s="20">
        <v>29271.97</v>
      </c>
    </row>
    <row r="18" spans="1:25">
      <c r="A18" s="21"/>
      <c r="B18" s="21"/>
      <c r="C18" s="21"/>
      <c r="D18" s="21"/>
      <c r="E18" s="21" t="s">
        <v>1164</v>
      </c>
      <c r="F18" s="21"/>
      <c r="G18" s="621">
        <v>43404</v>
      </c>
      <c r="H18" s="21"/>
      <c r="I18" s="21" t="s">
        <v>1313</v>
      </c>
      <c r="J18" s="21"/>
      <c r="K18" s="21"/>
      <c r="L18" s="21"/>
      <c r="M18" s="21" t="s">
        <v>1314</v>
      </c>
      <c r="N18" s="21"/>
      <c r="O18" s="21" t="s">
        <v>1151</v>
      </c>
      <c r="P18" s="21"/>
      <c r="Q18" s="622"/>
      <c r="R18" s="21"/>
      <c r="S18" s="21" t="s">
        <v>96</v>
      </c>
      <c r="T18" s="21"/>
      <c r="U18" s="20">
        <v>65802.3</v>
      </c>
      <c r="V18" s="21"/>
      <c r="W18" s="20"/>
      <c r="X18" s="21"/>
      <c r="Y18" s="20">
        <v>95074.27</v>
      </c>
    </row>
    <row r="19" spans="1:25">
      <c r="A19" s="21"/>
      <c r="B19" s="21"/>
      <c r="C19" s="21"/>
      <c r="D19" s="21"/>
      <c r="E19" s="21" t="s">
        <v>1148</v>
      </c>
      <c r="F19" s="21"/>
      <c r="G19" s="621">
        <v>43410</v>
      </c>
      <c r="H19" s="21"/>
      <c r="I19" s="21" t="s">
        <v>1337</v>
      </c>
      <c r="J19" s="21"/>
      <c r="K19" s="21" t="s">
        <v>1335</v>
      </c>
      <c r="L19" s="21"/>
      <c r="M19" s="21" t="s">
        <v>1336</v>
      </c>
      <c r="N19" s="21"/>
      <c r="O19" s="21"/>
      <c r="P19" s="21"/>
      <c r="Q19" s="622"/>
      <c r="R19" s="21"/>
      <c r="S19" s="21" t="s">
        <v>80</v>
      </c>
      <c r="T19" s="21"/>
      <c r="U19" s="20">
        <v>7431.8</v>
      </c>
      <c r="V19" s="21"/>
      <c r="W19" s="20"/>
      <c r="X19" s="21"/>
      <c r="Y19" s="20">
        <v>102506.07</v>
      </c>
    </row>
    <row r="20" spans="1:25">
      <c r="A20" s="21"/>
      <c r="B20" s="21"/>
      <c r="C20" s="21"/>
      <c r="D20" s="21"/>
      <c r="E20" s="21" t="s">
        <v>1148</v>
      </c>
      <c r="F20" s="21"/>
      <c r="G20" s="621">
        <v>43439</v>
      </c>
      <c r="H20" s="21"/>
      <c r="I20" s="21" t="s">
        <v>1338</v>
      </c>
      <c r="J20" s="21"/>
      <c r="K20" s="21" t="s">
        <v>1335</v>
      </c>
      <c r="L20" s="21"/>
      <c r="M20" s="21" t="s">
        <v>1336</v>
      </c>
      <c r="N20" s="21"/>
      <c r="O20" s="21" t="s">
        <v>1151</v>
      </c>
      <c r="P20" s="21"/>
      <c r="Q20" s="622"/>
      <c r="R20" s="21"/>
      <c r="S20" s="21" t="s">
        <v>80</v>
      </c>
      <c r="T20" s="21"/>
      <c r="U20" s="20">
        <v>7431.8</v>
      </c>
      <c r="V20" s="21"/>
      <c r="W20" s="20"/>
      <c r="X20" s="21"/>
      <c r="Y20" s="20">
        <v>109937.87</v>
      </c>
    </row>
    <row r="21" spans="1:25" ht="15.75" thickBot="1">
      <c r="A21" s="21"/>
      <c r="B21" s="21"/>
      <c r="C21" s="21"/>
      <c r="D21" s="21"/>
      <c r="E21" s="21" t="s">
        <v>1164</v>
      </c>
      <c r="F21" s="21"/>
      <c r="G21" s="621">
        <v>43465</v>
      </c>
      <c r="H21" s="21"/>
      <c r="I21" s="21" t="s">
        <v>1313</v>
      </c>
      <c r="J21" s="21"/>
      <c r="K21" s="21"/>
      <c r="L21" s="21"/>
      <c r="M21" s="21" t="s">
        <v>1314</v>
      </c>
      <c r="N21" s="21"/>
      <c r="O21" s="21" t="s">
        <v>1151</v>
      </c>
      <c r="P21" s="21"/>
      <c r="Q21" s="622"/>
      <c r="R21" s="21"/>
      <c r="S21" s="21" t="s">
        <v>96</v>
      </c>
      <c r="T21" s="21"/>
      <c r="U21" s="23">
        <v>15508.5</v>
      </c>
      <c r="V21" s="21"/>
      <c r="W21" s="23"/>
      <c r="X21" s="21"/>
      <c r="Y21" s="23">
        <v>125446.37</v>
      </c>
    </row>
    <row r="22" spans="1:25" ht="15.75" thickBot="1">
      <c r="A22" s="21"/>
      <c r="B22" s="21" t="s">
        <v>1339</v>
      </c>
      <c r="C22" s="21"/>
      <c r="D22" s="21"/>
      <c r="E22" s="21"/>
      <c r="F22" s="21"/>
      <c r="G22" s="621"/>
      <c r="H22" s="21"/>
      <c r="I22" s="21"/>
      <c r="J22" s="21"/>
      <c r="K22" s="21"/>
      <c r="L22" s="21"/>
      <c r="M22" s="21"/>
      <c r="N22" s="21"/>
      <c r="O22" s="21"/>
      <c r="P22" s="21"/>
      <c r="Q22" s="21"/>
      <c r="R22" s="21"/>
      <c r="S22" s="21"/>
      <c r="T22" s="21"/>
      <c r="U22" s="24">
        <f>ROUND(SUM(U2:U21),5)</f>
        <v>197937.35</v>
      </c>
      <c r="V22" s="21"/>
      <c r="W22" s="24">
        <f>ROUND(SUM(W2:W21),5)</f>
        <v>72490.98</v>
      </c>
      <c r="X22" s="21"/>
      <c r="Y22" s="24">
        <f>Y21</f>
        <v>125446.37</v>
      </c>
    </row>
    <row r="23" spans="1:25" ht="15.75" thickBot="1">
      <c r="A23" s="19" t="s">
        <v>127</v>
      </c>
      <c r="B23" s="19"/>
      <c r="C23" s="19"/>
      <c r="D23" s="19"/>
      <c r="E23" s="19"/>
      <c r="F23" s="19"/>
      <c r="G23" s="619"/>
      <c r="H23" s="19"/>
      <c r="I23" s="19"/>
      <c r="J23" s="19"/>
      <c r="K23" s="19"/>
      <c r="L23" s="19"/>
      <c r="M23" s="19"/>
      <c r="N23" s="19"/>
      <c r="O23" s="19"/>
      <c r="P23" s="19"/>
      <c r="Q23" s="19"/>
      <c r="R23" s="19"/>
      <c r="S23" s="19"/>
      <c r="T23" s="19"/>
      <c r="U23" s="25">
        <f>U22</f>
        <v>197937.35</v>
      </c>
      <c r="V23" s="19"/>
      <c r="W23" s="25">
        <f>W22</f>
        <v>72490.98</v>
      </c>
      <c r="X23" s="19"/>
      <c r="Y23" s="25">
        <f>Y22</f>
        <v>125446.37</v>
      </c>
    </row>
    <row r="24" spans="1:25" ht="15.75" thickTop="1">
      <c r="A24" s="26"/>
      <c r="B24" s="26"/>
      <c r="C24" s="26"/>
      <c r="D24" s="26"/>
      <c r="E24" s="26"/>
      <c r="F24" s="26"/>
      <c r="G24" s="26"/>
      <c r="H24" s="26"/>
      <c r="I24" s="26"/>
      <c r="J24" s="26"/>
      <c r="K24" s="26"/>
      <c r="L24" s="26"/>
      <c r="M24" s="26"/>
      <c r="N24" s="26"/>
      <c r="O24" s="26"/>
      <c r="P24" s="26"/>
      <c r="Q24" s="26"/>
      <c r="R24" s="26"/>
      <c r="S24" s="26"/>
      <c r="T24" s="26"/>
      <c r="U24" s="26"/>
      <c r="V24" s="26"/>
      <c r="W24" s="26"/>
      <c r="X24" s="26"/>
      <c r="Y24" s="26"/>
    </row>
    <row r="25" spans="1:25">
      <c r="A25" s="26"/>
      <c r="B25" s="26"/>
      <c r="C25" s="26"/>
      <c r="D25" s="26"/>
      <c r="E25" s="26"/>
      <c r="F25" s="26"/>
      <c r="G25" s="26"/>
      <c r="H25" s="26"/>
      <c r="I25" s="26"/>
      <c r="J25" s="26"/>
      <c r="K25" s="623" t="s">
        <v>1335</v>
      </c>
      <c r="L25" s="624"/>
      <c r="M25" s="624" t="s">
        <v>1340</v>
      </c>
      <c r="N25" s="624"/>
      <c r="O25" s="624"/>
      <c r="P25" s="624"/>
      <c r="Q25" s="624"/>
      <c r="R25" s="624"/>
      <c r="S25" s="624"/>
      <c r="T25" s="624"/>
      <c r="U25" s="625">
        <f>+U17+U19+U20</f>
        <v>17428.599999999999</v>
      </c>
      <c r="V25" s="26"/>
      <c r="W25" s="26"/>
      <c r="X25" s="26"/>
      <c r="Y25" s="26"/>
    </row>
    <row r="26" spans="1:25">
      <c r="A26" s="26"/>
      <c r="B26" s="26"/>
      <c r="C26" s="26"/>
      <c r="D26" s="26"/>
      <c r="E26" s="26"/>
      <c r="F26" s="26"/>
      <c r="G26" s="26"/>
      <c r="H26" s="26"/>
      <c r="I26" s="26"/>
      <c r="J26" s="26"/>
      <c r="K26" s="624" t="s">
        <v>1330</v>
      </c>
      <c r="L26" s="624"/>
      <c r="M26" s="624"/>
      <c r="N26" s="624"/>
      <c r="O26" s="624"/>
      <c r="P26" s="624"/>
      <c r="Q26" s="624"/>
      <c r="R26" s="624"/>
      <c r="S26" s="624"/>
      <c r="T26" s="624"/>
      <c r="U26" s="625">
        <f>+U15+U16</f>
        <v>2603.9899999999998</v>
      </c>
      <c r="V26" s="26"/>
      <c r="W26" s="26"/>
      <c r="X26" s="26"/>
      <c r="Y26" s="26"/>
    </row>
    <row r="27" spans="1:25">
      <c r="A27" s="26"/>
      <c r="B27" s="26"/>
      <c r="C27" s="26"/>
      <c r="D27" s="26"/>
      <c r="E27" s="26"/>
      <c r="F27" s="26"/>
      <c r="G27" s="26"/>
      <c r="H27" s="26"/>
      <c r="I27" s="26"/>
      <c r="J27" s="26"/>
      <c r="K27" s="624" t="s">
        <v>1341</v>
      </c>
      <c r="L27" s="624"/>
      <c r="M27" s="624" t="s">
        <v>1342</v>
      </c>
      <c r="N27" s="624"/>
      <c r="O27" s="624"/>
      <c r="P27" s="624"/>
      <c r="Q27" s="624"/>
      <c r="R27" s="624"/>
      <c r="S27" s="624"/>
      <c r="T27" s="624"/>
      <c r="U27" s="625">
        <f>+U3+U18+U21+U4</f>
        <v>105361.78</v>
      </c>
      <c r="V27" s="26"/>
      <c r="W27" s="26"/>
      <c r="X27" s="26"/>
      <c r="Y27" s="26"/>
    </row>
    <row r="28" spans="1:25">
      <c r="A28" s="26"/>
      <c r="B28" s="26"/>
      <c r="C28" s="26"/>
      <c r="D28" s="26"/>
      <c r="E28" s="26"/>
      <c r="F28" s="26"/>
      <c r="G28" s="26"/>
      <c r="H28" s="26"/>
      <c r="I28" s="26"/>
      <c r="J28" s="26"/>
      <c r="K28" s="624" t="s">
        <v>1343</v>
      </c>
      <c r="L28" s="624"/>
      <c r="M28" s="624"/>
      <c r="N28" s="624"/>
      <c r="O28" s="624"/>
      <c r="P28" s="624"/>
      <c r="Q28" s="624"/>
      <c r="R28" s="624"/>
      <c r="S28" s="624"/>
      <c r="T28" s="624"/>
      <c r="U28" s="626">
        <f>+U5</f>
        <v>52</v>
      </c>
      <c r="V28" s="26"/>
      <c r="W28" s="26"/>
      <c r="X28" s="26"/>
      <c r="Y28" s="26"/>
    </row>
    <row r="29" spans="1:25">
      <c r="A29" s="26"/>
      <c r="B29" s="26"/>
      <c r="C29" s="26"/>
      <c r="D29" s="26"/>
      <c r="E29" s="26"/>
      <c r="F29" s="26"/>
      <c r="G29" s="26"/>
      <c r="H29" s="26"/>
      <c r="I29" s="26"/>
      <c r="J29" s="26"/>
      <c r="K29" s="624"/>
      <c r="L29" s="624"/>
      <c r="M29" s="624"/>
      <c r="N29" s="624"/>
      <c r="O29" s="624"/>
      <c r="P29" s="624"/>
      <c r="Q29" s="624"/>
      <c r="R29" s="624"/>
      <c r="S29" s="624"/>
      <c r="T29" s="624"/>
      <c r="U29" s="625">
        <f>SUM(U25:U28)</f>
        <v>125446.37</v>
      </c>
      <c r="V29" s="26"/>
      <c r="W29" s="26"/>
      <c r="X29" s="26"/>
      <c r="Y29" s="26"/>
    </row>
  </sheetData>
  <pageMargins left="0.25" right="0.25" top="0.75" bottom="0.75" header="0.3" footer="0.3"/>
  <pageSetup scale="6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A7B2-C8A1-436A-AD3F-4E0916472C61}">
  <dimension ref="A1:U23"/>
  <sheetViews>
    <sheetView workbookViewId="0">
      <selection activeCell="D17" sqref="D17"/>
    </sheetView>
  </sheetViews>
  <sheetFormatPr defaultRowHeight="15"/>
  <cols>
    <col min="1" max="3" width="2.33203125" customWidth="1"/>
    <col min="4" max="4" width="32.109375" customWidth="1"/>
    <col min="5" max="6" width="1.77734375" customWidth="1"/>
    <col min="7" max="7" width="9.21875" bestFit="1" customWidth="1"/>
    <col min="8" max="8" width="1.77734375" customWidth="1"/>
    <col min="9" max="9" width="7" bestFit="1" customWidth="1"/>
    <col min="10" max="10" width="1.77734375" customWidth="1"/>
    <col min="12" max="12" width="1.77734375" customWidth="1"/>
    <col min="13" max="13" width="21.33203125" bestFit="1" customWidth="1"/>
    <col min="14" max="14" width="1.77734375" customWidth="1"/>
    <col min="15" max="15" width="23.88671875" customWidth="1"/>
    <col min="16" max="16" width="1.77734375" customWidth="1"/>
    <col min="17" max="17" width="7.44140625" bestFit="1" customWidth="1"/>
    <col min="18" max="18" width="1.77734375" customWidth="1"/>
    <col min="19" max="19" width="8.109375" bestFit="1" customWidth="1"/>
    <col min="20" max="20" width="1.77734375" customWidth="1"/>
    <col min="21" max="21" width="9" bestFit="1" customWidth="1"/>
  </cols>
  <sheetData>
    <row r="1" spans="1:21" ht="15.75" thickBot="1">
      <c r="A1" s="18"/>
      <c r="B1" s="18"/>
      <c r="C1" s="18"/>
      <c r="D1" s="18"/>
      <c r="E1" s="18"/>
      <c r="F1" s="18"/>
      <c r="G1" s="17" t="s">
        <v>1092</v>
      </c>
      <c r="H1" s="18"/>
      <c r="I1" s="17" t="s">
        <v>1138</v>
      </c>
      <c r="J1" s="18"/>
      <c r="K1" s="17" t="s">
        <v>1139</v>
      </c>
      <c r="L1" s="18"/>
      <c r="M1" s="17" t="s">
        <v>1141</v>
      </c>
      <c r="N1" s="18"/>
      <c r="O1" s="17" t="s">
        <v>1144</v>
      </c>
      <c r="P1" s="18"/>
      <c r="Q1" s="17" t="s">
        <v>1145</v>
      </c>
      <c r="R1" s="18"/>
      <c r="S1" s="17" t="s">
        <v>1146</v>
      </c>
      <c r="T1" s="18"/>
      <c r="U1" s="17" t="s">
        <v>1147</v>
      </c>
    </row>
    <row r="2" spans="1:21" ht="15.75" thickTop="1">
      <c r="A2" s="19"/>
      <c r="B2" s="19"/>
      <c r="C2" s="19" t="s">
        <v>143</v>
      </c>
      <c r="D2" s="19"/>
      <c r="E2" s="19"/>
      <c r="F2" s="19"/>
      <c r="G2" s="19"/>
      <c r="H2" s="19"/>
      <c r="I2" s="619"/>
      <c r="J2" s="19"/>
      <c r="K2" s="19"/>
      <c r="L2" s="19"/>
      <c r="M2" s="19"/>
      <c r="N2" s="19"/>
      <c r="O2" s="19"/>
      <c r="P2" s="19"/>
      <c r="Q2" s="620"/>
      <c r="R2" s="19"/>
      <c r="S2" s="620"/>
      <c r="T2" s="19"/>
      <c r="U2" s="620">
        <v>0</v>
      </c>
    </row>
    <row r="3" spans="1:21">
      <c r="A3" s="21"/>
      <c r="B3" s="21"/>
      <c r="C3" s="21"/>
      <c r="D3" s="21"/>
      <c r="E3" s="21"/>
      <c r="F3" s="21"/>
      <c r="G3" s="21" t="s">
        <v>1164</v>
      </c>
      <c r="H3" s="21"/>
      <c r="I3" s="621">
        <v>43130</v>
      </c>
      <c r="J3" s="21"/>
      <c r="K3" s="21" t="s">
        <v>1345</v>
      </c>
      <c r="L3" s="21"/>
      <c r="M3" s="21" t="s">
        <v>1346</v>
      </c>
      <c r="N3" s="21"/>
      <c r="O3" s="21" t="s">
        <v>33</v>
      </c>
      <c r="P3" s="21"/>
      <c r="Q3" s="20"/>
      <c r="R3" s="21"/>
      <c r="S3" s="20">
        <v>9007.43</v>
      </c>
      <c r="T3" s="21"/>
      <c r="U3" s="20">
        <v>9007.43</v>
      </c>
    </row>
    <row r="4" spans="1:21">
      <c r="A4" s="21"/>
      <c r="B4" s="21"/>
      <c r="C4" s="21"/>
      <c r="D4" s="21"/>
      <c r="E4" s="21"/>
      <c r="F4" s="21"/>
      <c r="G4" s="21" t="s">
        <v>1164</v>
      </c>
      <c r="H4" s="21"/>
      <c r="I4" s="621">
        <v>43220</v>
      </c>
      <c r="J4" s="21"/>
      <c r="K4" s="21" t="s">
        <v>1347</v>
      </c>
      <c r="L4" s="21"/>
      <c r="M4" s="21" t="s">
        <v>1346</v>
      </c>
      <c r="N4" s="21"/>
      <c r="O4" s="21" t="s">
        <v>33</v>
      </c>
      <c r="P4" s="21"/>
      <c r="Q4" s="20"/>
      <c r="R4" s="21"/>
      <c r="S4" s="20">
        <v>16160.54</v>
      </c>
      <c r="T4" s="21"/>
      <c r="U4" s="20">
        <v>25167.97</v>
      </c>
    </row>
    <row r="5" spans="1:21">
      <c r="A5" s="21"/>
      <c r="B5" s="21"/>
      <c r="C5" s="21"/>
      <c r="D5" s="21"/>
      <c r="E5" s="21"/>
      <c r="F5" s="21"/>
      <c r="G5" s="21" t="s">
        <v>1164</v>
      </c>
      <c r="H5" s="21"/>
      <c r="I5" s="621">
        <v>43311</v>
      </c>
      <c r="J5" s="21"/>
      <c r="K5" s="21" t="s">
        <v>1348</v>
      </c>
      <c r="L5" s="21"/>
      <c r="M5" s="21" t="s">
        <v>1346</v>
      </c>
      <c r="N5" s="21"/>
      <c r="O5" s="21" t="s">
        <v>33</v>
      </c>
      <c r="P5" s="21"/>
      <c r="Q5" s="20"/>
      <c r="R5" s="21"/>
      <c r="S5" s="20">
        <v>20278.75</v>
      </c>
      <c r="T5" s="21"/>
      <c r="U5" s="20">
        <v>45446.720000000001</v>
      </c>
    </row>
    <row r="6" spans="1:21">
      <c r="A6" s="21"/>
      <c r="B6" s="21"/>
      <c r="C6" s="21"/>
      <c r="D6" s="21"/>
      <c r="E6" s="21"/>
      <c r="F6" s="21"/>
      <c r="G6" s="21" t="s">
        <v>1164</v>
      </c>
      <c r="H6" s="21"/>
      <c r="I6" s="621">
        <v>43404</v>
      </c>
      <c r="J6" s="21"/>
      <c r="K6" s="21" t="s">
        <v>1349</v>
      </c>
      <c r="L6" s="21"/>
      <c r="M6" s="21" t="s">
        <v>1346</v>
      </c>
      <c r="N6" s="21"/>
      <c r="O6" s="21" t="s">
        <v>33</v>
      </c>
      <c r="P6" s="21"/>
      <c r="Q6" s="20"/>
      <c r="R6" s="21"/>
      <c r="S6" s="20">
        <v>11109.81</v>
      </c>
      <c r="T6" s="21"/>
      <c r="U6" s="20">
        <v>56556.53</v>
      </c>
    </row>
    <row r="7" spans="1:21" ht="15.75" thickBot="1">
      <c r="A7" s="21"/>
      <c r="B7" s="21"/>
      <c r="C7" s="21"/>
      <c r="D7" s="21"/>
      <c r="E7" s="21"/>
      <c r="F7" s="21"/>
      <c r="G7" s="21" t="s">
        <v>1164</v>
      </c>
      <c r="H7" s="21"/>
      <c r="I7" s="621">
        <v>43465</v>
      </c>
      <c r="J7" s="21"/>
      <c r="K7" s="21" t="s">
        <v>1350</v>
      </c>
      <c r="L7" s="21"/>
      <c r="M7" s="21" t="s">
        <v>1346</v>
      </c>
      <c r="N7" s="21"/>
      <c r="O7" s="21" t="s">
        <v>33</v>
      </c>
      <c r="P7" s="21"/>
      <c r="Q7" s="22"/>
      <c r="R7" s="21"/>
      <c r="S7" s="22">
        <v>7699.13</v>
      </c>
      <c r="T7" s="21"/>
      <c r="U7" s="22">
        <v>64255.66</v>
      </c>
    </row>
    <row r="8" spans="1:21">
      <c r="A8" s="21"/>
      <c r="B8" s="21"/>
      <c r="C8" s="21" t="s">
        <v>1351</v>
      </c>
      <c r="D8" s="21"/>
      <c r="E8" s="21"/>
      <c r="F8" s="21"/>
      <c r="G8" s="21"/>
      <c r="H8" s="21"/>
      <c r="I8" s="621"/>
      <c r="J8" s="21"/>
      <c r="K8" s="21"/>
      <c r="L8" s="21"/>
      <c r="M8" s="21"/>
      <c r="N8" s="21"/>
      <c r="O8" s="21"/>
      <c r="P8" s="21"/>
      <c r="Q8" s="20">
        <f>ROUND(SUM(Q2:Q7),5)</f>
        <v>0</v>
      </c>
      <c r="R8" s="21"/>
      <c r="S8" s="20">
        <f>ROUND(SUM(S2:S7),5)</f>
        <v>64255.66</v>
      </c>
      <c r="T8" s="21"/>
      <c r="U8" s="20">
        <f>U7</f>
        <v>64255.66</v>
      </c>
    </row>
    <row r="9" spans="1:21">
      <c r="A9" s="19"/>
      <c r="B9" s="19"/>
      <c r="C9" s="19" t="s">
        <v>144</v>
      </c>
      <c r="D9" s="19"/>
      <c r="E9" s="19"/>
      <c r="F9" s="19"/>
      <c r="G9" s="19"/>
      <c r="H9" s="19"/>
      <c r="I9" s="619"/>
      <c r="J9" s="19"/>
      <c r="K9" s="19"/>
      <c r="L9" s="19"/>
      <c r="M9" s="19"/>
      <c r="N9" s="19"/>
      <c r="O9" s="19"/>
      <c r="P9" s="19"/>
      <c r="Q9" s="620"/>
      <c r="R9" s="19"/>
      <c r="S9" s="620"/>
      <c r="T9" s="19"/>
      <c r="U9" s="620">
        <v>0</v>
      </c>
    </row>
    <row r="10" spans="1:21">
      <c r="A10" s="21"/>
      <c r="B10" s="21"/>
      <c r="C10" s="21"/>
      <c r="D10" s="21"/>
      <c r="E10" s="21"/>
      <c r="F10" s="21"/>
      <c r="G10" s="21" t="s">
        <v>1164</v>
      </c>
      <c r="H10" s="21"/>
      <c r="I10" s="621">
        <v>43130</v>
      </c>
      <c r="J10" s="21"/>
      <c r="K10" s="21" t="s">
        <v>1345</v>
      </c>
      <c r="L10" s="21"/>
      <c r="M10" s="21" t="s">
        <v>1346</v>
      </c>
      <c r="N10" s="21"/>
      <c r="O10" s="21" t="s">
        <v>33</v>
      </c>
      <c r="P10" s="21"/>
      <c r="Q10" s="20"/>
      <c r="R10" s="21"/>
      <c r="S10" s="20">
        <v>1910.3</v>
      </c>
      <c r="T10" s="21"/>
      <c r="U10" s="20">
        <v>1910.3</v>
      </c>
    </row>
    <row r="11" spans="1:21">
      <c r="A11" s="21"/>
      <c r="B11" s="21"/>
      <c r="C11" s="21"/>
      <c r="D11" s="21"/>
      <c r="E11" s="21"/>
      <c r="F11" s="21"/>
      <c r="G11" s="21" t="s">
        <v>1164</v>
      </c>
      <c r="H11" s="21"/>
      <c r="I11" s="621">
        <v>43220</v>
      </c>
      <c r="J11" s="21"/>
      <c r="K11" s="21" t="s">
        <v>1347</v>
      </c>
      <c r="L11" s="21"/>
      <c r="M11" s="21" t="s">
        <v>1346</v>
      </c>
      <c r="N11" s="21"/>
      <c r="O11" s="21" t="s">
        <v>33</v>
      </c>
      <c r="P11" s="21"/>
      <c r="Q11" s="20"/>
      <c r="R11" s="21"/>
      <c r="S11" s="20">
        <v>3427.34</v>
      </c>
      <c r="T11" s="21"/>
      <c r="U11" s="20">
        <v>5337.64</v>
      </c>
    </row>
    <row r="12" spans="1:21">
      <c r="A12" s="21"/>
      <c r="B12" s="21"/>
      <c r="C12" s="21"/>
      <c r="D12" s="21"/>
      <c r="E12" s="21"/>
      <c r="F12" s="21"/>
      <c r="G12" s="21" t="s">
        <v>1164</v>
      </c>
      <c r="H12" s="21"/>
      <c r="I12" s="621">
        <v>43311</v>
      </c>
      <c r="J12" s="21"/>
      <c r="K12" s="21" t="s">
        <v>1348</v>
      </c>
      <c r="L12" s="21"/>
      <c r="M12" s="21" t="s">
        <v>1346</v>
      </c>
      <c r="N12" s="21"/>
      <c r="O12" s="21" t="s">
        <v>33</v>
      </c>
      <c r="P12" s="21"/>
      <c r="Q12" s="20"/>
      <c r="R12" s="21"/>
      <c r="S12" s="20">
        <v>4300.7299999999996</v>
      </c>
      <c r="T12" s="21"/>
      <c r="U12" s="20">
        <v>9638.3700000000008</v>
      </c>
    </row>
    <row r="13" spans="1:21">
      <c r="A13" s="21"/>
      <c r="B13" s="21"/>
      <c r="C13" s="21"/>
      <c r="D13" s="21"/>
      <c r="E13" s="21"/>
      <c r="F13" s="21"/>
      <c r="G13" s="21" t="s">
        <v>1164</v>
      </c>
      <c r="H13" s="21"/>
      <c r="I13" s="621">
        <v>43404</v>
      </c>
      <c r="J13" s="21"/>
      <c r="K13" s="21" t="s">
        <v>1349</v>
      </c>
      <c r="L13" s="21"/>
      <c r="M13" s="21" t="s">
        <v>1346</v>
      </c>
      <c r="N13" s="21"/>
      <c r="O13" s="21" t="s">
        <v>33</v>
      </c>
      <c r="P13" s="21"/>
      <c r="Q13" s="20"/>
      <c r="R13" s="21"/>
      <c r="S13" s="20">
        <v>2356.17</v>
      </c>
      <c r="T13" s="21"/>
      <c r="U13" s="20">
        <v>11994.54</v>
      </c>
    </row>
    <row r="14" spans="1:21" ht="15.75" thickBot="1">
      <c r="A14" s="21"/>
      <c r="B14" s="21"/>
      <c r="C14" s="21"/>
      <c r="D14" s="21"/>
      <c r="E14" s="21"/>
      <c r="F14" s="21"/>
      <c r="G14" s="21" t="s">
        <v>1164</v>
      </c>
      <c r="H14" s="21"/>
      <c r="I14" s="621">
        <v>43465</v>
      </c>
      <c r="J14" s="21"/>
      <c r="K14" s="21" t="s">
        <v>1350</v>
      </c>
      <c r="L14" s="21"/>
      <c r="M14" s="21" t="s">
        <v>1346</v>
      </c>
      <c r="N14" s="21"/>
      <c r="O14" s="21" t="s">
        <v>33</v>
      </c>
      <c r="P14" s="21"/>
      <c r="Q14" s="22"/>
      <c r="R14" s="21"/>
      <c r="S14" s="22">
        <v>1632.83</v>
      </c>
      <c r="T14" s="21"/>
      <c r="U14" s="22">
        <v>13627.37</v>
      </c>
    </row>
    <row r="15" spans="1:21">
      <c r="A15" s="21"/>
      <c r="B15" s="21"/>
      <c r="C15" s="21" t="s">
        <v>1352</v>
      </c>
      <c r="D15" s="21"/>
      <c r="E15" s="21"/>
      <c r="F15" s="21"/>
      <c r="G15" s="21"/>
      <c r="H15" s="21"/>
      <c r="I15" s="621"/>
      <c r="J15" s="21"/>
      <c r="K15" s="21"/>
      <c r="L15" s="21"/>
      <c r="M15" s="21"/>
      <c r="N15" s="21"/>
      <c r="O15" s="21"/>
      <c r="P15" s="21"/>
      <c r="Q15" s="20">
        <f>ROUND(SUM(Q9:Q14),5)</f>
        <v>0</v>
      </c>
      <c r="R15" s="21"/>
      <c r="S15" s="20">
        <f>ROUND(SUM(S9:S14),5)</f>
        <v>13627.37</v>
      </c>
      <c r="T15" s="21"/>
      <c r="U15" s="20">
        <f>U14</f>
        <v>13627.37</v>
      </c>
    </row>
    <row r="16" spans="1:21">
      <c r="A16" s="19"/>
      <c r="B16" s="19"/>
      <c r="C16" s="19" t="s">
        <v>145</v>
      </c>
      <c r="D16" s="19"/>
      <c r="E16" s="19"/>
      <c r="F16" s="19"/>
      <c r="G16" s="19"/>
      <c r="H16" s="19"/>
      <c r="I16" s="619"/>
      <c r="J16" s="19"/>
      <c r="K16" s="19"/>
      <c r="L16" s="19"/>
      <c r="M16" s="19"/>
      <c r="N16" s="19"/>
      <c r="O16" s="19"/>
      <c r="P16" s="19"/>
      <c r="Q16" s="620"/>
      <c r="R16" s="19"/>
      <c r="S16" s="620"/>
      <c r="T16" s="19"/>
      <c r="U16" s="620">
        <v>0</v>
      </c>
    </row>
    <row r="17" spans="1:21">
      <c r="A17" s="21"/>
      <c r="B17" s="21"/>
      <c r="C17" s="21"/>
      <c r="D17" s="21"/>
      <c r="E17" s="21"/>
      <c r="F17" s="21"/>
      <c r="G17" s="21" t="s">
        <v>1164</v>
      </c>
      <c r="H17" s="21"/>
      <c r="I17" s="621">
        <v>43130</v>
      </c>
      <c r="J17" s="21"/>
      <c r="K17" s="21" t="s">
        <v>1345</v>
      </c>
      <c r="L17" s="21"/>
      <c r="M17" s="21" t="s">
        <v>1346</v>
      </c>
      <c r="N17" s="21"/>
      <c r="O17" s="21" t="s">
        <v>33</v>
      </c>
      <c r="P17" s="21"/>
      <c r="Q17" s="20"/>
      <c r="R17" s="21"/>
      <c r="S17" s="20">
        <v>1172.78</v>
      </c>
      <c r="T17" s="21"/>
      <c r="U17" s="20">
        <v>1172.78</v>
      </c>
    </row>
    <row r="18" spans="1:21">
      <c r="A18" s="21"/>
      <c r="B18" s="21"/>
      <c r="C18" s="21"/>
      <c r="D18" s="21"/>
      <c r="E18" s="21"/>
      <c r="F18" s="21"/>
      <c r="G18" s="21" t="s">
        <v>1164</v>
      </c>
      <c r="H18" s="21"/>
      <c r="I18" s="621">
        <v>43220</v>
      </c>
      <c r="J18" s="21"/>
      <c r="K18" s="21" t="s">
        <v>1347</v>
      </c>
      <c r="L18" s="21"/>
      <c r="M18" s="21" t="s">
        <v>1346</v>
      </c>
      <c r="N18" s="21"/>
      <c r="O18" s="21" t="s">
        <v>33</v>
      </c>
      <c r="P18" s="21"/>
      <c r="Q18" s="20"/>
      <c r="R18" s="21"/>
      <c r="S18" s="20">
        <v>2104.12</v>
      </c>
      <c r="T18" s="21"/>
      <c r="U18" s="20">
        <v>3276.9</v>
      </c>
    </row>
    <row r="19" spans="1:21">
      <c r="A19" s="21"/>
      <c r="B19" s="21"/>
      <c r="C19" s="21"/>
      <c r="D19" s="21"/>
      <c r="E19" s="21"/>
      <c r="F19" s="21"/>
      <c r="G19" s="21" t="s">
        <v>1164</v>
      </c>
      <c r="H19" s="21"/>
      <c r="I19" s="621">
        <v>43311</v>
      </c>
      <c r="J19" s="21"/>
      <c r="K19" s="21" t="s">
        <v>1348</v>
      </c>
      <c r="L19" s="21"/>
      <c r="M19" s="21" t="s">
        <v>1346</v>
      </c>
      <c r="N19" s="21"/>
      <c r="O19" s="21" t="s">
        <v>33</v>
      </c>
      <c r="P19" s="21"/>
      <c r="Q19" s="20"/>
      <c r="R19" s="21"/>
      <c r="S19" s="20">
        <v>2640.32</v>
      </c>
      <c r="T19" s="21"/>
      <c r="U19" s="20">
        <v>5917.22</v>
      </c>
    </row>
    <row r="20" spans="1:21">
      <c r="A20" s="21"/>
      <c r="B20" s="21"/>
      <c r="C20" s="21"/>
      <c r="D20" s="21"/>
      <c r="E20" s="21"/>
      <c r="F20" s="21"/>
      <c r="G20" s="21" t="s">
        <v>1164</v>
      </c>
      <c r="H20" s="21"/>
      <c r="I20" s="621">
        <v>43404</v>
      </c>
      <c r="J20" s="21"/>
      <c r="K20" s="21" t="s">
        <v>1349</v>
      </c>
      <c r="L20" s="21"/>
      <c r="M20" s="21" t="s">
        <v>1346</v>
      </c>
      <c r="N20" s="21"/>
      <c r="O20" s="21" t="s">
        <v>33</v>
      </c>
      <c r="P20" s="21"/>
      <c r="Q20" s="20"/>
      <c r="R20" s="21"/>
      <c r="S20" s="20">
        <v>1446.51</v>
      </c>
      <c r="T20" s="21"/>
      <c r="U20" s="20">
        <v>7363.73</v>
      </c>
    </row>
    <row r="21" spans="1:21" ht="15.75" thickBot="1">
      <c r="A21" s="21"/>
      <c r="B21" s="21"/>
      <c r="C21" s="21"/>
      <c r="D21" s="21"/>
      <c r="E21" s="21"/>
      <c r="F21" s="21"/>
      <c r="G21" s="21" t="s">
        <v>1164</v>
      </c>
      <c r="H21" s="21"/>
      <c r="I21" s="621">
        <v>43465</v>
      </c>
      <c r="J21" s="21"/>
      <c r="K21" s="21" t="s">
        <v>1350</v>
      </c>
      <c r="L21" s="21"/>
      <c r="M21" s="21" t="s">
        <v>1346</v>
      </c>
      <c r="N21" s="21"/>
      <c r="O21" s="21" t="s">
        <v>33</v>
      </c>
      <c r="P21" s="21"/>
      <c r="Q21" s="22"/>
      <c r="R21" s="21"/>
      <c r="S21" s="22">
        <v>1002.44</v>
      </c>
      <c r="T21" s="21"/>
      <c r="U21" s="22">
        <v>8366.17</v>
      </c>
    </row>
    <row r="22" spans="1:21">
      <c r="A22" s="21"/>
      <c r="B22" s="21"/>
      <c r="C22" s="21" t="s">
        <v>1353</v>
      </c>
      <c r="D22" s="21"/>
      <c r="E22" s="21"/>
      <c r="F22" s="21"/>
      <c r="G22" s="21"/>
      <c r="H22" s="21"/>
      <c r="I22" s="621"/>
      <c r="J22" s="21"/>
      <c r="K22" s="21"/>
      <c r="L22" s="21"/>
      <c r="M22" s="21"/>
      <c r="N22" s="21"/>
      <c r="O22" s="21"/>
      <c r="P22" s="21"/>
      <c r="Q22" s="20">
        <f>ROUND(SUM(Q16:Q21),5)</f>
        <v>0</v>
      </c>
      <c r="R22" s="21"/>
      <c r="S22" s="20">
        <f>ROUND(SUM(S16:S21),5)</f>
        <v>8366.17</v>
      </c>
      <c r="T22" s="21"/>
      <c r="U22" s="20">
        <f>U21</f>
        <v>8366.17</v>
      </c>
    </row>
    <row r="23" spans="1:21">
      <c r="A23" s="26"/>
      <c r="B23" s="26"/>
      <c r="C23" s="26"/>
      <c r="D23" s="26"/>
      <c r="E23" s="26"/>
      <c r="F23" s="26"/>
      <c r="G23" s="26"/>
      <c r="H23" s="26"/>
      <c r="I23" s="26"/>
      <c r="J23" s="26"/>
      <c r="K23" s="26"/>
      <c r="L23" s="26"/>
      <c r="M23" s="26"/>
      <c r="N23" s="26"/>
      <c r="O23" s="26"/>
      <c r="P23" s="26"/>
      <c r="Q23" s="26"/>
      <c r="R23" s="26"/>
      <c r="S23" s="26"/>
      <c r="T23" s="26"/>
      <c r="U23" s="2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D437-5C50-43FA-BE94-04503AE55AE9}">
  <dimension ref="A1:J63"/>
  <sheetViews>
    <sheetView topLeftCell="A10" workbookViewId="0">
      <selection activeCell="A14" sqref="A14:F17"/>
    </sheetView>
  </sheetViews>
  <sheetFormatPr defaultRowHeight="15"/>
  <cols>
    <col min="2" max="2" width="19" customWidth="1"/>
  </cols>
  <sheetData>
    <row r="1" spans="1:8" ht="15.75">
      <c r="A1" s="89" t="s">
        <v>1362</v>
      </c>
      <c r="B1" s="89"/>
      <c r="C1" s="89"/>
      <c r="D1" s="89"/>
      <c r="E1" s="89"/>
      <c r="F1" s="89"/>
      <c r="G1" s="89"/>
      <c r="H1" s="89"/>
    </row>
    <row r="2" spans="1:8" ht="15.75">
      <c r="A2" s="89" t="s">
        <v>1363</v>
      </c>
      <c r="B2" s="89"/>
      <c r="C2" s="89"/>
      <c r="D2" s="89"/>
      <c r="E2" s="89"/>
      <c r="F2" s="89"/>
      <c r="G2" s="89"/>
      <c r="H2" s="89"/>
    </row>
    <row r="3" spans="1:8" ht="15.75">
      <c r="A3" s="89"/>
      <c r="B3" s="89"/>
      <c r="C3" s="89"/>
      <c r="D3" s="89"/>
      <c r="E3" s="89"/>
      <c r="F3" s="89"/>
      <c r="G3" s="89"/>
      <c r="H3" s="89"/>
    </row>
    <row r="4" spans="1:8" ht="15.75">
      <c r="A4" s="89"/>
      <c r="B4" s="89"/>
      <c r="C4" s="642" t="s">
        <v>1364</v>
      </c>
      <c r="D4" s="643"/>
      <c r="E4" s="644"/>
      <c r="F4" s="276"/>
      <c r="G4" s="276" t="s">
        <v>1437</v>
      </c>
      <c r="H4" s="89"/>
    </row>
    <row r="5" spans="1:8" ht="15.75">
      <c r="A5" s="89" t="s">
        <v>1365</v>
      </c>
      <c r="B5" s="89"/>
      <c r="C5" s="645" t="s">
        <v>531</v>
      </c>
      <c r="D5" s="646" t="s">
        <v>532</v>
      </c>
      <c r="E5" s="647" t="s">
        <v>648</v>
      </c>
      <c r="F5" s="717" t="s">
        <v>1436</v>
      </c>
      <c r="G5" s="276" t="s">
        <v>1436</v>
      </c>
      <c r="H5" s="89"/>
    </row>
    <row r="6" spans="1:8" ht="15.75">
      <c r="A6" s="648">
        <v>20</v>
      </c>
      <c r="B6" s="89" t="s">
        <v>664</v>
      </c>
      <c r="C6" s="89">
        <v>151339</v>
      </c>
      <c r="D6" s="89">
        <v>159014</v>
      </c>
      <c r="E6" s="89">
        <f t="shared" ref="E6:E11" si="0">+D6-C6</f>
        <v>7675</v>
      </c>
      <c r="F6" s="553"/>
      <c r="G6" s="89"/>
      <c r="H6" s="89"/>
    </row>
    <row r="7" spans="1:8" ht="15.75">
      <c r="A7" s="648">
        <v>22</v>
      </c>
      <c r="B7" s="89" t="s">
        <v>664</v>
      </c>
      <c r="C7" s="89">
        <v>69415</v>
      </c>
      <c r="D7" s="89">
        <v>85800</v>
      </c>
      <c r="E7" s="89">
        <f t="shared" si="0"/>
        <v>16385</v>
      </c>
      <c r="F7" s="553"/>
      <c r="G7" s="89"/>
      <c r="H7" s="89"/>
    </row>
    <row r="8" spans="1:8" ht="15.75">
      <c r="A8" s="648">
        <v>24</v>
      </c>
      <c r="B8" s="89" t="s">
        <v>664</v>
      </c>
      <c r="C8" s="89">
        <v>180242</v>
      </c>
      <c r="D8" s="89">
        <v>190442</v>
      </c>
      <c r="E8" s="89">
        <f t="shared" si="0"/>
        <v>10200</v>
      </c>
      <c r="F8" s="553"/>
      <c r="G8" s="89"/>
      <c r="H8" s="89"/>
    </row>
    <row r="9" spans="1:8" ht="15.75">
      <c r="A9" s="648">
        <v>57</v>
      </c>
      <c r="B9" s="89" t="s">
        <v>664</v>
      </c>
      <c r="C9" s="89">
        <v>32803</v>
      </c>
      <c r="D9" s="89">
        <v>36476</v>
      </c>
      <c r="E9" s="89">
        <f t="shared" si="0"/>
        <v>3673</v>
      </c>
      <c r="F9" s="553"/>
      <c r="G9" s="89"/>
      <c r="H9" s="89"/>
    </row>
    <row r="10" spans="1:8" ht="15.75">
      <c r="A10" s="648">
        <v>58</v>
      </c>
      <c r="B10" s="89" t="s">
        <v>664</v>
      </c>
      <c r="C10" s="89">
        <v>138858</v>
      </c>
      <c r="D10" s="89">
        <v>152806</v>
      </c>
      <c r="E10" s="89">
        <f t="shared" si="0"/>
        <v>13948</v>
      </c>
      <c r="F10" s="553"/>
      <c r="G10" s="89"/>
      <c r="H10" s="89"/>
    </row>
    <row r="11" spans="1:8" ht="15.75">
      <c r="A11" s="648">
        <v>59</v>
      </c>
      <c r="B11" s="89" t="s">
        <v>664</v>
      </c>
      <c r="C11" s="89">
        <v>163655</v>
      </c>
      <c r="D11" s="89">
        <v>182843</v>
      </c>
      <c r="E11" s="89">
        <f t="shared" si="0"/>
        <v>19188</v>
      </c>
      <c r="F11" s="553"/>
      <c r="G11" s="89"/>
      <c r="H11" s="89"/>
    </row>
    <row r="12" spans="1:8" ht="15.75">
      <c r="A12" s="648"/>
      <c r="B12" s="89"/>
      <c r="C12" s="89"/>
      <c r="D12" s="89"/>
      <c r="E12" s="89"/>
      <c r="F12" s="553">
        <f>+SUM(E6:E11)</f>
        <v>71069</v>
      </c>
      <c r="G12" s="579">
        <f>+F12/$F$63</f>
        <v>0.12793008478390006</v>
      </c>
      <c r="H12" s="89"/>
    </row>
    <row r="13" spans="1:8" ht="15.75">
      <c r="A13" s="648"/>
      <c r="B13" s="89"/>
      <c r="C13" s="89"/>
      <c r="D13" s="89"/>
      <c r="E13" s="89"/>
      <c r="F13" s="553"/>
      <c r="G13" s="89"/>
      <c r="H13" s="89"/>
    </row>
    <row r="14" spans="1:8" ht="15.75">
      <c r="A14" s="648">
        <v>23</v>
      </c>
      <c r="B14" s="89" t="s">
        <v>1262</v>
      </c>
      <c r="C14" s="89">
        <v>116110</v>
      </c>
      <c r="D14" s="89">
        <v>141620</v>
      </c>
      <c r="E14" s="89">
        <f>+D14-C14</f>
        <v>25510</v>
      </c>
      <c r="F14" s="553"/>
      <c r="G14" s="89"/>
      <c r="H14" s="89"/>
    </row>
    <row r="15" spans="1:8" ht="15.75">
      <c r="A15" s="648">
        <v>42</v>
      </c>
      <c r="B15" s="89" t="s">
        <v>1262</v>
      </c>
      <c r="C15" s="89">
        <v>133749</v>
      </c>
      <c r="D15" s="89">
        <v>138647</v>
      </c>
      <c r="E15" s="89">
        <f>+D15-C15</f>
        <v>4898</v>
      </c>
      <c r="F15" s="553"/>
      <c r="G15" s="89"/>
      <c r="H15" s="89"/>
    </row>
    <row r="16" spans="1:8" ht="15.75">
      <c r="A16" s="648">
        <v>53</v>
      </c>
      <c r="B16" s="89" t="s">
        <v>1262</v>
      </c>
      <c r="C16" s="89">
        <v>125787</v>
      </c>
      <c r="D16" s="89">
        <v>168948</v>
      </c>
      <c r="E16" s="89">
        <f>+D16-C16</f>
        <v>43161</v>
      </c>
      <c r="F16" s="553"/>
      <c r="G16" s="89"/>
      <c r="H16" s="89"/>
    </row>
    <row r="17" spans="1:10" ht="15.75">
      <c r="A17" s="648"/>
      <c r="B17" s="89"/>
      <c r="C17" s="89"/>
      <c r="D17" s="89"/>
      <c r="E17" s="89"/>
      <c r="F17" s="553">
        <f>SUM(E14:E16)</f>
        <v>73569</v>
      </c>
      <c r="G17" s="579">
        <f>+F17/$F$63</f>
        <v>0.1324302917934225</v>
      </c>
      <c r="H17" s="89"/>
      <c r="J17" s="593">
        <f>+G17</f>
        <v>0.1324302917934225</v>
      </c>
    </row>
    <row r="18" spans="1:10" ht="15.75">
      <c r="A18" s="648"/>
      <c r="B18" s="89"/>
      <c r="C18" s="89"/>
      <c r="D18" s="89"/>
      <c r="E18" s="89"/>
      <c r="F18" s="553"/>
      <c r="G18" s="89"/>
      <c r="H18" s="89"/>
    </row>
    <row r="19" spans="1:10" ht="15.75">
      <c r="A19" s="648">
        <v>68</v>
      </c>
      <c r="B19" s="89" t="s">
        <v>1366</v>
      </c>
      <c r="C19" s="89">
        <v>28425</v>
      </c>
      <c r="D19" s="89">
        <v>42230</v>
      </c>
      <c r="E19" s="89">
        <f>+D19-C19</f>
        <v>13805</v>
      </c>
      <c r="F19" s="553"/>
      <c r="G19" s="89"/>
      <c r="H19" s="89"/>
    </row>
    <row r="20" spans="1:10" ht="15.75">
      <c r="A20" s="648">
        <v>69</v>
      </c>
      <c r="B20" s="89" t="s">
        <v>1366</v>
      </c>
      <c r="C20" s="89">
        <v>16356</v>
      </c>
      <c r="D20" s="89">
        <v>22403</v>
      </c>
      <c r="E20" s="89">
        <f>+D20-C20</f>
        <v>6047</v>
      </c>
      <c r="F20" s="553"/>
      <c r="G20" s="89"/>
      <c r="H20" s="89"/>
    </row>
    <row r="21" spans="1:10" ht="15.75">
      <c r="A21" s="648"/>
      <c r="B21" s="89"/>
      <c r="C21" s="89"/>
      <c r="D21" s="89"/>
      <c r="E21" s="89"/>
      <c r="F21" s="553">
        <f>+E20+E19</f>
        <v>19852</v>
      </c>
      <c r="G21" s="579">
        <f>+F21/$F$63</f>
        <v>3.5735243821215776E-2</v>
      </c>
      <c r="H21" s="89"/>
    </row>
    <row r="22" spans="1:10" ht="15.75">
      <c r="A22" s="648"/>
      <c r="B22" s="89"/>
      <c r="C22" s="89"/>
      <c r="D22" s="89"/>
      <c r="E22" s="89"/>
      <c r="F22" s="553"/>
      <c r="G22" s="89"/>
      <c r="H22" s="89"/>
    </row>
    <row r="23" spans="1:10" ht="15.75">
      <c r="A23" s="648">
        <v>21</v>
      </c>
      <c r="B23" s="89" t="s">
        <v>754</v>
      </c>
      <c r="C23" s="89">
        <v>154042</v>
      </c>
      <c r="D23" s="89">
        <v>181347</v>
      </c>
      <c r="E23" s="89">
        <f t="shared" ref="E23:E28" si="1">+D23-C23</f>
        <v>27305</v>
      </c>
      <c r="F23" s="553"/>
      <c r="G23" s="89"/>
      <c r="H23" s="89"/>
    </row>
    <row r="24" spans="1:10" ht="15.75">
      <c r="A24" s="648">
        <v>25</v>
      </c>
      <c r="B24" s="89" t="s">
        <v>754</v>
      </c>
      <c r="C24" s="89">
        <v>95980</v>
      </c>
      <c r="D24" s="89">
        <v>99426</v>
      </c>
      <c r="E24" s="89">
        <f t="shared" si="1"/>
        <v>3446</v>
      </c>
      <c r="F24" s="553"/>
      <c r="G24" s="89"/>
      <c r="H24" s="89"/>
    </row>
    <row r="25" spans="1:10" ht="15.75">
      <c r="A25" s="648">
        <v>26</v>
      </c>
      <c r="B25" s="89" t="s">
        <v>754</v>
      </c>
      <c r="C25" s="89">
        <v>99500</v>
      </c>
      <c r="D25" s="89">
        <v>101635</v>
      </c>
      <c r="E25" s="89">
        <f t="shared" si="1"/>
        <v>2135</v>
      </c>
      <c r="F25" s="553"/>
      <c r="G25" s="89"/>
      <c r="H25" s="89"/>
    </row>
    <row r="26" spans="1:10" ht="15.75">
      <c r="A26" s="649">
        <v>54</v>
      </c>
      <c r="B26" s="89" t="s">
        <v>754</v>
      </c>
      <c r="C26" s="89">
        <v>191125</v>
      </c>
      <c r="D26" s="89">
        <v>205175</v>
      </c>
      <c r="E26" s="89">
        <f t="shared" si="1"/>
        <v>14050</v>
      </c>
      <c r="F26" s="553"/>
      <c r="G26" s="89"/>
      <c r="H26" s="89"/>
    </row>
    <row r="27" spans="1:10" ht="15.75">
      <c r="A27" s="648">
        <v>55</v>
      </c>
      <c r="B27" s="89" t="s">
        <v>754</v>
      </c>
      <c r="C27" s="89">
        <v>95989</v>
      </c>
      <c r="D27" s="89">
        <v>106396</v>
      </c>
      <c r="E27" s="89">
        <f t="shared" si="1"/>
        <v>10407</v>
      </c>
      <c r="F27" s="553"/>
      <c r="G27" s="89"/>
      <c r="H27" s="89"/>
    </row>
    <row r="28" spans="1:10" ht="15.75">
      <c r="A28" s="648">
        <v>56</v>
      </c>
      <c r="B28" s="89" t="s">
        <v>754</v>
      </c>
      <c r="C28" s="89">
        <v>210863</v>
      </c>
      <c r="D28" s="89">
        <v>221861</v>
      </c>
      <c r="E28" s="89">
        <f t="shared" si="1"/>
        <v>10998</v>
      </c>
      <c r="F28" s="553"/>
      <c r="G28" s="89"/>
      <c r="H28" s="89"/>
    </row>
    <row r="29" spans="1:10" ht="15.75">
      <c r="A29" s="648"/>
      <c r="B29" s="89"/>
      <c r="C29" s="89"/>
      <c r="D29" s="89"/>
      <c r="E29" s="89"/>
      <c r="F29" s="553">
        <f>SUM(E23:E28)</f>
        <v>68341</v>
      </c>
      <c r="G29" s="579">
        <f>+F29/$F$63</f>
        <v>0.12301945889510918</v>
      </c>
      <c r="H29" s="89"/>
    </row>
    <row r="30" spans="1:10" ht="15.75">
      <c r="A30" s="648"/>
      <c r="B30" s="89"/>
      <c r="C30" s="89"/>
      <c r="D30" s="89"/>
      <c r="E30" s="89"/>
      <c r="F30" s="553"/>
      <c r="G30" s="89"/>
      <c r="H30" s="89"/>
    </row>
    <row r="31" spans="1:10" ht="15.75">
      <c r="A31" s="648">
        <v>161</v>
      </c>
      <c r="B31" s="89" t="s">
        <v>569</v>
      </c>
      <c r="C31" s="89">
        <v>57205</v>
      </c>
      <c r="D31" s="89">
        <v>69420</v>
      </c>
      <c r="E31" s="89">
        <f t="shared" ref="E31:E36" si="2">+D31-C31</f>
        <v>12215</v>
      </c>
      <c r="F31" s="553"/>
      <c r="G31" s="89"/>
      <c r="H31" s="89"/>
    </row>
    <row r="32" spans="1:10" ht="15.75">
      <c r="A32" s="648">
        <v>162</v>
      </c>
      <c r="B32" s="89" t="s">
        <v>569</v>
      </c>
      <c r="C32" s="89">
        <v>133405</v>
      </c>
      <c r="D32" s="89">
        <v>148072</v>
      </c>
      <c r="E32" s="89">
        <f t="shared" si="2"/>
        <v>14667</v>
      </c>
      <c r="F32" s="553"/>
      <c r="G32" s="89"/>
      <c r="H32" s="89"/>
    </row>
    <row r="33" spans="1:10" ht="15.75">
      <c r="A33" s="648">
        <v>163</v>
      </c>
      <c r="B33" s="89" t="s">
        <v>569</v>
      </c>
      <c r="C33" s="89">
        <v>120462</v>
      </c>
      <c r="D33" s="89">
        <v>135291</v>
      </c>
      <c r="E33" s="89">
        <f t="shared" si="2"/>
        <v>14829</v>
      </c>
      <c r="F33" s="553"/>
      <c r="G33" s="89"/>
      <c r="H33" s="89"/>
    </row>
    <row r="34" spans="1:10" ht="15.75">
      <c r="A34" s="648">
        <v>164</v>
      </c>
      <c r="B34" s="89" t="s">
        <v>569</v>
      </c>
      <c r="C34" s="89">
        <v>102654</v>
      </c>
      <c r="D34" s="89">
        <v>110987</v>
      </c>
      <c r="E34" s="89">
        <f t="shared" si="2"/>
        <v>8333</v>
      </c>
      <c r="F34" s="553"/>
      <c r="G34" s="89"/>
      <c r="H34" s="89"/>
    </row>
    <row r="35" spans="1:10" ht="15.75">
      <c r="A35" s="648">
        <v>165</v>
      </c>
      <c r="B35" s="89" t="s">
        <v>569</v>
      </c>
      <c r="C35" s="89">
        <v>129456</v>
      </c>
      <c r="D35" s="89">
        <v>140960</v>
      </c>
      <c r="E35" s="89">
        <f t="shared" si="2"/>
        <v>11504</v>
      </c>
      <c r="F35" s="553"/>
      <c r="G35" s="89"/>
      <c r="H35" s="89"/>
    </row>
    <row r="36" spans="1:10" ht="15.75">
      <c r="A36" s="648">
        <v>166</v>
      </c>
      <c r="B36" s="89" t="s">
        <v>569</v>
      </c>
      <c r="C36" s="89">
        <v>141976</v>
      </c>
      <c r="D36" s="89">
        <v>155688</v>
      </c>
      <c r="E36" s="89">
        <f t="shared" si="2"/>
        <v>13712</v>
      </c>
      <c r="F36" s="553"/>
      <c r="G36" s="89"/>
      <c r="H36" s="89"/>
    </row>
    <row r="37" spans="1:10" ht="15.75">
      <c r="A37" s="648"/>
      <c r="B37" s="89"/>
      <c r="C37" s="89"/>
      <c r="D37" s="89"/>
      <c r="E37" s="89"/>
      <c r="F37" s="553">
        <f>SUM(E31:E37)</f>
        <v>75260</v>
      </c>
      <c r="G37" s="579">
        <f>+F37/$F$63</f>
        <v>0.13547423181466348</v>
      </c>
      <c r="H37" s="89"/>
      <c r="J37" s="593"/>
    </row>
    <row r="38" spans="1:10" ht="15.75">
      <c r="A38" s="648"/>
      <c r="B38" s="89"/>
      <c r="C38" s="89"/>
      <c r="D38" s="89"/>
      <c r="E38" s="89"/>
      <c r="F38" s="553"/>
      <c r="G38" s="89"/>
      <c r="H38" s="89"/>
    </row>
    <row r="39" spans="1:10" ht="15.75">
      <c r="A39" s="650" t="s">
        <v>1367</v>
      </c>
      <c r="B39" s="89" t="s">
        <v>1368</v>
      </c>
      <c r="C39" s="89">
        <v>830206</v>
      </c>
      <c r="D39" s="89">
        <v>855399</v>
      </c>
      <c r="E39" s="89">
        <f t="shared" ref="E39:E48" si="3">+D39-C39</f>
        <v>25193</v>
      </c>
      <c r="F39" s="553"/>
      <c r="G39" s="89"/>
      <c r="H39" s="89"/>
    </row>
    <row r="40" spans="1:10" ht="15.75">
      <c r="A40" s="650" t="s">
        <v>1369</v>
      </c>
      <c r="B40" s="89" t="s">
        <v>1368</v>
      </c>
      <c r="C40" s="89">
        <v>869961</v>
      </c>
      <c r="D40" s="89">
        <v>890711</v>
      </c>
      <c r="E40" s="89">
        <f t="shared" si="3"/>
        <v>20750</v>
      </c>
      <c r="F40" s="553"/>
      <c r="G40" s="89"/>
      <c r="H40" s="89"/>
    </row>
    <row r="41" spans="1:10" ht="15.75">
      <c r="A41" s="650" t="s">
        <v>1370</v>
      </c>
      <c r="B41" s="89" t="s">
        <v>1368</v>
      </c>
      <c r="C41" s="89">
        <v>375625</v>
      </c>
      <c r="D41" s="89">
        <v>399508</v>
      </c>
      <c r="E41" s="89">
        <f t="shared" si="3"/>
        <v>23883</v>
      </c>
      <c r="F41" s="553"/>
      <c r="G41" s="89"/>
      <c r="H41" s="89"/>
    </row>
    <row r="42" spans="1:10" ht="15.75">
      <c r="A42" s="650" t="s">
        <v>1371</v>
      </c>
      <c r="B42" s="89" t="s">
        <v>1368</v>
      </c>
      <c r="C42" s="89">
        <v>47600</v>
      </c>
      <c r="D42" s="89">
        <v>67301</v>
      </c>
      <c r="E42" s="89">
        <f t="shared" si="3"/>
        <v>19701</v>
      </c>
      <c r="F42" s="553"/>
      <c r="G42" s="89"/>
      <c r="H42" s="89"/>
    </row>
    <row r="43" spans="1:10" ht="15.75">
      <c r="A43" s="650" t="s">
        <v>1372</v>
      </c>
      <c r="B43" s="89" t="s">
        <v>1368</v>
      </c>
      <c r="C43" s="89">
        <v>817036</v>
      </c>
      <c r="D43" s="89">
        <v>817981</v>
      </c>
      <c r="E43" s="89">
        <f t="shared" si="3"/>
        <v>945</v>
      </c>
      <c r="F43" s="553"/>
      <c r="G43" s="89"/>
      <c r="H43" s="89"/>
    </row>
    <row r="44" spans="1:10" ht="15.75">
      <c r="A44" s="650" t="s">
        <v>1373</v>
      </c>
      <c r="B44" s="89" t="s">
        <v>1368</v>
      </c>
      <c r="C44" s="89">
        <v>454078</v>
      </c>
      <c r="D44" s="89">
        <v>465322</v>
      </c>
      <c r="E44" s="89">
        <f t="shared" si="3"/>
        <v>11244</v>
      </c>
      <c r="F44" s="553"/>
      <c r="G44" s="89"/>
      <c r="H44" s="89"/>
    </row>
    <row r="45" spans="1:10" ht="15.75">
      <c r="A45" s="650" t="s">
        <v>1374</v>
      </c>
      <c r="B45" s="89" t="s">
        <v>1368</v>
      </c>
      <c r="C45" s="89">
        <v>252393</v>
      </c>
      <c r="D45" s="89">
        <v>254980</v>
      </c>
      <c r="E45" s="89">
        <f t="shared" si="3"/>
        <v>2587</v>
      </c>
      <c r="F45" s="553"/>
      <c r="G45" s="89"/>
      <c r="H45" s="89"/>
    </row>
    <row r="46" spans="1:10" ht="15.75">
      <c r="A46" s="650" t="s">
        <v>1375</v>
      </c>
      <c r="B46" s="89" t="s">
        <v>1368</v>
      </c>
      <c r="C46" s="89">
        <v>65209</v>
      </c>
      <c r="D46" s="89">
        <v>77894</v>
      </c>
      <c r="E46" s="89">
        <f t="shared" si="3"/>
        <v>12685</v>
      </c>
      <c r="F46" s="553"/>
      <c r="G46" s="89"/>
      <c r="H46" s="89"/>
    </row>
    <row r="47" spans="1:10" ht="15.75">
      <c r="A47" s="650" t="s">
        <v>1376</v>
      </c>
      <c r="B47" s="89" t="s">
        <v>1368</v>
      </c>
      <c r="C47" s="89">
        <v>171980</v>
      </c>
      <c r="D47" s="89">
        <v>176124</v>
      </c>
      <c r="E47" s="89">
        <f t="shared" si="3"/>
        <v>4144</v>
      </c>
      <c r="F47" s="553"/>
      <c r="G47" s="89"/>
      <c r="H47" s="89"/>
    </row>
    <row r="48" spans="1:10" ht="15.75">
      <c r="A48" s="650" t="s">
        <v>1377</v>
      </c>
      <c r="B48" s="89" t="s">
        <v>1368</v>
      </c>
      <c r="C48" s="89">
        <v>194960</v>
      </c>
      <c r="D48" s="89">
        <v>196504</v>
      </c>
      <c r="E48" s="89">
        <f t="shared" si="3"/>
        <v>1544</v>
      </c>
      <c r="F48" s="553"/>
      <c r="G48" s="89"/>
      <c r="H48" s="89"/>
    </row>
    <row r="49" spans="1:10" ht="15.75">
      <c r="A49" s="650"/>
      <c r="B49" s="89"/>
      <c r="C49" s="89"/>
      <c r="D49" s="89"/>
      <c r="E49" s="89"/>
      <c r="F49" s="553">
        <f>SUM(E39:E48)</f>
        <v>122676</v>
      </c>
      <c r="G49" s="579">
        <f>+F49/$F$63</f>
        <v>0.22082695804006985</v>
      </c>
      <c r="H49" s="89"/>
    </row>
    <row r="50" spans="1:10" ht="15.75">
      <c r="A50" s="650"/>
      <c r="B50" s="89"/>
      <c r="C50" s="89"/>
      <c r="D50" s="89"/>
      <c r="E50" s="89"/>
      <c r="F50" s="553"/>
      <c r="G50" s="89"/>
      <c r="H50" s="89"/>
    </row>
    <row r="51" spans="1:10" ht="15.75">
      <c r="A51" s="650" t="s">
        <v>1378</v>
      </c>
      <c r="B51" s="89" t="s">
        <v>757</v>
      </c>
      <c r="C51" s="89">
        <v>412517</v>
      </c>
      <c r="D51" s="89">
        <v>430507</v>
      </c>
      <c r="E51" s="89">
        <f>+D51-C51</f>
        <v>17990</v>
      </c>
      <c r="F51" s="553"/>
      <c r="G51" s="89"/>
      <c r="H51" s="89"/>
    </row>
    <row r="52" spans="1:10" ht="15.75">
      <c r="A52" s="650" t="s">
        <v>1379</v>
      </c>
      <c r="B52" s="89" t="s">
        <v>757</v>
      </c>
      <c r="C52" s="89">
        <v>708965</v>
      </c>
      <c r="D52" s="89">
        <v>725930</v>
      </c>
      <c r="E52" s="89">
        <f>+D52-C52</f>
        <v>16965</v>
      </c>
      <c r="F52" s="553"/>
      <c r="G52" s="89"/>
      <c r="H52" s="89"/>
    </row>
    <row r="53" spans="1:10" ht="15.75">
      <c r="A53" s="650" t="s">
        <v>1380</v>
      </c>
      <c r="B53" s="89" t="s">
        <v>757</v>
      </c>
      <c r="C53" s="89">
        <v>253826</v>
      </c>
      <c r="D53" s="89">
        <v>289670</v>
      </c>
      <c r="E53" s="89">
        <f>+D53-C53</f>
        <v>35844</v>
      </c>
      <c r="F53" s="553"/>
      <c r="G53" s="89"/>
      <c r="H53" s="89"/>
    </row>
    <row r="54" spans="1:10" ht="15.75">
      <c r="A54" s="650" t="s">
        <v>1381</v>
      </c>
      <c r="B54" s="89" t="s">
        <v>757</v>
      </c>
      <c r="C54" s="89">
        <v>259859</v>
      </c>
      <c r="D54" s="89">
        <v>260459</v>
      </c>
      <c r="E54" s="89">
        <f>+D54-C54</f>
        <v>600</v>
      </c>
      <c r="F54" s="553"/>
      <c r="G54" s="89"/>
      <c r="H54" s="89"/>
    </row>
    <row r="55" spans="1:10" ht="15.75">
      <c r="A55" s="650" t="s">
        <v>1382</v>
      </c>
      <c r="B55" s="89" t="s">
        <v>757</v>
      </c>
      <c r="C55" s="89">
        <v>535828</v>
      </c>
      <c r="D55" s="89">
        <v>539685</v>
      </c>
      <c r="E55" s="89">
        <f>+D55-C55</f>
        <v>3857</v>
      </c>
      <c r="F55" s="553"/>
      <c r="G55" s="89"/>
      <c r="H55" s="89"/>
    </row>
    <row r="56" spans="1:10" ht="15.75">
      <c r="A56" s="650"/>
      <c r="B56" s="89"/>
      <c r="C56" s="89"/>
      <c r="D56" s="89"/>
      <c r="E56" s="89"/>
      <c r="F56" s="553">
        <f>SUM(E51:E55)</f>
        <v>75256</v>
      </c>
      <c r="G56" s="579">
        <f>+F56/$F$63</f>
        <v>0.13546703148344824</v>
      </c>
      <c r="H56" s="89"/>
      <c r="J56" s="593">
        <f>+G56</f>
        <v>0.13546703148344824</v>
      </c>
    </row>
    <row r="57" spans="1:10" ht="15.75">
      <c r="A57" s="650"/>
      <c r="B57" s="89"/>
      <c r="C57" s="89"/>
      <c r="D57" s="89"/>
      <c r="E57" s="89"/>
      <c r="F57" s="553"/>
      <c r="G57" s="89"/>
      <c r="H57" s="89"/>
    </row>
    <row r="58" spans="1:10" ht="15.75">
      <c r="A58" s="648">
        <v>75</v>
      </c>
      <c r="B58" s="89" t="s">
        <v>712</v>
      </c>
      <c r="C58" s="89">
        <v>140755</v>
      </c>
      <c r="D58" s="89">
        <v>166052</v>
      </c>
      <c r="E58" s="89">
        <f>+D58-C58</f>
        <v>25297</v>
      </c>
      <c r="F58" s="553"/>
      <c r="G58" s="89"/>
      <c r="H58" s="89"/>
    </row>
    <row r="59" spans="1:10" ht="15.75">
      <c r="A59" s="648">
        <v>77</v>
      </c>
      <c r="B59" s="89" t="s">
        <v>712</v>
      </c>
      <c r="C59" s="89">
        <v>139041</v>
      </c>
      <c r="D59" s="89">
        <v>148390</v>
      </c>
      <c r="E59" s="89">
        <f>+D59-C59</f>
        <v>9349</v>
      </c>
      <c r="F59" s="553"/>
      <c r="G59" s="89"/>
      <c r="H59" s="89"/>
    </row>
    <row r="60" spans="1:10" ht="15.75">
      <c r="A60" s="648">
        <v>78</v>
      </c>
      <c r="B60" s="89" t="s">
        <v>712</v>
      </c>
      <c r="C60" s="89">
        <v>162550</v>
      </c>
      <c r="D60" s="89">
        <v>172564</v>
      </c>
      <c r="E60" s="89">
        <f>+D60-C60</f>
        <v>10014</v>
      </c>
      <c r="F60" s="553"/>
      <c r="G60" s="89"/>
      <c r="H60" s="89"/>
    </row>
    <row r="61" spans="1:10" ht="15.75">
      <c r="A61" s="648">
        <v>79</v>
      </c>
      <c r="B61" s="89" t="s">
        <v>712</v>
      </c>
      <c r="C61" s="89">
        <v>144150</v>
      </c>
      <c r="D61" s="89">
        <v>148997</v>
      </c>
      <c r="E61" s="89">
        <f>+D61-C61</f>
        <v>4847</v>
      </c>
      <c r="F61" s="553"/>
      <c r="G61" s="89"/>
      <c r="H61" s="89"/>
    </row>
    <row r="62" spans="1:10" ht="15.75">
      <c r="A62" s="651"/>
      <c r="B62" s="89"/>
      <c r="C62" s="89"/>
      <c r="D62" s="89"/>
      <c r="E62" s="89"/>
      <c r="F62" s="627">
        <f>+SUM(E58:E61)</f>
        <v>49507</v>
      </c>
      <c r="G62" s="652">
        <f>+F62/$F$63</f>
        <v>8.9116699368170932E-2</v>
      </c>
      <c r="H62" s="89"/>
    </row>
    <row r="63" spans="1:10" ht="15.75">
      <c r="A63" s="89"/>
      <c r="B63" s="89"/>
      <c r="C63" s="89"/>
      <c r="D63" s="89"/>
      <c r="E63" s="89"/>
      <c r="F63" s="553">
        <f>SUM(F6:F62)</f>
        <v>555530</v>
      </c>
      <c r="G63" s="653">
        <f>SUM(G6:G62)</f>
        <v>1</v>
      </c>
      <c r="H63" s="89"/>
    </row>
  </sheetData>
  <printOptions gridLines="1"/>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2F3AE-51BA-4A8A-BDD3-DFFD8BA3C4F3}">
  <dimension ref="A1:G38"/>
  <sheetViews>
    <sheetView topLeftCell="A10" workbookViewId="0">
      <selection activeCell="E22" sqref="E22"/>
    </sheetView>
  </sheetViews>
  <sheetFormatPr defaultRowHeight="15"/>
  <sheetData>
    <row r="1" spans="1:7" ht="15.75">
      <c r="A1" s="580" t="s">
        <v>16</v>
      </c>
      <c r="B1" s="775"/>
      <c r="C1" s="775"/>
      <c r="D1" s="775"/>
      <c r="E1" s="775"/>
      <c r="F1" s="775"/>
      <c r="G1" s="775"/>
    </row>
    <row r="2" spans="1:7" ht="15.75">
      <c r="A2" s="580" t="s">
        <v>1439</v>
      </c>
      <c r="B2" s="775"/>
      <c r="C2" s="775"/>
      <c r="D2" s="775"/>
      <c r="E2" s="775"/>
      <c r="F2" s="775"/>
      <c r="G2" s="775"/>
    </row>
    <row r="3" spans="1:7" ht="15.75">
      <c r="A3" s="580" t="s">
        <v>1275</v>
      </c>
      <c r="B3" s="775"/>
      <c r="C3" s="775"/>
      <c r="D3" s="775"/>
      <c r="E3" s="775"/>
      <c r="F3" s="775"/>
      <c r="G3" s="775"/>
    </row>
    <row r="4" spans="1:7" ht="15.75">
      <c r="A4" s="89"/>
      <c r="B4" s="516"/>
      <c r="C4" s="516"/>
      <c r="D4" s="516"/>
      <c r="E4" s="516"/>
      <c r="F4" s="516"/>
      <c r="G4" s="516"/>
    </row>
    <row r="5" spans="1:7" ht="15.75">
      <c r="A5" s="516"/>
      <c r="B5" s="516"/>
      <c r="C5" s="516"/>
      <c r="D5" s="516"/>
      <c r="E5" s="516"/>
      <c r="F5" s="516"/>
      <c r="G5" s="516"/>
    </row>
    <row r="6" spans="1:7" ht="15.75">
      <c r="A6" s="127" t="s">
        <v>1440</v>
      </c>
      <c r="B6" s="127"/>
      <c r="C6" s="127"/>
      <c r="D6" s="127"/>
      <c r="E6" s="127"/>
      <c r="F6" s="127"/>
      <c r="G6" s="516"/>
    </row>
    <row r="7" spans="1:7" ht="15.75">
      <c r="A7" s="127" t="s">
        <v>944</v>
      </c>
      <c r="B7" s="127"/>
      <c r="C7" s="127"/>
      <c r="D7" s="127"/>
      <c r="E7" s="127">
        <v>2775</v>
      </c>
      <c r="F7" s="127"/>
      <c r="G7" s="516"/>
    </row>
    <row r="8" spans="1:7" ht="15.75">
      <c r="A8" s="127" t="s">
        <v>945</v>
      </c>
      <c r="B8" s="127"/>
      <c r="C8" s="127"/>
      <c r="D8" s="127"/>
      <c r="E8" s="127">
        <v>8556.25</v>
      </c>
      <c r="F8" s="127"/>
      <c r="G8" s="516"/>
    </row>
    <row r="9" spans="1:7" ht="15.75">
      <c r="A9" s="127" t="s">
        <v>946</v>
      </c>
      <c r="B9" s="127"/>
      <c r="C9" s="127"/>
      <c r="D9" s="127"/>
      <c r="E9" s="127">
        <v>4948.75</v>
      </c>
      <c r="F9" s="127"/>
      <c r="G9" s="516"/>
    </row>
    <row r="10" spans="1:7" ht="15.75">
      <c r="A10" s="127" t="s">
        <v>947</v>
      </c>
      <c r="B10" s="127"/>
      <c r="C10" s="127"/>
      <c r="D10" s="127"/>
      <c r="E10" s="127">
        <v>14241.13</v>
      </c>
      <c r="F10" s="127"/>
      <c r="G10" s="516"/>
    </row>
    <row r="11" spans="1:7" ht="15.75">
      <c r="A11" s="127" t="s">
        <v>1565</v>
      </c>
      <c r="B11" s="127"/>
      <c r="C11" s="127"/>
      <c r="D11" s="127"/>
      <c r="E11" s="127">
        <v>11100</v>
      </c>
      <c r="F11" s="127"/>
      <c r="G11" s="516"/>
    </row>
    <row r="12" spans="1:7" ht="15.75">
      <c r="A12" s="127" t="s">
        <v>1566</v>
      </c>
      <c r="B12" s="127"/>
      <c r="C12" s="127"/>
      <c r="D12" s="127"/>
      <c r="E12" s="776">
        <v>12500</v>
      </c>
      <c r="F12" s="127"/>
      <c r="G12" s="516"/>
    </row>
    <row r="13" spans="1:7" ht="15.75">
      <c r="A13" s="127"/>
      <c r="B13" s="127"/>
      <c r="C13" s="127"/>
      <c r="D13" s="127"/>
      <c r="E13" s="127">
        <f>SUM(E7:E12)</f>
        <v>54121.13</v>
      </c>
      <c r="F13" s="127"/>
      <c r="G13" s="516"/>
    </row>
    <row r="14" spans="1:7" ht="15.75">
      <c r="A14" s="127"/>
      <c r="B14" s="127"/>
      <c r="C14" s="127"/>
      <c r="D14" s="127"/>
      <c r="E14" s="127"/>
      <c r="F14" s="127"/>
      <c r="G14" s="516"/>
    </row>
    <row r="15" spans="1:7" ht="15.75">
      <c r="A15" s="127" t="s">
        <v>1442</v>
      </c>
      <c r="B15" s="127"/>
      <c r="C15" s="127"/>
      <c r="D15" s="127"/>
      <c r="E15" s="127"/>
      <c r="F15" s="127"/>
      <c r="G15" s="516"/>
    </row>
    <row r="16" spans="1:7" ht="15.75">
      <c r="A16" s="127" t="s">
        <v>943</v>
      </c>
      <c r="B16" s="127"/>
      <c r="C16" s="127"/>
      <c r="D16" s="127"/>
      <c r="E16" s="127">
        <v>2725</v>
      </c>
      <c r="F16" s="127"/>
      <c r="G16" s="516"/>
    </row>
    <row r="17" spans="1:7" ht="15.75">
      <c r="A17" s="127" t="s">
        <v>944</v>
      </c>
      <c r="B17" s="127"/>
      <c r="C17" s="127"/>
      <c r="D17" s="127"/>
      <c r="E17" s="127">
        <v>5041.8999999999996</v>
      </c>
      <c r="F17" s="127"/>
      <c r="G17" s="516"/>
    </row>
    <row r="18" spans="1:7" ht="15.75">
      <c r="A18" s="127" t="s">
        <v>945</v>
      </c>
      <c r="B18" s="127"/>
      <c r="C18" s="127"/>
      <c r="D18" s="127"/>
      <c r="E18" s="127">
        <v>2044.2</v>
      </c>
      <c r="F18" s="127"/>
      <c r="G18" s="516"/>
    </row>
    <row r="19" spans="1:7" ht="15.75">
      <c r="A19" s="127" t="s">
        <v>946</v>
      </c>
      <c r="B19" s="127"/>
      <c r="C19" s="127"/>
      <c r="D19" s="127"/>
      <c r="E19" s="127">
        <v>1300</v>
      </c>
      <c r="F19" s="127"/>
      <c r="G19" s="516"/>
    </row>
    <row r="20" spans="1:7" ht="15.75">
      <c r="A20" s="127" t="s">
        <v>947</v>
      </c>
      <c r="B20" s="127"/>
      <c r="C20" s="127"/>
      <c r="D20" s="127"/>
      <c r="E20" s="127">
        <v>4876.43</v>
      </c>
      <c r="F20" s="127"/>
      <c r="G20" s="516"/>
    </row>
    <row r="21" spans="1:7" ht="15.75">
      <c r="A21" s="127" t="s">
        <v>1441</v>
      </c>
      <c r="B21" s="127"/>
      <c r="C21" s="127"/>
      <c r="D21" s="127"/>
      <c r="E21" s="776">
        <v>7500</v>
      </c>
      <c r="F21" s="127"/>
      <c r="G21" s="516"/>
    </row>
    <row r="22" spans="1:7" ht="15.75">
      <c r="A22" s="127"/>
      <c r="B22" s="127"/>
      <c r="C22" s="127"/>
      <c r="D22" s="127"/>
      <c r="E22" s="777">
        <f>SUM(E16:E21)</f>
        <v>23487.53</v>
      </c>
      <c r="F22" s="127"/>
      <c r="G22" s="516"/>
    </row>
    <row r="23" spans="1:7" ht="15.75">
      <c r="A23" s="127"/>
      <c r="B23" s="127"/>
      <c r="C23" s="127"/>
      <c r="D23" s="127"/>
      <c r="E23" s="127"/>
      <c r="F23" s="127"/>
      <c r="G23" s="516"/>
    </row>
    <row r="24" spans="1:7" ht="15.75">
      <c r="A24" s="127" t="s">
        <v>1443</v>
      </c>
      <c r="B24" s="127"/>
      <c r="C24" s="127"/>
      <c r="D24" s="127"/>
      <c r="E24" s="127">
        <f>+E13+E22</f>
        <v>77608.66</v>
      </c>
      <c r="F24" s="127"/>
      <c r="G24" s="516"/>
    </row>
    <row r="25" spans="1:7" ht="15.75">
      <c r="A25" s="127" t="s">
        <v>1444</v>
      </c>
      <c r="B25" s="127"/>
      <c r="C25" s="127"/>
      <c r="D25" s="127"/>
      <c r="E25" s="127">
        <f>+E24/4</f>
        <v>19402.165000000001</v>
      </c>
      <c r="F25" s="127"/>
      <c r="G25" s="516"/>
    </row>
    <row r="26" spans="1:7" ht="15.75">
      <c r="A26" s="127"/>
      <c r="B26" s="127"/>
      <c r="C26" s="127"/>
      <c r="D26" s="127"/>
      <c r="E26" s="127"/>
      <c r="F26" s="127"/>
      <c r="G26" s="516"/>
    </row>
    <row r="27" spans="1:7" ht="15.75">
      <c r="A27" s="127"/>
      <c r="B27" s="127"/>
      <c r="C27" s="127"/>
      <c r="D27" s="127"/>
      <c r="E27" s="127"/>
      <c r="F27" s="127"/>
      <c r="G27" s="516"/>
    </row>
    <row r="28" spans="1:7" ht="15.75">
      <c r="A28" s="127" t="s">
        <v>1445</v>
      </c>
      <c r="B28" s="127"/>
      <c r="C28" s="127"/>
      <c r="D28" s="127"/>
      <c r="E28" s="127"/>
      <c r="F28" s="127"/>
      <c r="G28" s="516"/>
    </row>
    <row r="29" spans="1:7" ht="15.75">
      <c r="A29" s="127" t="s">
        <v>754</v>
      </c>
      <c r="B29" s="127"/>
      <c r="C29" s="553">
        <v>18347</v>
      </c>
      <c r="D29" s="127"/>
      <c r="E29" s="127"/>
      <c r="F29" s="127"/>
      <c r="G29" s="516"/>
    </row>
    <row r="30" spans="1:7" ht="15.75">
      <c r="A30" s="127" t="s">
        <v>664</v>
      </c>
      <c r="B30" s="127"/>
      <c r="C30" s="627">
        <v>2435</v>
      </c>
      <c r="D30" s="127"/>
      <c r="E30" s="127"/>
      <c r="F30" s="127"/>
      <c r="G30" s="516"/>
    </row>
    <row r="31" spans="1:7" ht="15.75">
      <c r="B31" s="127"/>
      <c r="C31" s="127">
        <f>SUM(C29:C30)</f>
        <v>20782</v>
      </c>
      <c r="D31" s="127"/>
      <c r="E31" s="127"/>
      <c r="F31" s="127"/>
      <c r="G31" s="516"/>
    </row>
    <row r="32" spans="1:7" ht="15.75">
      <c r="B32" s="127"/>
      <c r="C32" s="127"/>
      <c r="D32" s="127"/>
      <c r="E32" s="127"/>
      <c r="F32" s="127"/>
      <c r="G32" s="516"/>
    </row>
    <row r="34" spans="1:6" ht="15.75">
      <c r="A34" s="127" t="s">
        <v>1446</v>
      </c>
      <c r="B34" s="89"/>
      <c r="C34" s="127">
        <v>1.25</v>
      </c>
      <c r="D34" s="127"/>
      <c r="E34" s="127">
        <f>+C34*C31</f>
        <v>25977.5</v>
      </c>
      <c r="F34" s="89"/>
    </row>
    <row r="35" spans="1:6" ht="15.75">
      <c r="A35" s="127" t="s">
        <v>1447</v>
      </c>
      <c r="B35" s="89"/>
      <c r="C35" s="127">
        <v>0.55000000000000004</v>
      </c>
      <c r="D35" s="127"/>
      <c r="E35" s="776">
        <f>+C35*C31</f>
        <v>11430.1</v>
      </c>
      <c r="F35" s="89"/>
    </row>
    <row r="36" spans="1:6" ht="15.75">
      <c r="A36" s="127"/>
      <c r="B36" s="89"/>
      <c r="C36" s="89"/>
      <c r="D36" s="89"/>
      <c r="E36" s="127">
        <f>SUM(E34:E35)</f>
        <v>37407.599999999999</v>
      </c>
      <c r="F36" s="89"/>
    </row>
    <row r="37" spans="1:6" ht="15.75">
      <c r="A37" s="127" t="s">
        <v>1444</v>
      </c>
      <c r="B37" s="127"/>
      <c r="C37" s="127"/>
      <c r="D37" s="127"/>
      <c r="E37" s="127">
        <f>+E36/4</f>
        <v>9351.9</v>
      </c>
      <c r="F37" s="89"/>
    </row>
    <row r="38" spans="1:6" ht="15.75">
      <c r="A38" s="89"/>
      <c r="B38" s="89"/>
      <c r="C38" s="89"/>
      <c r="D38" s="89"/>
      <c r="E38" s="89"/>
      <c r="F38" s="89"/>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0460-C4A5-4170-876A-0FC7A25FB87D}">
  <sheetPr>
    <pageSetUpPr fitToPage="1"/>
  </sheetPr>
  <dimension ref="A1:AF60"/>
  <sheetViews>
    <sheetView workbookViewId="0">
      <selection activeCell="S25" sqref="S25"/>
    </sheetView>
  </sheetViews>
  <sheetFormatPr defaultRowHeight="15"/>
  <cols>
    <col min="1" max="1" width="12.6640625" customWidth="1"/>
    <col min="8" max="8" width="8.44140625" customWidth="1"/>
    <col min="9" max="9" width="14.77734375" customWidth="1"/>
    <col min="13" max="13" width="10" bestFit="1" customWidth="1"/>
  </cols>
  <sheetData>
    <row r="1" spans="1:32" ht="15.75">
      <c r="A1" s="580" t="s">
        <v>16</v>
      </c>
      <c r="B1" s="29"/>
      <c r="C1" s="29"/>
      <c r="D1" s="29"/>
      <c r="E1" s="29"/>
      <c r="F1" s="29"/>
      <c r="G1" s="29"/>
      <c r="H1" s="516"/>
      <c r="I1" s="516"/>
      <c r="K1" s="89"/>
      <c r="L1" s="89"/>
      <c r="M1" s="89"/>
      <c r="N1" s="89"/>
      <c r="O1" s="89"/>
      <c r="P1" s="89"/>
      <c r="Q1" s="89"/>
      <c r="R1" s="89"/>
      <c r="S1" s="89"/>
      <c r="T1" s="89"/>
      <c r="U1" s="89"/>
      <c r="V1" s="89"/>
      <c r="W1" s="89"/>
      <c r="X1" s="89"/>
      <c r="Y1" s="89"/>
      <c r="Z1" s="89"/>
      <c r="AA1" s="89"/>
      <c r="AB1" s="818"/>
      <c r="AC1" s="818"/>
      <c r="AD1" s="818"/>
      <c r="AE1" s="818"/>
      <c r="AF1" s="818"/>
    </row>
    <row r="2" spans="1:32" ht="15.75">
      <c r="A2" s="580" t="s">
        <v>1554</v>
      </c>
      <c r="B2" s="29"/>
      <c r="C2" s="29"/>
      <c r="D2" s="29"/>
      <c r="E2" s="29"/>
      <c r="F2" s="29"/>
      <c r="G2" s="29"/>
      <c r="H2" s="516"/>
      <c r="I2" s="516"/>
      <c r="K2" s="89"/>
      <c r="L2" s="89"/>
      <c r="M2" s="89"/>
      <c r="N2" s="89"/>
      <c r="O2" s="89"/>
      <c r="P2" s="89"/>
      <c r="Q2" s="89"/>
      <c r="R2" s="89"/>
      <c r="S2" s="89"/>
      <c r="T2" s="89"/>
      <c r="U2" s="89"/>
      <c r="V2" s="89"/>
      <c r="W2" s="89"/>
      <c r="X2" s="89"/>
      <c r="Y2" s="89"/>
      <c r="Z2" s="89"/>
      <c r="AA2" s="89"/>
      <c r="AB2" s="818"/>
      <c r="AC2" s="818"/>
      <c r="AD2" s="818"/>
      <c r="AE2" s="818"/>
      <c r="AF2" s="818"/>
    </row>
    <row r="3" spans="1:32" ht="15.75">
      <c r="A3" s="580" t="s">
        <v>1275</v>
      </c>
      <c r="B3" s="29"/>
      <c r="C3" s="29"/>
      <c r="D3" s="29"/>
      <c r="E3" s="29"/>
      <c r="F3" s="29"/>
      <c r="G3" s="29"/>
      <c r="H3" s="516"/>
      <c r="I3" s="516"/>
      <c r="K3" s="89"/>
      <c r="L3" s="89"/>
      <c r="M3" s="89"/>
      <c r="N3" s="89"/>
      <c r="O3" s="89"/>
      <c r="P3" s="89"/>
      <c r="Q3" s="89"/>
      <c r="R3" s="89"/>
      <c r="S3" s="89"/>
      <c r="T3" s="89"/>
      <c r="U3" s="89"/>
      <c r="V3" s="89"/>
      <c r="W3" s="89"/>
      <c r="X3" s="89"/>
      <c r="Y3" s="89"/>
      <c r="Z3" s="89"/>
      <c r="AA3" s="89"/>
      <c r="AB3" s="818"/>
      <c r="AC3" s="818"/>
      <c r="AD3" s="818"/>
      <c r="AE3" s="818"/>
      <c r="AF3" s="818"/>
    </row>
    <row r="4" spans="1:32" ht="15.75">
      <c r="A4" s="580"/>
      <c r="B4" s="29"/>
      <c r="C4" s="29"/>
      <c r="D4" s="29"/>
      <c r="E4" s="29"/>
      <c r="F4" s="29"/>
      <c r="G4" s="29"/>
      <c r="H4" s="516"/>
      <c r="I4" s="516"/>
      <c r="K4" s="89"/>
      <c r="L4" s="89"/>
      <c r="M4" s="89"/>
      <c r="N4" s="89"/>
      <c r="O4" s="89"/>
      <c r="P4" s="89"/>
      <c r="Q4" s="89"/>
      <c r="R4" s="89"/>
      <c r="S4" s="89"/>
      <c r="T4" s="89"/>
      <c r="U4" s="89"/>
      <c r="V4" s="89"/>
      <c r="W4" s="89"/>
      <c r="X4" s="89"/>
      <c r="Y4" s="89"/>
      <c r="Z4" s="89"/>
      <c r="AA4" s="89"/>
      <c r="AB4" s="818"/>
      <c r="AC4" s="818"/>
      <c r="AD4" s="818"/>
      <c r="AE4" s="818"/>
      <c r="AF4" s="818"/>
    </row>
    <row r="5" spans="1:32" ht="15.75">
      <c r="A5" s="580"/>
      <c r="B5" s="29"/>
      <c r="C5" s="29"/>
      <c r="D5" s="29"/>
      <c r="E5" s="29"/>
      <c r="F5" s="29"/>
      <c r="G5" s="29"/>
      <c r="H5" s="516"/>
      <c r="I5" s="516"/>
      <c r="K5" s="89"/>
      <c r="L5" s="89"/>
      <c r="M5" s="89"/>
      <c r="N5" s="89"/>
      <c r="O5" s="89"/>
      <c r="P5" s="89"/>
      <c r="Q5" s="89"/>
      <c r="R5" s="89"/>
      <c r="S5" s="89"/>
      <c r="T5" s="89"/>
      <c r="U5" s="89"/>
      <c r="V5" s="89"/>
      <c r="W5" s="89"/>
      <c r="X5" s="89"/>
      <c r="Y5" s="89"/>
      <c r="Z5" s="89"/>
      <c r="AA5" s="89"/>
      <c r="AB5" s="818"/>
      <c r="AC5" s="818"/>
      <c r="AD5" s="818"/>
      <c r="AE5" s="818"/>
      <c r="AF5" s="818"/>
    </row>
    <row r="6" spans="1:32" ht="60">
      <c r="A6" s="89"/>
      <c r="B6" s="89"/>
      <c r="C6" s="89"/>
      <c r="D6" s="89"/>
      <c r="E6" s="89"/>
      <c r="F6" s="89"/>
      <c r="G6" s="796" t="s">
        <v>1524</v>
      </c>
      <c r="H6" s="89"/>
      <c r="I6" s="796" t="s">
        <v>1523</v>
      </c>
      <c r="J6" s="89"/>
      <c r="K6" s="89"/>
      <c r="L6" s="89"/>
      <c r="M6" s="89"/>
      <c r="N6" s="89"/>
      <c r="O6" s="89"/>
      <c r="P6" s="89"/>
      <c r="Q6" s="89"/>
      <c r="R6" s="89"/>
      <c r="S6" s="89"/>
      <c r="T6" s="89"/>
      <c r="U6" s="89"/>
      <c r="V6" s="89"/>
      <c r="W6" s="89"/>
      <c r="X6" s="89"/>
      <c r="Y6" s="89"/>
      <c r="Z6" s="89"/>
      <c r="AA6" s="89"/>
      <c r="AB6" s="818"/>
      <c r="AC6" s="818"/>
      <c r="AD6" s="818"/>
      <c r="AE6" s="818"/>
      <c r="AF6" s="818"/>
    </row>
    <row r="7" spans="1:32" ht="15.75">
      <c r="A7" s="89" t="s">
        <v>1518</v>
      </c>
      <c r="B7" s="89"/>
      <c r="C7" s="89"/>
      <c r="D7" s="89"/>
      <c r="E7" s="89"/>
      <c r="F7" s="89"/>
      <c r="G7" s="553">
        <f>+'Residential Mukilteo'!H70</f>
        <v>189792.83</v>
      </c>
      <c r="H7" s="89"/>
      <c r="I7" s="553">
        <f>ROUND(((G7/12)*4),0)</f>
        <v>63264</v>
      </c>
      <c r="J7" s="89"/>
      <c r="K7" s="553"/>
      <c r="L7" s="89"/>
      <c r="M7" s="89"/>
      <c r="N7" s="89"/>
      <c r="O7" s="89"/>
      <c r="P7" s="89"/>
      <c r="Q7" s="89"/>
      <c r="R7" s="89"/>
      <c r="S7" s="89"/>
      <c r="T7" s="89"/>
      <c r="U7" s="89"/>
      <c r="V7" s="89"/>
      <c r="W7" s="89"/>
      <c r="X7" s="89"/>
      <c r="Y7" s="89"/>
      <c r="Z7" s="89"/>
      <c r="AA7" s="89"/>
      <c r="AB7" s="818"/>
      <c r="AC7" s="818"/>
      <c r="AD7" s="818"/>
      <c r="AE7" s="818"/>
      <c r="AF7" s="818"/>
    </row>
    <row r="8" spans="1:32" ht="15.75">
      <c r="A8" s="89" t="s">
        <v>1519</v>
      </c>
      <c r="B8" s="89"/>
      <c r="C8" s="89"/>
      <c r="D8" s="89"/>
      <c r="E8" s="89"/>
      <c r="F8" s="89"/>
      <c r="G8" s="553">
        <f>+'Residential Mukilteo'!I70</f>
        <v>78845.809999999983</v>
      </c>
      <c r="H8" s="89"/>
      <c r="I8" s="553">
        <f t="shared" ref="I8:I12" si="0">ROUND(((G8/12)*4),0)</f>
        <v>26282</v>
      </c>
      <c r="J8" s="89"/>
      <c r="K8" s="89"/>
      <c r="L8" s="89"/>
      <c r="M8" s="89"/>
      <c r="N8" s="89"/>
      <c r="O8" s="89"/>
      <c r="P8" s="89"/>
      <c r="Q8" s="89"/>
      <c r="R8" s="89"/>
      <c r="S8" s="89"/>
      <c r="T8" s="89"/>
      <c r="U8" s="89"/>
      <c r="V8" s="89"/>
      <c r="W8" s="89"/>
      <c r="X8" s="89"/>
      <c r="Y8" s="89"/>
      <c r="Z8" s="89"/>
      <c r="AA8" s="89"/>
      <c r="AB8" s="818"/>
      <c r="AC8" s="818"/>
      <c r="AD8" s="818"/>
      <c r="AE8" s="818"/>
      <c r="AF8" s="818"/>
    </row>
    <row r="9" spans="1:32" ht="15.75">
      <c r="A9" s="89" t="s">
        <v>1520</v>
      </c>
      <c r="B9" s="89"/>
      <c r="C9" s="89"/>
      <c r="D9" s="89"/>
      <c r="E9" s="89"/>
      <c r="F9" s="89"/>
      <c r="G9" s="553">
        <f>+'Residential Mukilteo'!J70</f>
        <v>69682.11</v>
      </c>
      <c r="H9" s="89"/>
      <c r="I9" s="553">
        <f t="shared" si="0"/>
        <v>23227</v>
      </c>
      <c r="J9" s="89"/>
      <c r="K9" s="89"/>
      <c r="L9" s="89"/>
      <c r="M9" s="89"/>
      <c r="N9" s="89"/>
      <c r="O9" s="89"/>
      <c r="P9" s="89"/>
      <c r="Q9" s="89"/>
      <c r="R9" s="89"/>
      <c r="S9" s="89"/>
      <c r="T9" s="89"/>
      <c r="U9" s="89"/>
      <c r="V9" s="89"/>
      <c r="W9" s="89"/>
      <c r="X9" s="89"/>
      <c r="Y9" s="89"/>
      <c r="Z9" s="89"/>
      <c r="AA9" s="89"/>
      <c r="AB9" s="818"/>
      <c r="AC9" s="818"/>
      <c r="AD9" s="818"/>
      <c r="AE9" s="818"/>
      <c r="AF9" s="818"/>
    </row>
    <row r="10" spans="1:32" ht="15.75">
      <c r="A10" s="89" t="s">
        <v>1521</v>
      </c>
      <c r="B10" s="89"/>
      <c r="C10" s="89"/>
      <c r="D10" s="89"/>
      <c r="E10" s="89"/>
      <c r="F10" s="89"/>
      <c r="G10" s="578">
        <f>+'Commercial Mukilteo'!E78</f>
        <v>54901.664140000001</v>
      </c>
      <c r="H10" s="89"/>
      <c r="I10" s="553">
        <f t="shared" si="0"/>
        <v>18301</v>
      </c>
      <c r="J10" s="89"/>
      <c r="K10" s="89"/>
      <c r="L10" s="89"/>
      <c r="M10" s="89"/>
      <c r="N10" s="89"/>
      <c r="O10" s="89"/>
      <c r="P10" s="89"/>
      <c r="Q10" s="89"/>
      <c r="R10" s="89"/>
      <c r="S10" s="89"/>
      <c r="T10" s="89"/>
      <c r="U10" s="89"/>
      <c r="V10" s="89"/>
      <c r="W10" s="89"/>
      <c r="X10" s="89"/>
      <c r="Y10" s="89"/>
      <c r="Z10" s="89"/>
      <c r="AA10" s="89"/>
      <c r="AB10" s="818"/>
      <c r="AC10" s="818"/>
      <c r="AD10" s="818"/>
      <c r="AE10" s="818"/>
      <c r="AF10" s="818"/>
    </row>
    <row r="11" spans="1:32" ht="15.75">
      <c r="A11" s="89" t="s">
        <v>1522</v>
      </c>
      <c r="B11" s="89"/>
      <c r="C11" s="89"/>
      <c r="D11" s="89"/>
      <c r="E11" s="89"/>
      <c r="F11" s="89"/>
      <c r="G11" s="811">
        <f>+'Commercial Mukilteo'!E108</f>
        <v>11040.599999999999</v>
      </c>
      <c r="H11" s="89"/>
      <c r="I11" s="627">
        <f t="shared" si="0"/>
        <v>3680</v>
      </c>
      <c r="J11" s="89"/>
      <c r="K11" s="89"/>
      <c r="L11" s="89"/>
      <c r="M11" s="89"/>
      <c r="N11" s="89"/>
      <c r="O11" s="89"/>
      <c r="P11" s="89"/>
      <c r="Q11" s="89"/>
      <c r="R11" s="89"/>
      <c r="S11" s="89"/>
      <c r="T11" s="89"/>
      <c r="U11" s="89"/>
      <c r="V11" s="89"/>
      <c r="W11" s="89"/>
      <c r="X11" s="89"/>
      <c r="Y11" s="89"/>
      <c r="Z11" s="89"/>
      <c r="AA11" s="89"/>
      <c r="AB11" s="818"/>
      <c r="AC11" s="818"/>
      <c r="AD11" s="818"/>
      <c r="AE11" s="818"/>
      <c r="AF11" s="818"/>
    </row>
    <row r="12" spans="1:32" ht="15.75">
      <c r="A12" s="89"/>
      <c r="B12" s="89"/>
      <c r="C12" s="89"/>
      <c r="D12" s="89"/>
      <c r="E12" s="89"/>
      <c r="F12" s="89"/>
      <c r="G12" s="553">
        <f>SUM(G7:G11)</f>
        <v>404263.01413999993</v>
      </c>
      <c r="H12" s="89"/>
      <c r="I12" s="553">
        <f t="shared" si="0"/>
        <v>134754</v>
      </c>
      <c r="J12" s="89"/>
      <c r="K12" s="89"/>
      <c r="L12" s="89"/>
      <c r="M12" s="89"/>
      <c r="N12" s="89"/>
      <c r="O12" s="89"/>
      <c r="P12" s="89"/>
      <c r="Q12" s="89"/>
      <c r="R12" s="89"/>
      <c r="S12" s="89"/>
      <c r="T12" s="89"/>
      <c r="U12" s="89"/>
      <c r="V12" s="89"/>
      <c r="W12" s="89"/>
      <c r="X12" s="89"/>
      <c r="Y12" s="89"/>
      <c r="Z12" s="89"/>
      <c r="AA12" s="89"/>
      <c r="AB12" s="818"/>
      <c r="AC12" s="818"/>
      <c r="AD12" s="818"/>
      <c r="AE12" s="818"/>
      <c r="AF12" s="818"/>
    </row>
    <row r="13" spans="1:32" ht="15.75">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18"/>
      <c r="AC13" s="818"/>
      <c r="AD13" s="818"/>
      <c r="AE13" s="818"/>
      <c r="AF13" s="818"/>
    </row>
    <row r="14" spans="1:32" ht="15.7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18"/>
      <c r="AC14" s="818"/>
      <c r="AD14" s="818"/>
      <c r="AE14" s="818"/>
      <c r="AF14" s="818"/>
    </row>
    <row r="15" spans="1:32" ht="15.75">
      <c r="A15" s="89"/>
      <c r="B15" s="89"/>
      <c r="C15" s="89"/>
      <c r="D15" s="89"/>
      <c r="E15" s="89"/>
      <c r="F15" s="89"/>
      <c r="G15" s="89"/>
      <c r="H15" s="89"/>
      <c r="I15" s="89"/>
      <c r="J15" s="89"/>
      <c r="K15" s="89"/>
      <c r="L15" s="89"/>
      <c r="M15" s="276" t="s">
        <v>1540</v>
      </c>
      <c r="N15" s="276" t="s">
        <v>1543</v>
      </c>
      <c r="O15" s="276" t="s">
        <v>1543</v>
      </c>
      <c r="P15" s="89"/>
      <c r="Q15" s="89"/>
      <c r="R15" s="89"/>
      <c r="S15" s="89"/>
      <c r="T15" s="89"/>
      <c r="U15" s="89"/>
      <c r="V15" s="89"/>
      <c r="W15" s="89"/>
      <c r="X15" s="89"/>
      <c r="Y15" s="89"/>
      <c r="Z15" s="89"/>
      <c r="AA15" s="89"/>
      <c r="AB15" s="818"/>
      <c r="AC15" s="818"/>
      <c r="AD15" s="818"/>
      <c r="AE15" s="818"/>
      <c r="AF15" s="818"/>
    </row>
    <row r="16" spans="1:32" ht="15.75">
      <c r="A16" s="89" t="s">
        <v>1530</v>
      </c>
      <c r="B16" s="89"/>
      <c r="C16" s="89"/>
      <c r="D16" s="89"/>
      <c r="E16" s="89"/>
      <c r="F16" s="276" t="s">
        <v>1137</v>
      </c>
      <c r="G16" s="276" t="s">
        <v>1137</v>
      </c>
      <c r="H16" s="276" t="s">
        <v>1137</v>
      </c>
      <c r="I16" s="276" t="s">
        <v>1137</v>
      </c>
      <c r="J16" s="276"/>
      <c r="K16" s="276" t="s">
        <v>1539</v>
      </c>
      <c r="L16" s="276" t="s">
        <v>1541</v>
      </c>
      <c r="M16" s="276" t="s">
        <v>1544</v>
      </c>
      <c r="N16" s="276" t="s">
        <v>1546</v>
      </c>
      <c r="O16" s="276" t="s">
        <v>648</v>
      </c>
      <c r="P16" s="276" t="s">
        <v>1548</v>
      </c>
      <c r="R16" s="89"/>
      <c r="S16" s="89"/>
      <c r="T16" s="89"/>
      <c r="U16" s="89"/>
      <c r="V16" s="89"/>
      <c r="W16" s="89"/>
      <c r="X16" s="89"/>
      <c r="Y16" s="89"/>
      <c r="Z16" s="89"/>
      <c r="AA16" s="89"/>
      <c r="AB16" s="818"/>
      <c r="AC16" s="818"/>
      <c r="AD16" s="818"/>
      <c r="AE16" s="818"/>
      <c r="AF16" s="818"/>
    </row>
    <row r="17" spans="1:32" ht="15.75">
      <c r="A17" s="89"/>
      <c r="B17" s="89"/>
      <c r="C17" s="89"/>
      <c r="D17" s="89"/>
      <c r="E17" s="89"/>
      <c r="F17" s="276" t="s">
        <v>1552</v>
      </c>
      <c r="G17" s="276" t="s">
        <v>1551</v>
      </c>
      <c r="H17" s="276" t="s">
        <v>1550</v>
      </c>
      <c r="I17" s="276" t="s">
        <v>1536</v>
      </c>
      <c r="J17" s="276" t="s">
        <v>1537</v>
      </c>
      <c r="K17" s="276" t="s">
        <v>1538</v>
      </c>
      <c r="L17" s="276" t="s">
        <v>1542</v>
      </c>
      <c r="M17" s="276" t="s">
        <v>1545</v>
      </c>
      <c r="N17" s="276" t="s">
        <v>1545</v>
      </c>
      <c r="O17" s="276" t="s">
        <v>1547</v>
      </c>
      <c r="P17" s="276" t="s">
        <v>1549</v>
      </c>
      <c r="R17" s="89"/>
      <c r="S17" s="89"/>
      <c r="T17" s="89"/>
      <c r="U17" s="89"/>
      <c r="V17" s="89"/>
      <c r="W17" s="89"/>
      <c r="X17" s="89"/>
      <c r="Y17" s="89"/>
      <c r="Z17" s="89"/>
      <c r="AA17" s="89"/>
      <c r="AB17" s="818"/>
      <c r="AC17" s="818"/>
      <c r="AD17" s="818"/>
      <c r="AE17" s="818"/>
      <c r="AF17" s="818"/>
    </row>
    <row r="18" spans="1:32" ht="15.75">
      <c r="A18" s="89" t="s">
        <v>1531</v>
      </c>
      <c r="B18" s="89"/>
      <c r="C18" s="89"/>
      <c r="D18" s="89"/>
      <c r="E18" s="89"/>
      <c r="F18" s="89">
        <v>24</v>
      </c>
      <c r="G18" s="89">
        <v>16</v>
      </c>
      <c r="H18" s="89">
        <f>+F18-G18</f>
        <v>8</v>
      </c>
      <c r="I18" s="89">
        <f>+H18*52</f>
        <v>416</v>
      </c>
      <c r="J18" s="89">
        <f>+'Garbage Payroll'!L6</f>
        <v>32.25</v>
      </c>
      <c r="K18" s="127">
        <f>+J18*0.0765</f>
        <v>2.4671249999999998</v>
      </c>
      <c r="L18" s="127">
        <f>1600.6*12/2080</f>
        <v>9.2342307692307681</v>
      </c>
      <c r="M18" s="89"/>
      <c r="N18" s="89">
        <v>4.8899999999999997</v>
      </c>
      <c r="O18" s="127">
        <f>SUM(J18:N18)</f>
        <v>48.841355769230773</v>
      </c>
      <c r="P18" s="127">
        <f>+I18*O18</f>
        <v>20318.004000000001</v>
      </c>
      <c r="R18" s="89"/>
      <c r="S18" s="89"/>
      <c r="T18" s="89"/>
      <c r="U18" s="89"/>
      <c r="V18" s="89"/>
      <c r="W18" s="89"/>
      <c r="X18" s="89"/>
      <c r="Y18" s="89"/>
      <c r="Z18" s="89"/>
      <c r="AA18" s="89"/>
      <c r="AB18" s="818"/>
      <c r="AC18" s="818"/>
      <c r="AD18" s="818"/>
      <c r="AE18" s="818"/>
      <c r="AF18" s="818"/>
    </row>
    <row r="19" spans="1:32" ht="15.75">
      <c r="A19" s="89" t="s">
        <v>1532</v>
      </c>
      <c r="B19" s="89"/>
      <c r="C19" s="89"/>
      <c r="D19" s="89"/>
      <c r="E19" s="89"/>
      <c r="F19" s="89">
        <v>12</v>
      </c>
      <c r="G19" s="89">
        <v>8</v>
      </c>
      <c r="H19" s="89">
        <f t="shared" ref="H19:H22" si="1">+F19-G19</f>
        <v>4</v>
      </c>
      <c r="I19" s="89">
        <f t="shared" ref="I19:I22" si="2">+H19*52</f>
        <v>208</v>
      </c>
      <c r="J19" s="89">
        <v>24.15</v>
      </c>
      <c r="K19" s="89"/>
      <c r="L19" s="127">
        <f>1353.1*12/2080</f>
        <v>7.8063461538461532</v>
      </c>
      <c r="M19" s="89">
        <v>4.8899999999999997</v>
      </c>
      <c r="N19" s="89"/>
      <c r="O19" s="127">
        <f t="shared" ref="O19:O21" si="3">SUM(J19:N19)</f>
        <v>36.846346153846149</v>
      </c>
      <c r="P19" s="127">
        <f t="shared" ref="P19:P21" si="4">+I19*O19</f>
        <v>7664.0399999999991</v>
      </c>
      <c r="R19" s="89"/>
      <c r="S19" s="89"/>
      <c r="T19" s="89"/>
      <c r="U19" s="89"/>
      <c r="V19" s="89"/>
      <c r="W19" s="89"/>
      <c r="X19" s="89"/>
      <c r="Y19" s="89"/>
      <c r="Z19" s="89"/>
      <c r="AA19" s="89"/>
      <c r="AB19" s="818"/>
      <c r="AC19" s="818"/>
      <c r="AD19" s="818"/>
      <c r="AE19" s="818"/>
      <c r="AF19" s="818"/>
    </row>
    <row r="20" spans="1:32" ht="15.75">
      <c r="A20" s="89" t="s">
        <v>1533</v>
      </c>
      <c r="B20" s="89"/>
      <c r="C20" s="89"/>
      <c r="D20" s="89"/>
      <c r="E20" s="89"/>
      <c r="F20" s="89">
        <v>8</v>
      </c>
      <c r="G20" s="89">
        <v>4</v>
      </c>
      <c r="H20" s="89">
        <f t="shared" si="1"/>
        <v>4</v>
      </c>
      <c r="I20" s="89">
        <f t="shared" si="2"/>
        <v>208</v>
      </c>
      <c r="J20" s="89">
        <v>25.73</v>
      </c>
      <c r="K20" s="89"/>
      <c r="L20" s="127">
        <f>1353.1*12/2080</f>
        <v>7.8063461538461532</v>
      </c>
      <c r="M20" s="89">
        <v>4.8899999999999997</v>
      </c>
      <c r="N20" s="89"/>
      <c r="O20" s="127">
        <f t="shared" si="3"/>
        <v>38.426346153846154</v>
      </c>
      <c r="P20" s="127">
        <f t="shared" si="4"/>
        <v>7992.68</v>
      </c>
      <c r="R20" s="89"/>
      <c r="S20" s="89"/>
      <c r="T20" s="89"/>
      <c r="U20" s="89"/>
      <c r="V20" s="89"/>
      <c r="W20" s="89"/>
      <c r="X20" s="89"/>
      <c r="Y20" s="89"/>
      <c r="Z20" s="89"/>
      <c r="AA20" s="89"/>
      <c r="AB20" s="818"/>
      <c r="AC20" s="818"/>
      <c r="AD20" s="818"/>
      <c r="AE20" s="818"/>
      <c r="AF20" s="818"/>
    </row>
    <row r="21" spans="1:32" ht="15.75">
      <c r="A21" s="89" t="s">
        <v>1534</v>
      </c>
      <c r="B21" s="89"/>
      <c r="C21" s="89"/>
      <c r="D21" s="89"/>
      <c r="E21" s="89"/>
      <c r="F21" s="89">
        <v>8</v>
      </c>
      <c r="G21" s="89">
        <v>4</v>
      </c>
      <c r="H21" s="89">
        <f t="shared" si="1"/>
        <v>4</v>
      </c>
      <c r="I21" s="89">
        <f t="shared" si="2"/>
        <v>208</v>
      </c>
      <c r="J21" s="89">
        <v>32.25</v>
      </c>
      <c r="K21" s="89"/>
      <c r="L21" s="127">
        <f t="shared" ref="L21" si="5">1600.6*12/2080</f>
        <v>9.2342307692307681</v>
      </c>
      <c r="M21" s="89"/>
      <c r="N21" s="89">
        <v>4.8899999999999997</v>
      </c>
      <c r="O21" s="127">
        <f t="shared" si="3"/>
        <v>46.37423076923077</v>
      </c>
      <c r="P21" s="127">
        <f t="shared" si="4"/>
        <v>9645.84</v>
      </c>
      <c r="R21" s="89"/>
      <c r="S21" s="89"/>
      <c r="T21" s="89"/>
      <c r="U21" s="89"/>
      <c r="V21" s="89"/>
      <c r="W21" s="89"/>
      <c r="X21" s="89"/>
      <c r="Y21" s="89"/>
      <c r="Z21" s="89"/>
      <c r="AA21" s="89"/>
      <c r="AB21" s="818"/>
      <c r="AC21" s="818"/>
      <c r="AD21" s="818"/>
      <c r="AE21" s="818"/>
      <c r="AF21" s="818"/>
    </row>
    <row r="22" spans="1:32" ht="15.75">
      <c r="A22" s="89" t="s">
        <v>1535</v>
      </c>
      <c r="B22" s="89"/>
      <c r="C22" s="89"/>
      <c r="D22" s="89"/>
      <c r="E22" s="89"/>
      <c r="F22" s="89">
        <v>4</v>
      </c>
      <c r="G22" s="89">
        <v>4</v>
      </c>
      <c r="H22" s="89">
        <f t="shared" si="1"/>
        <v>0</v>
      </c>
      <c r="I22" s="89">
        <f t="shared" si="2"/>
        <v>0</v>
      </c>
      <c r="J22" s="89"/>
      <c r="K22" s="89"/>
      <c r="L22" s="89"/>
      <c r="M22" s="89"/>
      <c r="N22" s="89"/>
      <c r="O22" s="89"/>
      <c r="P22" s="128"/>
      <c r="R22" s="89"/>
      <c r="S22" s="89"/>
      <c r="T22" s="89"/>
      <c r="U22" s="89"/>
      <c r="V22" s="89"/>
      <c r="W22" s="89"/>
      <c r="X22" s="89"/>
      <c r="Y22" s="89"/>
      <c r="Z22" s="89"/>
      <c r="AA22" s="89"/>
      <c r="AB22" s="818"/>
      <c r="AC22" s="818"/>
      <c r="AD22" s="818"/>
      <c r="AE22" s="818"/>
      <c r="AF22" s="818"/>
    </row>
    <row r="23" spans="1:32" ht="15.75">
      <c r="A23" s="89"/>
      <c r="B23" s="89"/>
      <c r="C23" s="89"/>
      <c r="D23" s="89"/>
      <c r="E23" s="89"/>
      <c r="F23" s="89"/>
      <c r="G23" s="89"/>
      <c r="H23" s="89"/>
      <c r="I23" s="89"/>
      <c r="J23" s="89"/>
      <c r="K23" s="89"/>
      <c r="L23" s="89"/>
      <c r="M23" s="89"/>
      <c r="N23" s="89"/>
      <c r="O23" s="89"/>
      <c r="P23" s="127">
        <f>SUM(P18:P22)</f>
        <v>45620.563999999998</v>
      </c>
      <c r="R23" s="89"/>
      <c r="S23" s="89"/>
      <c r="T23" s="89"/>
      <c r="U23" s="89"/>
      <c r="V23" s="89"/>
      <c r="W23" s="89"/>
      <c r="X23" s="89"/>
      <c r="Y23" s="89"/>
      <c r="Z23" s="89"/>
      <c r="AA23" s="89"/>
      <c r="AB23" s="818"/>
      <c r="AC23" s="818"/>
      <c r="AD23" s="818"/>
      <c r="AE23" s="818"/>
      <c r="AF23" s="818"/>
    </row>
    <row r="24" spans="1:32" ht="15.75">
      <c r="A24" s="89"/>
      <c r="B24" s="89"/>
      <c r="C24" s="89"/>
      <c r="D24" s="89"/>
      <c r="E24" s="89"/>
      <c r="F24" s="89"/>
      <c r="G24" s="89"/>
      <c r="H24" s="89"/>
      <c r="I24" s="89"/>
      <c r="J24" s="89"/>
      <c r="K24" s="89"/>
      <c r="L24" s="89"/>
      <c r="M24" s="89"/>
      <c r="N24" s="89"/>
      <c r="O24" s="89"/>
      <c r="P24" s="89"/>
      <c r="R24" s="89"/>
      <c r="S24" s="89"/>
      <c r="T24" s="89"/>
      <c r="U24" s="89"/>
      <c r="V24" s="89"/>
      <c r="W24" s="89"/>
      <c r="X24" s="89"/>
      <c r="Y24" s="89"/>
      <c r="Z24" s="89"/>
      <c r="AA24" s="89"/>
      <c r="AB24" s="818"/>
      <c r="AC24" s="818"/>
      <c r="AD24" s="818"/>
      <c r="AE24" s="818"/>
      <c r="AF24" s="818"/>
    </row>
    <row r="25" spans="1:32" ht="15.75">
      <c r="A25" s="89" t="s">
        <v>1553</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18"/>
      <c r="AC25" s="818"/>
      <c r="AD25" s="818"/>
      <c r="AE25" s="818"/>
      <c r="AF25" s="818"/>
    </row>
    <row r="26" spans="1:32" ht="15.7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18"/>
      <c r="AC26" s="818"/>
      <c r="AD26" s="818"/>
      <c r="AE26" s="818"/>
      <c r="AF26" s="818"/>
    </row>
    <row r="27" spans="1:32" ht="15.75">
      <c r="A27" s="89" t="s">
        <v>1555</v>
      </c>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18"/>
      <c r="AC27" s="818"/>
      <c r="AD27" s="818"/>
      <c r="AE27" s="818"/>
      <c r="AF27" s="818"/>
    </row>
    <row r="28" spans="1:32" ht="15.7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18"/>
      <c r="AC28" s="818"/>
      <c r="AD28" s="818"/>
      <c r="AE28" s="818"/>
      <c r="AF28" s="818"/>
    </row>
    <row r="29" spans="1:32" ht="15.7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18"/>
      <c r="AC29" s="818"/>
      <c r="AD29" s="818"/>
      <c r="AE29" s="818"/>
      <c r="AF29" s="818"/>
    </row>
    <row r="30" spans="1:32" ht="15.7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18"/>
      <c r="AC30" s="818"/>
      <c r="AD30" s="818"/>
      <c r="AE30" s="818"/>
      <c r="AF30" s="818"/>
    </row>
    <row r="31" spans="1:32" ht="15.7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18"/>
      <c r="AC31" s="818"/>
      <c r="AD31" s="818"/>
      <c r="AE31" s="818"/>
      <c r="AF31" s="818"/>
    </row>
    <row r="32" spans="1:32" ht="15.7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18"/>
      <c r="AC32" s="818"/>
      <c r="AD32" s="818"/>
      <c r="AE32" s="818"/>
      <c r="AF32" s="818"/>
    </row>
    <row r="33" spans="1:32" ht="15.7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18"/>
      <c r="AC33" s="818"/>
      <c r="AD33" s="818"/>
      <c r="AE33" s="818"/>
      <c r="AF33" s="818"/>
    </row>
    <row r="34" spans="1:32" ht="15.7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18"/>
      <c r="AC34" s="818"/>
      <c r="AD34" s="818"/>
      <c r="AE34" s="818"/>
      <c r="AF34" s="818"/>
    </row>
    <row r="35" spans="1:32" ht="15.7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18"/>
      <c r="AC35" s="818"/>
      <c r="AD35" s="818"/>
      <c r="AE35" s="818"/>
      <c r="AF35" s="818"/>
    </row>
    <row r="36" spans="1:32" ht="15.7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18"/>
      <c r="AC36" s="818"/>
      <c r="AD36" s="818"/>
      <c r="AE36" s="818"/>
      <c r="AF36" s="818"/>
    </row>
    <row r="37" spans="1:32" ht="15.7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18"/>
      <c r="AC37" s="818"/>
      <c r="AD37" s="818"/>
      <c r="AE37" s="818"/>
      <c r="AF37" s="818"/>
    </row>
    <row r="38" spans="1:32" ht="15.7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18"/>
      <c r="AC38" s="818"/>
      <c r="AD38" s="818"/>
      <c r="AE38" s="818"/>
      <c r="AF38" s="818"/>
    </row>
    <row r="39" spans="1:32" ht="15.7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18"/>
      <c r="AC39" s="818"/>
      <c r="AD39" s="818"/>
      <c r="AE39" s="818"/>
      <c r="AF39" s="818"/>
    </row>
    <row r="40" spans="1:32" ht="15.7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18"/>
      <c r="AC40" s="818"/>
      <c r="AD40" s="818"/>
      <c r="AE40" s="818"/>
      <c r="AF40" s="818"/>
    </row>
    <row r="41" spans="1:32" ht="15.7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18"/>
      <c r="AC41" s="818"/>
      <c r="AD41" s="818"/>
      <c r="AE41" s="818"/>
      <c r="AF41" s="818"/>
    </row>
    <row r="42" spans="1:32" ht="15.7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18"/>
      <c r="AC42" s="818"/>
      <c r="AD42" s="818"/>
      <c r="AE42" s="818"/>
      <c r="AF42" s="818"/>
    </row>
    <row r="43" spans="1:32" ht="15.7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18"/>
      <c r="AC43" s="818"/>
      <c r="AD43" s="818"/>
      <c r="AE43" s="818"/>
      <c r="AF43" s="818"/>
    </row>
    <row r="44" spans="1:32" ht="15.7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18"/>
      <c r="AC44" s="818"/>
      <c r="AD44" s="818"/>
      <c r="AE44" s="818"/>
      <c r="AF44" s="818"/>
    </row>
    <row r="45" spans="1:32" ht="15.7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18"/>
      <c r="AC45" s="818"/>
      <c r="AD45" s="818"/>
      <c r="AE45" s="818"/>
      <c r="AF45" s="818"/>
    </row>
    <row r="46" spans="1:32" ht="15.7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18"/>
      <c r="AC46" s="818"/>
      <c r="AD46" s="818"/>
      <c r="AE46" s="818"/>
      <c r="AF46" s="818"/>
    </row>
    <row r="47" spans="1:32" ht="15.75">
      <c r="H47" s="516"/>
      <c r="I47" s="516"/>
      <c r="K47" s="89"/>
      <c r="L47" s="89"/>
      <c r="M47" s="89"/>
      <c r="N47" s="89"/>
      <c r="O47" s="89"/>
      <c r="P47" s="89"/>
      <c r="Q47" s="89"/>
      <c r="R47" s="89"/>
      <c r="S47" s="89"/>
      <c r="T47" s="89"/>
      <c r="U47" s="89"/>
      <c r="V47" s="89"/>
      <c r="W47" s="89"/>
      <c r="X47" s="89"/>
      <c r="Y47" s="89"/>
      <c r="Z47" s="89"/>
      <c r="AA47" s="89"/>
      <c r="AB47" s="818"/>
      <c r="AC47" s="818"/>
      <c r="AD47" s="818"/>
      <c r="AE47" s="818"/>
      <c r="AF47" s="818"/>
    </row>
    <row r="48" spans="1:32" ht="15.75">
      <c r="H48" s="516"/>
      <c r="I48" s="516"/>
      <c r="K48" s="89"/>
      <c r="L48" s="89"/>
      <c r="M48" s="89"/>
      <c r="N48" s="89"/>
      <c r="O48" s="89"/>
      <c r="P48" s="89"/>
      <c r="Q48" s="89"/>
      <c r="R48" s="89"/>
      <c r="S48" s="89"/>
      <c r="T48" s="89"/>
      <c r="U48" s="89"/>
      <c r="V48" s="89"/>
      <c r="W48" s="89"/>
      <c r="X48" s="89"/>
      <c r="Y48" s="89"/>
      <c r="Z48" s="89"/>
      <c r="AA48" s="89"/>
      <c r="AB48" s="818"/>
      <c r="AC48" s="818"/>
      <c r="AD48" s="818"/>
      <c r="AE48" s="818"/>
      <c r="AF48" s="818"/>
    </row>
    <row r="49" spans="8:32" ht="15.75">
      <c r="H49" s="516"/>
      <c r="I49" s="516"/>
      <c r="K49" s="89"/>
      <c r="L49" s="89"/>
      <c r="M49" s="89"/>
      <c r="N49" s="89"/>
      <c r="O49" s="89"/>
      <c r="P49" s="89"/>
      <c r="Q49" s="89"/>
      <c r="R49" s="89"/>
      <c r="S49" s="89"/>
      <c r="T49" s="89"/>
      <c r="U49" s="89"/>
      <c r="V49" s="89"/>
      <c r="W49" s="89"/>
      <c r="X49" s="89"/>
      <c r="Y49" s="89"/>
      <c r="Z49" s="89"/>
      <c r="AA49" s="89"/>
      <c r="AB49" s="818"/>
      <c r="AC49" s="818"/>
      <c r="AD49" s="818"/>
      <c r="AE49" s="818"/>
      <c r="AF49" s="818"/>
    </row>
    <row r="50" spans="8:32" ht="15.75">
      <c r="H50" s="516"/>
      <c r="I50" s="516"/>
      <c r="K50" s="89"/>
      <c r="L50" s="89"/>
      <c r="M50" s="89"/>
      <c r="N50" s="89"/>
      <c r="O50" s="89"/>
      <c r="P50" s="89"/>
      <c r="Q50" s="89"/>
      <c r="R50" s="89"/>
      <c r="S50" s="89"/>
      <c r="T50" s="89"/>
      <c r="U50" s="89"/>
      <c r="V50" s="89"/>
      <c r="W50" s="89"/>
      <c r="X50" s="89"/>
      <c r="Y50" s="89"/>
      <c r="Z50" s="89"/>
      <c r="AA50" s="89"/>
      <c r="AB50" s="818"/>
      <c r="AC50" s="818"/>
      <c r="AD50" s="818"/>
      <c r="AE50" s="818"/>
      <c r="AF50" s="818"/>
    </row>
    <row r="51" spans="8:32" ht="15.75">
      <c r="H51" s="516"/>
      <c r="I51" s="516"/>
      <c r="K51" s="89"/>
      <c r="L51" s="89"/>
      <c r="M51" s="89"/>
      <c r="N51" s="89"/>
      <c r="O51" s="89"/>
      <c r="P51" s="89"/>
      <c r="Q51" s="89"/>
      <c r="R51" s="89"/>
      <c r="S51" s="89"/>
      <c r="T51" s="89"/>
      <c r="U51" s="89"/>
      <c r="V51" s="89"/>
      <c r="W51" s="89"/>
      <c r="X51" s="89"/>
      <c r="Y51" s="89"/>
      <c r="Z51" s="89"/>
      <c r="AA51" s="89"/>
      <c r="AB51" s="818"/>
      <c r="AC51" s="818"/>
      <c r="AD51" s="818"/>
      <c r="AE51" s="818"/>
      <c r="AF51" s="818"/>
    </row>
    <row r="52" spans="8:32" ht="15.75">
      <c r="H52" s="516"/>
      <c r="I52" s="516"/>
      <c r="K52" s="89"/>
      <c r="L52" s="89"/>
      <c r="M52" s="89"/>
      <c r="N52" s="89"/>
      <c r="O52" s="89"/>
      <c r="P52" s="89"/>
      <c r="Q52" s="89"/>
      <c r="R52" s="89"/>
      <c r="S52" s="89"/>
      <c r="T52" s="89"/>
      <c r="U52" s="89"/>
      <c r="V52" s="89"/>
      <c r="W52" s="89"/>
      <c r="X52" s="89"/>
      <c r="Y52" s="89"/>
      <c r="Z52" s="89"/>
      <c r="AA52" s="89"/>
      <c r="AB52" s="818"/>
      <c r="AC52" s="818"/>
      <c r="AD52" s="818"/>
      <c r="AE52" s="818"/>
      <c r="AF52" s="818"/>
    </row>
    <row r="53" spans="8:32" ht="15.75">
      <c r="H53" s="516"/>
      <c r="I53" s="516"/>
      <c r="K53" s="89"/>
      <c r="L53" s="89"/>
      <c r="M53" s="89"/>
      <c r="N53" s="89"/>
      <c r="O53" s="89"/>
      <c r="P53" s="89"/>
      <c r="Q53" s="89"/>
      <c r="R53" s="89"/>
      <c r="S53" s="89"/>
      <c r="T53" s="89"/>
      <c r="U53" s="89"/>
      <c r="V53" s="89"/>
      <c r="W53" s="89"/>
      <c r="X53" s="89"/>
      <c r="Y53" s="89"/>
      <c r="Z53" s="89"/>
      <c r="AA53" s="89"/>
      <c r="AB53" s="818"/>
      <c r="AC53" s="818"/>
      <c r="AD53" s="818"/>
      <c r="AE53" s="818"/>
      <c r="AF53" s="818"/>
    </row>
    <row r="54" spans="8:32" ht="15.75">
      <c r="H54" s="516"/>
      <c r="I54" s="516"/>
      <c r="K54" s="89"/>
      <c r="L54" s="89"/>
      <c r="M54" s="89"/>
      <c r="N54" s="89"/>
      <c r="O54" s="89"/>
      <c r="P54" s="89"/>
      <c r="Q54" s="89"/>
      <c r="R54" s="89"/>
      <c r="S54" s="89"/>
      <c r="T54" s="89"/>
      <c r="U54" s="89"/>
      <c r="V54" s="89"/>
      <c r="W54" s="89"/>
      <c r="X54" s="89"/>
      <c r="Y54" s="89"/>
      <c r="Z54" s="89"/>
      <c r="AA54" s="89"/>
      <c r="AB54" s="818"/>
      <c r="AC54" s="818"/>
      <c r="AD54" s="818"/>
      <c r="AE54" s="818"/>
      <c r="AF54" s="818"/>
    </row>
    <row r="55" spans="8:32" ht="15.75">
      <c r="H55" s="516"/>
      <c r="I55" s="516"/>
    </row>
    <row r="56" spans="8:32" ht="15.75">
      <c r="H56" s="516"/>
      <c r="I56" s="516"/>
    </row>
    <row r="57" spans="8:32" ht="15.75">
      <c r="H57" s="516"/>
      <c r="I57" s="516"/>
    </row>
    <row r="58" spans="8:32" ht="15.75">
      <c r="H58" s="516"/>
      <c r="I58" s="516"/>
    </row>
    <row r="59" spans="8:32" ht="15.75">
      <c r="H59" s="516"/>
      <c r="I59" s="516"/>
    </row>
    <row r="60" spans="8:32" ht="15.75">
      <c r="H60" s="516"/>
      <c r="I60" s="516"/>
    </row>
  </sheetData>
  <pageMargins left="0.2" right="0.2" top="0.75" bottom="0.5" header="0.3" footer="0.3"/>
  <pageSetup scale="74" fitToHeight="0" orientation="landscape" r:id="rId1"/>
  <rowBreaks count="1" manualBreakCount="1">
    <brk id="2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7FB42-6D72-457E-8D9F-F8138CE2371A}">
  <sheetPr>
    <pageSetUpPr fitToPage="1"/>
  </sheetPr>
  <dimension ref="A1:AT113"/>
  <sheetViews>
    <sheetView workbookViewId="0">
      <selection activeCell="J14" sqref="J14"/>
    </sheetView>
  </sheetViews>
  <sheetFormatPr defaultRowHeight="15"/>
  <cols>
    <col min="1" max="1" width="3.77734375" customWidth="1"/>
    <col min="2" max="2" width="26.109375" bestFit="1" customWidth="1"/>
    <col min="3" max="3" width="16.5546875" customWidth="1"/>
    <col min="4" max="4" width="0" hidden="1" customWidth="1"/>
    <col min="5" max="5" width="5.6640625" customWidth="1"/>
    <col min="6" max="6" width="4.44140625" customWidth="1"/>
    <col min="7" max="7" width="6.6640625" customWidth="1"/>
    <col min="8" max="8" width="11.6640625" customWidth="1"/>
    <col min="9" max="9" width="13.77734375" customWidth="1"/>
    <col min="10" max="10" width="10.33203125" customWidth="1"/>
    <col min="11" max="11" width="11.77734375" bestFit="1" customWidth="1"/>
    <col min="12" max="13" width="14.33203125" customWidth="1"/>
    <col min="14" max="14" width="4.77734375" customWidth="1"/>
    <col min="15" max="15" width="4.88671875" customWidth="1"/>
    <col min="16" max="16" width="31.44140625" customWidth="1"/>
    <col min="18" max="18" width="10.77734375" customWidth="1"/>
    <col min="20" max="20" width="10.44140625" customWidth="1"/>
    <col min="21" max="21" width="12.21875" customWidth="1"/>
    <col min="23" max="24" width="13.77734375" customWidth="1"/>
    <col min="25" max="25" width="12.44140625" customWidth="1"/>
    <col min="27" max="27" width="12.33203125" customWidth="1"/>
    <col min="30" max="30" width="12.77734375" customWidth="1"/>
    <col min="31" max="31" width="13.44140625" customWidth="1"/>
    <col min="32" max="32" width="16.109375" customWidth="1"/>
    <col min="33" max="33" width="14.109375" customWidth="1"/>
    <col min="34" max="34" width="12.77734375" customWidth="1"/>
    <col min="36" max="36" width="10.77734375" customWidth="1"/>
    <col min="37" max="37" width="12.77734375" customWidth="1"/>
    <col min="38" max="46" width="11.77734375" customWidth="1"/>
  </cols>
  <sheetData>
    <row r="1" spans="1:46" ht="15.75" thickBot="1">
      <c r="A1" s="312"/>
      <c r="B1" s="313"/>
      <c r="C1" s="313"/>
      <c r="D1" s="313"/>
      <c r="E1" s="313"/>
      <c r="F1" s="313"/>
      <c r="G1" s="313"/>
      <c r="H1" s="313"/>
      <c r="I1" s="314"/>
      <c r="J1" s="314"/>
      <c r="K1" s="314"/>
      <c r="L1" s="314"/>
      <c r="M1" s="314"/>
      <c r="N1" s="314"/>
      <c r="O1" s="313"/>
      <c r="P1" s="313"/>
      <c r="Q1" s="315"/>
      <c r="R1" s="316"/>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row>
    <row r="2" spans="1:46" ht="19.5" thickBot="1">
      <c r="A2" s="312"/>
      <c r="B2" s="862" t="s">
        <v>1019</v>
      </c>
      <c r="C2" s="862"/>
      <c r="D2" s="312"/>
      <c r="E2" s="312"/>
      <c r="F2" s="318" t="s">
        <v>1020</v>
      </c>
      <c r="G2" s="319"/>
      <c r="H2" s="319"/>
      <c r="I2" s="320" t="s">
        <v>1021</v>
      </c>
      <c r="J2" s="319"/>
      <c r="K2" s="319"/>
      <c r="L2" s="319"/>
      <c r="M2" s="318" t="s">
        <v>1020</v>
      </c>
      <c r="N2" s="26"/>
      <c r="O2" s="312"/>
      <c r="P2" s="312"/>
      <c r="Q2" s="321"/>
      <c r="R2" s="322" t="s">
        <v>1022</v>
      </c>
      <c r="S2" s="323"/>
      <c r="T2" s="324"/>
      <c r="U2" s="26"/>
      <c r="V2" s="26"/>
      <c r="W2" s="26"/>
      <c r="X2" s="26"/>
      <c r="Y2" s="26"/>
      <c r="Z2" s="26"/>
      <c r="AA2" s="26"/>
      <c r="AB2" s="26"/>
      <c r="AC2" s="26"/>
      <c r="AD2" s="26"/>
      <c r="AE2" s="26"/>
      <c r="AF2" s="863" t="s">
        <v>1023</v>
      </c>
      <c r="AG2" s="864"/>
      <c r="AH2" s="864"/>
      <c r="AI2" s="865"/>
      <c r="AJ2" s="26"/>
      <c r="AK2" s="26"/>
      <c r="AL2" s="26"/>
      <c r="AM2" s="26"/>
      <c r="AN2" s="26"/>
      <c r="AO2" s="26"/>
      <c r="AP2" s="26"/>
      <c r="AQ2" s="26"/>
      <c r="AR2" s="26"/>
      <c r="AS2" s="26"/>
      <c r="AT2" s="26"/>
    </row>
    <row r="3" spans="1:46" ht="15.75">
      <c r="A3" s="312"/>
      <c r="B3" s="312"/>
      <c r="C3" s="312"/>
      <c r="D3" s="312"/>
      <c r="E3" s="312"/>
      <c r="F3" s="325"/>
      <c r="G3" s="326"/>
      <c r="H3" s="26"/>
      <c r="I3" s="26"/>
      <c r="J3" s="26"/>
      <c r="K3" s="327" t="s">
        <v>1024</v>
      </c>
      <c r="L3" s="26"/>
      <c r="M3" s="327" t="s">
        <v>1025</v>
      </c>
      <c r="N3" s="26"/>
      <c r="O3" s="312"/>
      <c r="P3" s="312"/>
      <c r="Q3" s="321"/>
      <c r="R3" s="26"/>
      <c r="S3" s="26"/>
      <c r="T3" s="26" t="s">
        <v>1026</v>
      </c>
      <c r="U3" s="26"/>
      <c r="V3" s="328" t="s">
        <v>1026</v>
      </c>
      <c r="W3" s="328" t="s">
        <v>1026</v>
      </c>
      <c r="X3" s="328" t="s">
        <v>1026</v>
      </c>
      <c r="Y3" s="328" t="s">
        <v>1027</v>
      </c>
      <c r="Z3" s="328" t="s">
        <v>1027</v>
      </c>
      <c r="AA3" s="328" t="s">
        <v>1027</v>
      </c>
      <c r="AB3" s="328" t="s">
        <v>1027</v>
      </c>
      <c r="AC3" s="328" t="s">
        <v>1027</v>
      </c>
      <c r="AD3" s="328" t="s">
        <v>1027</v>
      </c>
      <c r="AE3" s="328" t="s">
        <v>1028</v>
      </c>
      <c r="AF3" s="328" t="s">
        <v>1</v>
      </c>
      <c r="AG3" s="328" t="s">
        <v>1029</v>
      </c>
      <c r="AH3" s="328"/>
      <c r="AI3" s="26"/>
      <c r="AJ3" s="26"/>
      <c r="AK3" s="26"/>
      <c r="AL3" s="26"/>
      <c r="AM3" s="26"/>
      <c r="AN3" s="26"/>
      <c r="AO3" s="26"/>
      <c r="AP3" s="26"/>
      <c r="AQ3" s="26"/>
      <c r="AR3" s="26"/>
      <c r="AS3" s="26"/>
      <c r="AT3" s="26"/>
    </row>
    <row r="4" spans="1:46" ht="19.5" thickBot="1">
      <c r="A4" s="312"/>
      <c r="B4" s="329" t="s">
        <v>1030</v>
      </c>
      <c r="C4" s="330"/>
      <c r="D4" s="331"/>
      <c r="E4" s="312"/>
      <c r="F4" s="332"/>
      <c r="G4" s="326"/>
      <c r="H4" s="333" t="s">
        <v>1031</v>
      </c>
      <c r="I4" s="333" t="s">
        <v>1032</v>
      </c>
      <c r="J4" s="333" t="s">
        <v>1033</v>
      </c>
      <c r="K4" s="333" t="s">
        <v>1034</v>
      </c>
      <c r="L4" s="333" t="s">
        <v>1035</v>
      </c>
      <c r="M4" s="333" t="s">
        <v>1036</v>
      </c>
      <c r="N4" s="26"/>
      <c r="O4" s="334"/>
      <c r="P4" s="312"/>
      <c r="Q4" s="321"/>
      <c r="R4" s="26"/>
      <c r="S4" s="26"/>
      <c r="T4" s="328" t="s">
        <v>1037</v>
      </c>
      <c r="U4" s="26"/>
      <c r="V4" s="328" t="s">
        <v>938</v>
      </c>
      <c r="W4" s="328" t="s">
        <v>1038</v>
      </c>
      <c r="X4" s="328" t="s">
        <v>1039</v>
      </c>
      <c r="Y4" s="328" t="s">
        <v>1040</v>
      </c>
      <c r="Z4" s="328" t="s">
        <v>1040</v>
      </c>
      <c r="AA4" s="328" t="s">
        <v>1040</v>
      </c>
      <c r="AB4" s="328" t="s">
        <v>1038</v>
      </c>
      <c r="AC4" s="328" t="s">
        <v>1037</v>
      </c>
      <c r="AD4" s="328" t="s">
        <v>1037</v>
      </c>
      <c r="AE4" s="328" t="s">
        <v>1041</v>
      </c>
      <c r="AF4" s="328" t="s">
        <v>1042</v>
      </c>
      <c r="AG4" s="328" t="s">
        <v>1043</v>
      </c>
      <c r="AH4" s="328" t="s">
        <v>1044</v>
      </c>
      <c r="AI4" s="328" t="s">
        <v>1045</v>
      </c>
      <c r="AJ4" s="26"/>
      <c r="AK4" s="26"/>
      <c r="AL4" s="26"/>
      <c r="AM4" s="26"/>
      <c r="AN4" s="26"/>
      <c r="AO4" s="26"/>
      <c r="AP4" s="26"/>
      <c r="AQ4" s="26"/>
      <c r="AR4" s="26"/>
      <c r="AS4" s="26"/>
      <c r="AT4" s="26"/>
    </row>
    <row r="5" spans="1:46" ht="15.75">
      <c r="A5" s="312"/>
      <c r="B5" s="335" t="s">
        <v>1046</v>
      </c>
      <c r="C5" s="336">
        <f>+Allocations!E21</f>
        <v>1154796.1100000001</v>
      </c>
      <c r="D5" s="331"/>
      <c r="E5" s="312"/>
      <c r="F5" s="337" t="s">
        <v>1047</v>
      </c>
      <c r="G5" s="338"/>
      <c r="H5" s="338"/>
      <c r="I5" s="333" t="s">
        <v>1048</v>
      </c>
      <c r="J5" s="333" t="s">
        <v>1</v>
      </c>
      <c r="K5" s="339" t="s">
        <v>1049</v>
      </c>
      <c r="L5" s="339" t="s">
        <v>1050</v>
      </c>
      <c r="M5" s="339" t="s">
        <v>1</v>
      </c>
      <c r="N5" s="26"/>
      <c r="O5" s="340"/>
      <c r="P5" s="312"/>
      <c r="Q5" s="321"/>
      <c r="R5" s="341"/>
      <c r="S5" s="26"/>
      <c r="T5" s="328" t="s">
        <v>1051</v>
      </c>
      <c r="U5" s="328" t="s">
        <v>1052</v>
      </c>
      <c r="V5" s="328" t="s">
        <v>1053</v>
      </c>
      <c r="W5" s="328" t="s">
        <v>1054</v>
      </c>
      <c r="X5" s="328" t="s">
        <v>14</v>
      </c>
      <c r="Y5" s="328" t="s">
        <v>107</v>
      </c>
      <c r="Z5" s="328" t="s">
        <v>1055</v>
      </c>
      <c r="AA5" s="328" t="s">
        <v>1056</v>
      </c>
      <c r="AB5" s="328" t="s">
        <v>1057</v>
      </c>
      <c r="AC5" s="328" t="s">
        <v>1051</v>
      </c>
      <c r="AD5" s="328" t="s">
        <v>478</v>
      </c>
      <c r="AE5" s="328" t="s">
        <v>1058</v>
      </c>
      <c r="AF5" s="328" t="s">
        <v>1059</v>
      </c>
      <c r="AG5" s="328" t="s">
        <v>1059</v>
      </c>
      <c r="AH5" s="328" t="s">
        <v>1058</v>
      </c>
      <c r="AI5" s="328" t="s">
        <v>1028</v>
      </c>
      <c r="AJ5" s="26"/>
      <c r="AK5" s="26"/>
      <c r="AL5" s="26"/>
      <c r="AM5" s="26"/>
      <c r="AN5" s="26"/>
      <c r="AO5" s="26"/>
      <c r="AP5" s="26"/>
      <c r="AQ5" s="26"/>
      <c r="AR5" s="26"/>
      <c r="AS5" s="26"/>
      <c r="AT5" s="26"/>
    </row>
    <row r="6" spans="1:46" ht="15.75">
      <c r="A6" s="312"/>
      <c r="B6" s="335" t="s">
        <v>1060</v>
      </c>
      <c r="C6" s="342">
        <f>+Allocations!E69</f>
        <v>710955.24736023485</v>
      </c>
      <c r="D6" s="331"/>
      <c r="E6" s="312"/>
      <c r="F6" s="343" t="s">
        <v>1061</v>
      </c>
      <c r="G6" s="338"/>
      <c r="H6" s="338"/>
      <c r="I6" s="344"/>
      <c r="J6" s="345" t="s">
        <v>1062</v>
      </c>
      <c r="K6" s="346"/>
      <c r="L6" s="345" t="s">
        <v>1063</v>
      </c>
      <c r="M6" s="345" t="s">
        <v>1064</v>
      </c>
      <c r="N6" s="26"/>
      <c r="O6" s="340"/>
      <c r="P6" s="312"/>
      <c r="Q6" s="321"/>
      <c r="R6" s="347">
        <v>1</v>
      </c>
      <c r="S6" s="348">
        <f>Revenue/Investment*100</f>
        <v>942.21217912069153</v>
      </c>
      <c r="T6" s="349">
        <f>EXP(y_inter1-(slope*LN(+S6)))</f>
        <v>2.8311139588287926</v>
      </c>
      <c r="U6" s="350">
        <f>(+S6*T6/100)/100</f>
        <v>0.26675100524870848</v>
      </c>
      <c r="V6" s="350">
        <f>regDebt_weighted</f>
        <v>3.5860000000000003E-2</v>
      </c>
      <c r="W6" s="350">
        <f>+U6-V6</f>
        <v>0.23089100524870848</v>
      </c>
      <c r="X6" s="350">
        <f>+((W6*(1-0.34))-Pfd_weighted)/Equity_percent</f>
        <v>0.42499437053531275</v>
      </c>
      <c r="Y6" s="350">
        <f>X6*equityP</f>
        <v>0.25499662232118764</v>
      </c>
      <c r="Z6" s="350">
        <f>+Y6/(1-taxrate)</f>
        <v>0.32278053458378181</v>
      </c>
      <c r="AA6" s="350">
        <f>debtP*Debt_Rate</f>
        <v>1.5959999999999998E-2</v>
      </c>
      <c r="AB6" s="350">
        <f>AA6+Z6</f>
        <v>0.33874053458378178</v>
      </c>
      <c r="AC6" s="350">
        <f>AB6/(S6/100)</f>
        <v>3.5951619188356002E-2</v>
      </c>
      <c r="AD6" s="350">
        <f>1-AC6</f>
        <v>0.96404838081164401</v>
      </c>
      <c r="AE6" s="351">
        <f>expenses/(AD6)</f>
        <v>737468.43157567782</v>
      </c>
      <c r="AF6" s="352">
        <f>+AE6-Revenue</f>
        <v>-417327.67842432228</v>
      </c>
      <c r="AG6" s="353">
        <f ca="1">+AF6/$J$49</f>
        <v>-447182.54286600504</v>
      </c>
      <c r="AH6" s="353">
        <f ca="1">+AG6*$J$47</f>
        <v>-8988.3691116067021</v>
      </c>
      <c r="AI6" s="351">
        <f ca="1">ROUND(+AH6+AE6,5)</f>
        <v>728480.06246000004</v>
      </c>
      <c r="AJ6" s="26"/>
      <c r="AK6" s="26"/>
      <c r="AL6" s="26"/>
      <c r="AM6" s="26"/>
      <c r="AN6" s="26"/>
      <c r="AO6" s="26"/>
      <c r="AP6" s="26"/>
      <c r="AQ6" s="26"/>
      <c r="AR6" s="26"/>
      <c r="AS6" s="26"/>
      <c r="AT6" s="26"/>
    </row>
    <row r="7" spans="1:46" ht="15.75">
      <c r="A7" s="312"/>
      <c r="B7" s="335" t="s">
        <v>1065</v>
      </c>
      <c r="C7" s="342">
        <f>+'Regulatory Depreciation '!K219</f>
        <v>122562.21428571428</v>
      </c>
      <c r="D7" s="331"/>
      <c r="E7" s="312"/>
      <c r="F7" s="354">
        <v>1</v>
      </c>
      <c r="G7" s="338"/>
      <c r="H7" s="355" t="s">
        <v>1046</v>
      </c>
      <c r="I7" s="356">
        <f>IF(A65=TRUE,C5,0)</f>
        <v>1154796.1100000001</v>
      </c>
      <c r="J7" s="356">
        <f ca="1">(+$I8/($R51))-I7</f>
        <v>-409474.06305513764</v>
      </c>
      <c r="K7" s="356">
        <f ca="1">+I7+J7</f>
        <v>745322.04694486246</v>
      </c>
      <c r="L7" s="356">
        <f ca="1">((+J7/J49*K35)-J7)</f>
        <v>-8819.2185916475719</v>
      </c>
      <c r="M7" s="356">
        <f ca="1">IFERROR(+K7+L7,0.00001)</f>
        <v>736502.82835321489</v>
      </c>
      <c r="N7" s="26"/>
      <c r="O7" s="340"/>
      <c r="P7" s="312"/>
      <c r="Q7" s="321"/>
      <c r="R7" s="357">
        <v>2</v>
      </c>
      <c r="S7" s="358">
        <f>Revenue/Investment*100</f>
        <v>942.21217912069153</v>
      </c>
      <c r="T7" s="359">
        <f>EXP(y_inter1-(slope*LN(+S7)))</f>
        <v>2.8311139588287926</v>
      </c>
      <c r="U7" s="360">
        <f t="shared" ref="U7:U9" si="0">(+S7*T7/100)/100</f>
        <v>0.26675100524870848</v>
      </c>
      <c r="V7" s="360">
        <f>regDebt_weighted</f>
        <v>3.5860000000000003E-2</v>
      </c>
      <c r="W7" s="360">
        <f t="shared" ref="W7:W9" si="1">+U7-V7</f>
        <v>0.23089100524870848</v>
      </c>
      <c r="X7" s="360">
        <f>+((W7*(1-0.34))-Pfd_weighted)/Equity_percent</f>
        <v>0.42499437053531275</v>
      </c>
      <c r="Y7" s="360">
        <f>X7*equityP</f>
        <v>0.25499662232118764</v>
      </c>
      <c r="Z7" s="360">
        <f>+Y7/(1-taxrate)</f>
        <v>0.32278053458378181</v>
      </c>
      <c r="AA7" s="360">
        <f>debtP*Debt_Rate</f>
        <v>1.5959999999999998E-2</v>
      </c>
      <c r="AB7" s="360">
        <f t="shared" ref="AB7:AB9" si="2">AA7+Z7</f>
        <v>0.33874053458378178</v>
      </c>
      <c r="AC7" s="360">
        <f t="shared" ref="AC7:AC9" si="3">AB7/(S7/100)</f>
        <v>3.5951619188356002E-2</v>
      </c>
      <c r="AD7" s="360">
        <f t="shared" ref="AD7:AD9" si="4">1-AC7</f>
        <v>0.96404838081164401</v>
      </c>
      <c r="AE7" s="361">
        <f>expenses/(AD7)</f>
        <v>737468.43157567782</v>
      </c>
      <c r="AF7" s="362">
        <f>+AE7-Revenue</f>
        <v>-417327.67842432228</v>
      </c>
      <c r="AG7" s="363">
        <f ca="1">+AF7/$J$49</f>
        <v>-447182.54286600504</v>
      </c>
      <c r="AH7" s="363">
        <f ca="1">+AG7*$J$47</f>
        <v>-8988.3691116067021</v>
      </c>
      <c r="AI7" s="361">
        <f t="shared" ref="AI7:AI9" ca="1" si="5">ROUND(+AH7+AE7,5)</f>
        <v>728480.06246000004</v>
      </c>
      <c r="AJ7" s="26"/>
      <c r="AK7" s="26"/>
      <c r="AL7" s="26"/>
      <c r="AM7" s="26"/>
      <c r="AN7" s="26"/>
      <c r="AO7" s="26"/>
      <c r="AP7" s="26"/>
      <c r="AQ7" s="26"/>
      <c r="AR7" s="26"/>
      <c r="AS7" s="26"/>
      <c r="AT7" s="26"/>
    </row>
    <row r="8" spans="1:46" ht="15.75">
      <c r="A8" s="312"/>
      <c r="B8" s="335" t="s">
        <v>1066</v>
      </c>
      <c r="C8" s="364">
        <v>0.4</v>
      </c>
      <c r="D8" s="331"/>
      <c r="E8" s="312"/>
      <c r="F8" s="365">
        <f>+F7+1</f>
        <v>2</v>
      </c>
      <c r="G8" s="338"/>
      <c r="H8" s="355" t="s">
        <v>1060</v>
      </c>
      <c r="I8" s="356">
        <f>IF(A65=TRUE,C6,0)</f>
        <v>710955.24736023485</v>
      </c>
      <c r="J8" s="326"/>
      <c r="K8" s="356">
        <f>+I8</f>
        <v>710955.24736023485</v>
      </c>
      <c r="L8" s="356">
        <f ca="1">+L7</f>
        <v>-8819.2185916475719</v>
      </c>
      <c r="M8" s="356">
        <f ca="1">IFERROR(+K8+L8,0.00001)</f>
        <v>702136.02876858728</v>
      </c>
      <c r="N8" s="26"/>
      <c r="O8" s="340"/>
      <c r="P8" s="312"/>
      <c r="Q8" s="321"/>
      <c r="R8" s="366">
        <v>3</v>
      </c>
      <c r="S8" s="358">
        <f>Revenue/Investment*100</f>
        <v>942.21217912069153</v>
      </c>
      <c r="T8" s="359">
        <f>EXP(y_inter1-(slope*LN(+S8)))</f>
        <v>2.8311139588287926</v>
      </c>
      <c r="U8" s="360">
        <f t="shared" si="0"/>
        <v>0.26675100524870848</v>
      </c>
      <c r="V8" s="360">
        <f>regDebt_weighted</f>
        <v>3.5860000000000003E-2</v>
      </c>
      <c r="W8" s="360">
        <f t="shared" si="1"/>
        <v>0.23089100524870848</v>
      </c>
      <c r="X8" s="360">
        <f>+((W8*(1-0.34))-Pfd_weighted)/Equity_percent</f>
        <v>0.42499437053531275</v>
      </c>
      <c r="Y8" s="360">
        <f>X8*equityP</f>
        <v>0.25499662232118764</v>
      </c>
      <c r="Z8" s="360">
        <f>+Y8/(1-taxrate)</f>
        <v>0.32278053458378181</v>
      </c>
      <c r="AA8" s="360">
        <f>debtP*Debt_Rate</f>
        <v>1.5959999999999998E-2</v>
      </c>
      <c r="AB8" s="360">
        <f t="shared" si="2"/>
        <v>0.33874053458378178</v>
      </c>
      <c r="AC8" s="360">
        <f t="shared" si="3"/>
        <v>3.5951619188356002E-2</v>
      </c>
      <c r="AD8" s="360">
        <f t="shared" si="4"/>
        <v>0.96404838081164401</v>
      </c>
      <c r="AE8" s="361">
        <f>expenses/(AD8)</f>
        <v>737468.43157567782</v>
      </c>
      <c r="AF8" s="362">
        <f>+AE8-Revenue</f>
        <v>-417327.67842432228</v>
      </c>
      <c r="AG8" s="363">
        <f ca="1">+AF8/$J$49</f>
        <v>-447182.54286600504</v>
      </c>
      <c r="AH8" s="363">
        <f ca="1">+AG8*$J$47</f>
        <v>-8988.3691116067021</v>
      </c>
      <c r="AI8" s="361">
        <f t="shared" ca="1" si="5"/>
        <v>728480.06246000004</v>
      </c>
      <c r="AJ8" s="26"/>
      <c r="AK8" s="26"/>
      <c r="AL8" s="26"/>
      <c r="AM8" s="26"/>
      <c r="AN8" s="26"/>
      <c r="AO8" s="26"/>
      <c r="AP8" s="26"/>
      <c r="AQ8" s="26"/>
      <c r="AR8" s="26"/>
      <c r="AS8" s="26"/>
      <c r="AT8" s="26"/>
    </row>
    <row r="9" spans="1:46" ht="15.75">
      <c r="A9" s="312"/>
      <c r="B9" s="335" t="s">
        <v>1067</v>
      </c>
      <c r="C9" s="515">
        <v>3.9899999999999998E-2</v>
      </c>
      <c r="D9" s="331"/>
      <c r="E9" s="312"/>
      <c r="F9" s="365">
        <f t="shared" ref="F9:F49" si="6">+F8+1</f>
        <v>3</v>
      </c>
      <c r="G9" s="338"/>
      <c r="H9" s="355" t="s">
        <v>470</v>
      </c>
      <c r="I9" s="367">
        <f>+I7-I8</f>
        <v>443840.86263976526</v>
      </c>
      <c r="J9" s="326"/>
      <c r="K9" s="367">
        <f ca="1">+K7-K8</f>
        <v>34366.799584627617</v>
      </c>
      <c r="L9" s="338"/>
      <c r="M9" s="368">
        <f ca="1">+M7-M8</f>
        <v>34366.799584627617</v>
      </c>
      <c r="N9" s="26"/>
      <c r="O9" s="340"/>
      <c r="P9" s="312"/>
      <c r="Q9" s="321"/>
      <c r="R9" s="369">
        <v>4</v>
      </c>
      <c r="S9" s="358">
        <f>Revenue/Investment*100</f>
        <v>942.21217912069153</v>
      </c>
      <c r="T9" s="359">
        <f>EXP(y_inter1-(slope*LN(+S9)))</f>
        <v>2.8311139588287926</v>
      </c>
      <c r="U9" s="360">
        <f t="shared" si="0"/>
        <v>0.26675100524870848</v>
      </c>
      <c r="V9" s="360">
        <f>regDebt_weighted</f>
        <v>3.5860000000000003E-2</v>
      </c>
      <c r="W9" s="360">
        <f t="shared" si="1"/>
        <v>0.23089100524870848</v>
      </c>
      <c r="X9" s="360">
        <f>+((W9*(1-0.34))-Pfd_weighted)/Equity_percent</f>
        <v>0.42499437053531275</v>
      </c>
      <c r="Y9" s="360">
        <f>X9*equityP</f>
        <v>0.25499662232118764</v>
      </c>
      <c r="Z9" s="360">
        <f>+Y9/(1-taxrate)</f>
        <v>0.32278053458378181</v>
      </c>
      <c r="AA9" s="360">
        <f>debtP*Debt_Rate</f>
        <v>1.5959999999999998E-2</v>
      </c>
      <c r="AB9" s="360">
        <f t="shared" si="2"/>
        <v>0.33874053458378178</v>
      </c>
      <c r="AC9" s="360">
        <f t="shared" si="3"/>
        <v>3.5951619188356002E-2</v>
      </c>
      <c r="AD9" s="360">
        <f t="shared" si="4"/>
        <v>0.96404838081164401</v>
      </c>
      <c r="AE9" s="361">
        <f>expenses/(AD9)</f>
        <v>737468.43157567782</v>
      </c>
      <c r="AF9" s="362">
        <f>+AE9-Revenue</f>
        <v>-417327.67842432228</v>
      </c>
      <c r="AG9" s="363">
        <f ca="1">+AF9/$J$49</f>
        <v>-447182.54286600504</v>
      </c>
      <c r="AH9" s="363">
        <f ca="1">+AG9*$J$47</f>
        <v>-8988.3691116067021</v>
      </c>
      <c r="AI9" s="361">
        <f t="shared" ca="1" si="5"/>
        <v>728480.06246000004</v>
      </c>
      <c r="AJ9" s="26"/>
      <c r="AK9" s="26"/>
      <c r="AL9" s="26"/>
      <c r="AM9" s="26"/>
      <c r="AN9" s="26"/>
      <c r="AO9" s="26"/>
      <c r="AP9" s="26"/>
      <c r="AQ9" s="26"/>
      <c r="AR9" s="26"/>
      <c r="AS9" s="26"/>
      <c r="AT9" s="26"/>
    </row>
    <row r="10" spans="1:46" ht="15.75">
      <c r="A10" s="312"/>
      <c r="B10" s="370" t="s">
        <v>1068</v>
      </c>
      <c r="C10" s="364">
        <v>0.21</v>
      </c>
      <c r="D10" s="331"/>
      <c r="E10" s="312"/>
      <c r="F10" s="365">
        <f t="shared" si="6"/>
        <v>4</v>
      </c>
      <c r="G10" s="338"/>
      <c r="H10" s="338"/>
      <c r="I10" s="326"/>
      <c r="J10" s="326"/>
      <c r="K10" s="356"/>
      <c r="L10" s="338"/>
      <c r="M10" s="338"/>
      <c r="N10" s="338"/>
      <c r="O10" s="340"/>
      <c r="P10" s="312"/>
      <c r="Q10" s="321"/>
      <c r="R10" s="328" t="s">
        <v>1069</v>
      </c>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row>
    <row r="11" spans="1:46" ht="15.75">
      <c r="A11" s="312"/>
      <c r="B11" s="335" t="s">
        <v>1070</v>
      </c>
      <c r="C11" s="371">
        <v>1.4999999999999999E-2</v>
      </c>
      <c r="D11" s="331"/>
      <c r="E11" s="312"/>
      <c r="F11" s="365">
        <f t="shared" si="6"/>
        <v>5</v>
      </c>
      <c r="G11" s="338"/>
      <c r="H11" s="355" t="s">
        <v>476</v>
      </c>
      <c r="I11" s="356">
        <f>+K11</f>
        <v>1956.09294</v>
      </c>
      <c r="J11" s="326"/>
      <c r="K11" s="356">
        <f>+M27</f>
        <v>1956.09294</v>
      </c>
      <c r="L11" s="338"/>
      <c r="M11" s="356">
        <f>+K11</f>
        <v>1956.09294</v>
      </c>
      <c r="N11" s="26"/>
      <c r="O11" s="340"/>
      <c r="P11" s="312"/>
      <c r="Q11" s="321"/>
      <c r="R11" s="347">
        <v>1</v>
      </c>
      <c r="S11" s="348">
        <f ca="1">IF((AI6/Investment*100)&gt;0,(AI6/Investment*100),0)</f>
        <v>594.3757353810397</v>
      </c>
      <c r="T11" s="349">
        <f ca="1">EXP(y_inter1-(slope*LN(S11)))</f>
        <v>3.8792812677547359</v>
      </c>
      <c r="U11" s="350">
        <f ca="1">(+S11*T11/100)/100</f>
        <v>0.23057506562716132</v>
      </c>
      <c r="V11" s="350">
        <f>regDebt_weighted</f>
        <v>3.5860000000000003E-2</v>
      </c>
      <c r="W11" s="350">
        <f ca="1">+U11-V11</f>
        <v>0.19471506562716132</v>
      </c>
      <c r="X11" s="350">
        <f ca="1">+((W11*(1-0.34))-Pfd_weighted)/Equity_percent</f>
        <v>0.35558704451722811</v>
      </c>
      <c r="Y11" s="350">
        <f ca="1">+X11*equityP</f>
        <v>0.21335222671033685</v>
      </c>
      <c r="Z11" s="350">
        <f ca="1">+Y11/(1-taxrate)</f>
        <v>0.27006610975992007</v>
      </c>
      <c r="AA11" s="350">
        <f>debtP*Debt_Rate</f>
        <v>1.5959999999999998E-2</v>
      </c>
      <c r="AB11" s="350">
        <f ca="1">+AA11+Z11</f>
        <v>0.28602610975992004</v>
      </c>
      <c r="AC11" s="350">
        <f ca="1">+AB11/(S11/100)</f>
        <v>4.8122104038543181E-2</v>
      </c>
      <c r="AD11" s="350">
        <f ca="1">1-AC11</f>
        <v>0.95187789596145678</v>
      </c>
      <c r="AE11" s="351">
        <f ca="1">expenses/(AD11)</f>
        <v>746897.5279041701</v>
      </c>
      <c r="AF11" s="352">
        <f ca="1">+AE11-Revenue</f>
        <v>-407898.58209583</v>
      </c>
      <c r="AG11" s="353">
        <f ca="1">+AF11/$J$49</f>
        <v>-437078.906105022</v>
      </c>
      <c r="AH11" s="353">
        <f ca="1">+AG11*$J$47</f>
        <v>-8785.2860127109416</v>
      </c>
      <c r="AI11" s="351">
        <f ca="1">ROUND(+AH11+AE11,5)</f>
        <v>738112.24188999995</v>
      </c>
      <c r="AJ11" s="26"/>
      <c r="AK11" s="26"/>
      <c r="AL11" s="26"/>
      <c r="AM11" s="26"/>
      <c r="AN11" s="26"/>
      <c r="AO11" s="26"/>
      <c r="AP11" s="26"/>
      <c r="AQ11" s="26"/>
      <c r="AR11" s="26"/>
      <c r="AS11" s="26"/>
      <c r="AT11" s="26"/>
    </row>
    <row r="12" spans="1:46" ht="15.75">
      <c r="A12" s="312"/>
      <c r="B12" s="335" t="s">
        <v>1071</v>
      </c>
      <c r="C12" s="371">
        <v>5.1000000000000004E-3</v>
      </c>
      <c r="D12" s="331"/>
      <c r="E12" s="312"/>
      <c r="F12" s="365">
        <f t="shared" si="6"/>
        <v>6</v>
      </c>
      <c r="G12" s="338"/>
      <c r="H12" s="355" t="s">
        <v>1072</v>
      </c>
      <c r="I12" s="356">
        <f ca="1">IF(I14&lt;0,0,+J38*I14)</f>
        <v>76690.745154504708</v>
      </c>
      <c r="J12" s="356">
        <f ca="1">+K12-I12</f>
        <v>-69884.496759132904</v>
      </c>
      <c r="K12" s="356">
        <f ca="1">+(K9-K11)*taxrate</f>
        <v>6806.2483953717992</v>
      </c>
      <c r="L12" s="338"/>
      <c r="M12" s="356">
        <f ca="1">+K12</f>
        <v>6806.2483953717992</v>
      </c>
      <c r="N12" s="26"/>
      <c r="O12" s="340"/>
      <c r="P12" s="312"/>
      <c r="Q12" s="321"/>
      <c r="R12" s="357">
        <v>2</v>
      </c>
      <c r="S12" s="358">
        <f ca="1">IF((AI7/Investment*100)&gt;0,(AI7/Investment*100),0)</f>
        <v>594.3757353810397</v>
      </c>
      <c r="T12" s="372">
        <f ca="1">EXP(y_inter2-(slope*LN(+S12)))</f>
        <v>3.8240875744938081</v>
      </c>
      <c r="U12" s="360">
        <f ca="1">(+S12*T12/100)/100</f>
        <v>0.22729448642512534</v>
      </c>
      <c r="V12" s="360">
        <f>regDebt_weighted</f>
        <v>3.5860000000000003E-2</v>
      </c>
      <c r="W12" s="360">
        <f ca="1">+U12-V12</f>
        <v>0.19143448642512534</v>
      </c>
      <c r="X12" s="360">
        <f ca="1">+((W12*(1-0.34))-Pfd_weighted)/Equity_percent</f>
        <v>0.34929291000169393</v>
      </c>
      <c r="Y12" s="360">
        <f ca="1">+X12*equityP</f>
        <v>0.20957574600101636</v>
      </c>
      <c r="Z12" s="360">
        <f ca="1">+Y12/(1-taxrate)</f>
        <v>0.26528575443166624</v>
      </c>
      <c r="AA12" s="360">
        <f>debtP*Debt_Rate</f>
        <v>1.5959999999999998E-2</v>
      </c>
      <c r="AB12" s="360">
        <f ca="1">+AA12+Z12</f>
        <v>0.28124575443166622</v>
      </c>
      <c r="AC12" s="360">
        <f ca="1">+AB12/(S12/100)</f>
        <v>4.7317839152933534E-2</v>
      </c>
      <c r="AD12" s="360">
        <f ca="1">1-AC12</f>
        <v>0.95268216084706647</v>
      </c>
      <c r="AE12" s="361">
        <f ca="1">expenses/(AD12)</f>
        <v>746266.98869652092</v>
      </c>
      <c r="AF12" s="362">
        <f ca="1">+AE12-Revenue</f>
        <v>-408529.12130347919</v>
      </c>
      <c r="AG12" s="363">
        <f ca="1">+AF12/$J$49</f>
        <v>-437754.55294282071</v>
      </c>
      <c r="AH12" s="363">
        <f ca="1">+AG12*$J$47</f>
        <v>-8798.8665141506954</v>
      </c>
      <c r="AI12" s="361">
        <f t="shared" ref="AI12:AI14" ca="1" si="7">ROUND(+AH12+AE12,5)</f>
        <v>737468.12217999995</v>
      </c>
      <c r="AJ12" s="26"/>
      <c r="AK12" s="26"/>
      <c r="AL12" s="26"/>
      <c r="AM12" s="26"/>
      <c r="AN12" s="26"/>
      <c r="AO12" s="26"/>
      <c r="AP12" s="26"/>
      <c r="AQ12" s="26"/>
      <c r="AR12" s="26"/>
      <c r="AS12" s="26"/>
      <c r="AT12" s="26"/>
    </row>
    <row r="13" spans="1:46" ht="15.75">
      <c r="A13" s="312"/>
      <c r="B13" s="335" t="s">
        <v>1073</v>
      </c>
      <c r="C13" s="371">
        <v>0</v>
      </c>
      <c r="D13" s="331"/>
      <c r="E13" s="312"/>
      <c r="F13" s="365">
        <f t="shared" si="6"/>
        <v>7</v>
      </c>
      <c r="G13" s="338"/>
      <c r="H13" s="338"/>
      <c r="I13" s="326"/>
      <c r="J13" s="326"/>
      <c r="K13" s="356"/>
      <c r="L13" s="338"/>
      <c r="M13" s="338"/>
      <c r="N13" s="26"/>
      <c r="O13" s="340"/>
      <c r="P13" s="312"/>
      <c r="Q13" s="321"/>
      <c r="R13" s="366">
        <v>3</v>
      </c>
      <c r="S13" s="358">
        <f ca="1">IF((AI8/Investment*100)&gt;0,(AI8/Investment*100),0)</f>
        <v>594.3757353810397</v>
      </c>
      <c r="T13" s="359">
        <f ca="1">EXP(y_inter3-(slope*LN(S13)))</f>
        <v>3.7869081560897144</v>
      </c>
      <c r="U13" s="360">
        <f ca="1">(+S13*T13/100)/100</f>
        <v>0.22508463200962811</v>
      </c>
      <c r="V13" s="360">
        <f>regDebt_weighted</f>
        <v>3.5860000000000003E-2</v>
      </c>
      <c r="W13" s="360">
        <f ca="1">+U13-V13</f>
        <v>0.18922463200962811</v>
      </c>
      <c r="X13" s="360">
        <f ca="1">+((W13*(1-0.34))-Pfd_weighted)/Equity_percent</f>
        <v>0.34505307304172833</v>
      </c>
      <c r="Y13" s="360">
        <f ca="1">+X13*equityP</f>
        <v>0.207031843825037</v>
      </c>
      <c r="Z13" s="360">
        <f ca="1">+Y13/(1-taxrate)</f>
        <v>0.26206562509498355</v>
      </c>
      <c r="AA13" s="360">
        <f>debtP*Debt_Rate</f>
        <v>1.5959999999999998E-2</v>
      </c>
      <c r="AB13" s="360">
        <f ca="1">+AA13+Z13</f>
        <v>0.27802562509498352</v>
      </c>
      <c r="AC13" s="360">
        <f ca="1">+AB13/(S13/100)</f>
        <v>4.6776072532090852E-2</v>
      </c>
      <c r="AD13" s="360">
        <f ca="1">1-AC13</f>
        <v>0.95322392746790918</v>
      </c>
      <c r="AE13" s="361">
        <f ca="1">expenses/(AD13)</f>
        <v>745842.84644299338</v>
      </c>
      <c r="AF13" s="362">
        <f ca="1">+AE13-Revenue</f>
        <v>-408953.26355700672</v>
      </c>
      <c r="AG13" s="363">
        <f ca="1">+AF13/$J$49</f>
        <v>-438209.03756312071</v>
      </c>
      <c r="AH13" s="363">
        <f ca="1">+AG13*$J$47</f>
        <v>-8808.0016550187265</v>
      </c>
      <c r="AI13" s="361">
        <f t="shared" ca="1" si="7"/>
        <v>737034.84479</v>
      </c>
      <c r="AJ13" s="26"/>
      <c r="AK13" s="26"/>
      <c r="AL13" s="26"/>
      <c r="AM13" s="26"/>
      <c r="AN13" s="26"/>
      <c r="AO13" s="26"/>
      <c r="AP13" s="26"/>
      <c r="AQ13" s="26"/>
      <c r="AR13" s="26"/>
      <c r="AS13" s="26"/>
      <c r="AT13" s="26"/>
    </row>
    <row r="14" spans="1:46" ht="16.5" thickBot="1">
      <c r="A14" s="312"/>
      <c r="B14" s="373" t="s">
        <v>1074</v>
      </c>
      <c r="C14" s="371">
        <v>0</v>
      </c>
      <c r="D14" s="331"/>
      <c r="E14" s="312"/>
      <c r="F14" s="365">
        <f t="shared" si="6"/>
        <v>8</v>
      </c>
      <c r="G14" s="338"/>
      <c r="H14" s="338" t="s">
        <v>112</v>
      </c>
      <c r="I14" s="374">
        <f ca="1">+I9-SUM(I11:I13)</f>
        <v>365194.02454526053</v>
      </c>
      <c r="J14" s="326"/>
      <c r="K14" s="374">
        <f ca="1">+K9-SUM(K11:K13)</f>
        <v>25604.458249255818</v>
      </c>
      <c r="L14" s="338"/>
      <c r="M14" s="374">
        <f ca="1">+M9-SUM(M11:M13)</f>
        <v>25604.458249255818</v>
      </c>
      <c r="N14" s="26"/>
      <c r="O14" s="340"/>
      <c r="P14" s="312"/>
      <c r="Q14" s="321"/>
      <c r="R14" s="369">
        <v>4</v>
      </c>
      <c r="S14" s="358">
        <f ca="1">IF((AI9/Investment*100)&gt;0,(AI9/Investment*100),0)</f>
        <v>594.3757353810397</v>
      </c>
      <c r="T14" s="375">
        <f ca="1">EXP(y_inter4-(slope*LN(S14)))</f>
        <v>3.7631256283294507</v>
      </c>
      <c r="U14" s="360">
        <f ca="1">(+S14*T14/100)/100</f>
        <v>0.22367105626695544</v>
      </c>
      <c r="V14" s="360">
        <f>regDebt_weighted</f>
        <v>3.5860000000000003E-2</v>
      </c>
      <c r="W14" s="360">
        <f ca="1">+U14-V14</f>
        <v>0.18781105626695543</v>
      </c>
      <c r="X14" s="360">
        <f ca="1">+((W14*(1-0.34))-Pfd_weighted)/Equity_percent</f>
        <v>0.34234098004706565</v>
      </c>
      <c r="Y14" s="360">
        <f ca="1">+X14*equityP</f>
        <v>0.20540458802823938</v>
      </c>
      <c r="Z14" s="360">
        <f ca="1">+Y14/(1-taxrate)</f>
        <v>0.26000580763068276</v>
      </c>
      <c r="AA14" s="360">
        <f>debtP*Debt_Rate</f>
        <v>1.5959999999999998E-2</v>
      </c>
      <c r="AB14" s="360">
        <f ca="1">+AA14+Z14</f>
        <v>0.27596580763068274</v>
      </c>
      <c r="AC14" s="360">
        <f ca="1">+AB14/(S14/100)</f>
        <v>4.6429521126694018E-2</v>
      </c>
      <c r="AD14" s="360">
        <f ca="1">1-AC14</f>
        <v>0.95357047887330593</v>
      </c>
      <c r="AE14" s="361">
        <f ca="1">expenses/(AD14)</f>
        <v>745571.78846420057</v>
      </c>
      <c r="AF14" s="362">
        <f ca="1">+AE14-Revenue</f>
        <v>-409224.32153579954</v>
      </c>
      <c r="AG14" s="363">
        <f ca="1">+AF14/$J$49</f>
        <v>-438499.48653760127</v>
      </c>
      <c r="AH14" s="363">
        <f ca="1">+AG14*$J$47</f>
        <v>-8813.8396794057862</v>
      </c>
      <c r="AI14" s="361">
        <f t="shared" ca="1" si="7"/>
        <v>736757.94877999998</v>
      </c>
      <c r="AJ14" s="26"/>
      <c r="AK14" s="26"/>
      <c r="AL14" s="26"/>
      <c r="AM14" s="26"/>
      <c r="AN14" s="26"/>
      <c r="AO14" s="26"/>
      <c r="AP14" s="26"/>
      <c r="AQ14" s="26"/>
      <c r="AR14" s="26"/>
      <c r="AS14" s="26"/>
      <c r="AT14" s="26"/>
    </row>
    <row r="15" spans="1:46" ht="16.5" thickTop="1">
      <c r="A15" s="312"/>
      <c r="B15" s="866"/>
      <c r="C15" s="866"/>
      <c r="D15" s="312"/>
      <c r="E15" s="312"/>
      <c r="F15" s="365">
        <f t="shared" si="6"/>
        <v>9</v>
      </c>
      <c r="G15" s="326"/>
      <c r="H15" s="326"/>
      <c r="I15" s="326"/>
      <c r="J15" s="326"/>
      <c r="K15" s="376"/>
      <c r="L15" s="326"/>
      <c r="M15" s="326"/>
      <c r="N15" s="26"/>
      <c r="O15" s="340"/>
      <c r="P15" s="312"/>
      <c r="Q15" s="321"/>
      <c r="R15" s="328" t="s">
        <v>1075</v>
      </c>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row>
    <row r="16" spans="1:46" ht="15.75">
      <c r="A16" s="312"/>
      <c r="B16" s="377" t="s">
        <v>1076</v>
      </c>
      <c r="C16" s="867"/>
      <c r="D16" s="867"/>
      <c r="E16" s="312"/>
      <c r="F16" s="365">
        <f t="shared" si="6"/>
        <v>10</v>
      </c>
      <c r="G16" s="326"/>
      <c r="H16" s="378" t="s">
        <v>1077</v>
      </c>
      <c r="I16" s="379">
        <f>+I8/I7</f>
        <v>0.6156543490263704</v>
      </c>
      <c r="J16" s="380"/>
      <c r="K16" s="379">
        <f ca="1">+K8/K7</f>
        <v>0.95389000000000002</v>
      </c>
      <c r="L16" s="381"/>
      <c r="M16" s="379">
        <f ca="1">+M8/M7</f>
        <v>0.95333785796658765</v>
      </c>
      <c r="N16" s="26"/>
      <c r="O16" s="340"/>
      <c r="P16" s="312"/>
      <c r="Q16" s="321"/>
      <c r="R16" s="382">
        <v>1</v>
      </c>
      <c r="S16" s="383">
        <f ca="1">AI11/Investment*100</f>
        <v>602.23474762729836</v>
      </c>
      <c r="T16" s="384">
        <f ca="1">EXP(y_inter1-(slope*LN(+S16)))</f>
        <v>3.8445995519460348</v>
      </c>
      <c r="U16" s="385">
        <f ca="1">(+S16*T16/100)/100</f>
        <v>0.23153514408942447</v>
      </c>
      <c r="V16" s="385">
        <f>regDebt_weighted</f>
        <v>3.5860000000000003E-2</v>
      </c>
      <c r="W16" s="385">
        <f ca="1">+U16-V16</f>
        <v>0.19567514408942446</v>
      </c>
      <c r="X16" s="385">
        <f ca="1">+((W16*(1-0.34))-Pfd_weighted)/Equity_percent</f>
        <v>0.35742905552040738</v>
      </c>
      <c r="Y16" s="385">
        <f ca="1">+X16*equityP</f>
        <v>0.21445743331224443</v>
      </c>
      <c r="Z16" s="385">
        <f ca="1">+Y16/(1-taxrate)</f>
        <v>0.27146510545853725</v>
      </c>
      <c r="AA16" s="385">
        <f>debtP*Debt_Rate</f>
        <v>1.5959999999999998E-2</v>
      </c>
      <c r="AB16" s="385">
        <f ca="1">+AA16+Z16</f>
        <v>0.28742510545853722</v>
      </c>
      <c r="AC16" s="385">
        <f ca="1">+AB16/(S16/100)</f>
        <v>4.7726423390703182E-2</v>
      </c>
      <c r="AD16" s="385">
        <f ca="1">1-AC16</f>
        <v>0.95227357660929679</v>
      </c>
      <c r="AE16" s="386">
        <f ca="1">expenses/(AD16)</f>
        <v>746587.18337191548</v>
      </c>
      <c r="AF16" s="387">
        <f ca="1">+AE16-Revenue</f>
        <v>-408208.92662808462</v>
      </c>
      <c r="AG16" s="388">
        <f ca="1">+AF16/$J$49</f>
        <v>-437411.45212167292</v>
      </c>
      <c r="AH16" s="388">
        <f ca="1">+AG16*$J$47</f>
        <v>-8791.9701876456256</v>
      </c>
      <c r="AI16" s="386">
        <f ca="1">ROUND(+AH16+AE16,5)</f>
        <v>737795.21317999996</v>
      </c>
      <c r="AJ16" s="26"/>
      <c r="AK16" s="26"/>
      <c r="AL16" s="26"/>
      <c r="AM16" s="26"/>
      <c r="AN16" s="26"/>
      <c r="AO16" s="26"/>
      <c r="AP16" s="26"/>
      <c r="AQ16" s="26"/>
      <c r="AR16" s="26"/>
      <c r="AS16" s="26"/>
      <c r="AT16" s="26"/>
    </row>
    <row r="17" spans="1:46" ht="15.75">
      <c r="A17" s="312"/>
      <c r="B17" s="868"/>
      <c r="C17" s="867"/>
      <c r="D17" s="312" t="s">
        <v>1078</v>
      </c>
      <c r="E17" s="312"/>
      <c r="F17" s="365">
        <f t="shared" si="6"/>
        <v>11</v>
      </c>
      <c r="G17" s="326"/>
      <c r="H17" s="389"/>
      <c r="I17" s="389"/>
      <c r="J17" s="390"/>
      <c r="K17" s="389"/>
      <c r="L17" s="378"/>
      <c r="M17" s="378"/>
      <c r="N17" s="391"/>
      <c r="O17" s="312"/>
      <c r="P17" s="312"/>
      <c r="Q17" s="321"/>
      <c r="R17" s="357">
        <v>2</v>
      </c>
      <c r="S17" s="358">
        <f ca="1">AI12/Investment*100</f>
        <v>601.70920252862834</v>
      </c>
      <c r="T17" s="372">
        <f ca="1">EXP(y_inter2-(slope*LN(+S17)))</f>
        <v>3.7921620588039811</v>
      </c>
      <c r="U17" s="360">
        <f ca="1">(+S17*T17/100)/100</f>
        <v>0.22817788082622645</v>
      </c>
      <c r="V17" s="360">
        <f>regDebt_weighted</f>
        <v>3.5860000000000003E-2</v>
      </c>
      <c r="W17" s="360">
        <f ca="1">+U17-V17</f>
        <v>0.19231788082622644</v>
      </c>
      <c r="X17" s="360">
        <f ca="1">+((W17*(1-0.34))-Pfd_weighted)/Equity_percent</f>
        <v>0.35098779460845769</v>
      </c>
      <c r="Y17" s="360">
        <f ca="1">+X17*equityP</f>
        <v>0.21059267676507462</v>
      </c>
      <c r="Z17" s="360">
        <f ca="1">+Y17/(1-taxrate)</f>
        <v>0.26657300856338556</v>
      </c>
      <c r="AA17" s="360">
        <f>debtP*Debt_Rate</f>
        <v>1.5959999999999998E-2</v>
      </c>
      <c r="AB17" s="360">
        <f ca="1">+AA17+Z17</f>
        <v>0.28253300856338553</v>
      </c>
      <c r="AC17" s="360">
        <f ca="1">+AB17/(S17/100)</f>
        <v>4.6955075205110081E-2</v>
      </c>
      <c r="AD17" s="360">
        <f ca="1">1-AC17</f>
        <v>0.95304492479488989</v>
      </c>
      <c r="AE17" s="361">
        <f ca="1">expenses/(AD17)</f>
        <v>745982.93203569972</v>
      </c>
      <c r="AF17" s="362">
        <f ca="1">+AE17-Revenue</f>
        <v>-408813.17796430038</v>
      </c>
      <c r="AG17" s="363">
        <f ca="1">+AF17/$J$49</f>
        <v>-438058.9305014424</v>
      </c>
      <c r="AH17" s="363">
        <f ca="1">+AG17*$J$47</f>
        <v>-8804.9845030789929</v>
      </c>
      <c r="AI17" s="361">
        <f t="shared" ref="AI17:AI19" ca="1" si="8">ROUND(+AH17+AE17,5)</f>
        <v>737177.94753</v>
      </c>
      <c r="AJ17" s="26"/>
      <c r="AK17" s="26"/>
      <c r="AL17" s="26"/>
      <c r="AM17" s="26"/>
      <c r="AN17" s="26"/>
      <c r="AO17" s="26"/>
      <c r="AP17" s="26"/>
      <c r="AQ17" s="26"/>
      <c r="AR17" s="26"/>
      <c r="AS17" s="26"/>
      <c r="AT17" s="26"/>
    </row>
    <row r="18" spans="1:46" ht="15.75">
      <c r="A18" s="312"/>
      <c r="B18" s="861" t="s">
        <v>1079</v>
      </c>
      <c r="C18" s="861"/>
      <c r="D18" s="312"/>
      <c r="E18" s="312"/>
      <c r="F18" s="365">
        <f t="shared" si="6"/>
        <v>12</v>
      </c>
      <c r="G18" s="326"/>
      <c r="H18" s="392" t="s">
        <v>0</v>
      </c>
      <c r="I18" s="393"/>
      <c r="J18" s="393"/>
      <c r="K18" s="393"/>
      <c r="L18" s="393"/>
      <c r="M18" s="394"/>
      <c r="N18" s="390"/>
      <c r="O18" s="312"/>
      <c r="P18" s="312"/>
      <c r="Q18" s="321"/>
      <c r="R18" s="366">
        <v>3</v>
      </c>
      <c r="S18" s="358">
        <f ca="1">AI13/Investment*100</f>
        <v>601.35568624098198</v>
      </c>
      <c r="T18" s="359">
        <f ca="1">EXP(y_inter3-(slope*LN(S18)))</f>
        <v>3.7568021685899979</v>
      </c>
      <c r="U18" s="360">
        <f ca="1">(+S18*T18/100)/100</f>
        <v>0.22591743461640476</v>
      </c>
      <c r="V18" s="360">
        <f>regDebt_weighted</f>
        <v>3.5860000000000003E-2</v>
      </c>
      <c r="W18" s="360">
        <f ca="1">+U18-V18</f>
        <v>0.19005743461640476</v>
      </c>
      <c r="X18" s="360">
        <f ca="1">+((W18*(1-0.34))-Pfd_weighted)/Equity_percent</f>
        <v>0.34665089199659049</v>
      </c>
      <c r="Y18" s="360">
        <f ca="1">+X18*equityP</f>
        <v>0.2079905351979543</v>
      </c>
      <c r="Z18" s="360">
        <f ca="1">+Y18/(1-taxrate)</f>
        <v>0.26327915847842315</v>
      </c>
      <c r="AA18" s="360">
        <f>debtP*Debt_Rate</f>
        <v>1.5959999999999998E-2</v>
      </c>
      <c r="AB18" s="360">
        <f ca="1">+AA18+Z18</f>
        <v>0.27923915847842312</v>
      </c>
      <c r="AC18" s="360">
        <f ca="1">+AB18/(S18/100)</f>
        <v>4.6434941061906466E-2</v>
      </c>
      <c r="AD18" s="360">
        <f ca="1">1-AC18</f>
        <v>0.95356505893809351</v>
      </c>
      <c r="AE18" s="361">
        <f ca="1">expenses/(AD18)</f>
        <v>745576.02619371028</v>
      </c>
      <c r="AF18" s="362">
        <f ca="1">+AE18-Revenue</f>
        <v>-409220.08380628983</v>
      </c>
      <c r="AG18" s="363">
        <f ca="1">+AF18/$J$49</f>
        <v>-438494.94564861618</v>
      </c>
      <c r="AH18" s="363">
        <f ca="1">+AG18*$J$47</f>
        <v>-8813.7484075371849</v>
      </c>
      <c r="AI18" s="361">
        <f t="shared" ca="1" si="8"/>
        <v>736762.27778999996</v>
      </c>
      <c r="AJ18" s="26"/>
      <c r="AK18" s="26"/>
      <c r="AL18" s="26"/>
      <c r="AM18" s="26"/>
      <c r="AN18" s="26"/>
      <c r="AO18" s="26"/>
      <c r="AP18" s="26"/>
      <c r="AQ18" s="26"/>
      <c r="AR18" s="26"/>
      <c r="AS18" s="26"/>
      <c r="AT18" s="26"/>
    </row>
    <row r="19" spans="1:46" ht="15.75">
      <c r="A19" s="312"/>
      <c r="B19" s="312"/>
      <c r="C19" s="312"/>
      <c r="D19" s="312"/>
      <c r="E19" s="312"/>
      <c r="F19" s="365">
        <f t="shared" si="6"/>
        <v>13</v>
      </c>
      <c r="G19" s="326"/>
      <c r="H19" s="395"/>
      <c r="I19" s="396" t="s">
        <v>1080</v>
      </c>
      <c r="J19" s="397">
        <f>+Revenue</f>
        <v>1154796.1100000001</v>
      </c>
      <c r="K19" s="398"/>
      <c r="L19" s="396" t="s">
        <v>1081</v>
      </c>
      <c r="M19" s="399">
        <f ca="1">+J7</f>
        <v>-409474.06305513764</v>
      </c>
      <c r="N19" s="26"/>
      <c r="O19" s="312"/>
      <c r="P19" s="312"/>
      <c r="Q19" s="321"/>
      <c r="R19" s="369">
        <v>4</v>
      </c>
      <c r="S19" s="358">
        <f ca="1">AI14/Investment*100</f>
        <v>601.12976342160914</v>
      </c>
      <c r="T19" s="375">
        <f ca="1">EXP(y_inter4-(slope*LN(S19)))</f>
        <v>3.7341678807208867</v>
      </c>
      <c r="U19" s="360">
        <f ca="1">(+S19*T19/100)/100</f>
        <v>0.22447194547143179</v>
      </c>
      <c r="V19" s="360">
        <f>regDebt_weighted</f>
        <v>3.5860000000000003E-2</v>
      </c>
      <c r="W19" s="360">
        <f ca="1">+U19-V19</f>
        <v>0.18861194547143179</v>
      </c>
      <c r="X19" s="360">
        <f ca="1">+((W19*(1-0.34))-Pfd_weighted)/Equity_percent</f>
        <v>0.34387756979984002</v>
      </c>
      <c r="Y19" s="360">
        <f ca="1">+X19*equityP</f>
        <v>0.20632654187990401</v>
      </c>
      <c r="Z19" s="360">
        <f ca="1">+Y19/(1-taxrate)</f>
        <v>0.26117283782266332</v>
      </c>
      <c r="AA19" s="360">
        <f>debtP*Debt_Rate</f>
        <v>1.5959999999999998E-2</v>
      </c>
      <c r="AB19" s="360">
        <f ca="1">+AA19+Z19</f>
        <v>0.27713283782266329</v>
      </c>
      <c r="AC19" s="360">
        <f ca="1">+AB19/(S19/100)</f>
        <v>4.6101999050127393E-2</v>
      </c>
      <c r="AD19" s="360">
        <f ca="1">1-AC19</f>
        <v>0.95389800094987265</v>
      </c>
      <c r="AE19" s="361">
        <f ca="1">expenses/(AD19)</f>
        <v>745315.79545431456</v>
      </c>
      <c r="AF19" s="362">
        <f ca="1">+AE19-Revenue</f>
        <v>-409480.31454568554</v>
      </c>
      <c r="AG19" s="363">
        <f ca="1">+AF19/$J$49</f>
        <v>-438773.79282265034</v>
      </c>
      <c r="AH19" s="363">
        <f ca="1">+AG19*$J$47</f>
        <v>-8819.3532357352724</v>
      </c>
      <c r="AI19" s="361">
        <f t="shared" ca="1" si="8"/>
        <v>736496.44221999997</v>
      </c>
      <c r="AJ19" s="26"/>
      <c r="AK19" s="26"/>
      <c r="AL19" s="26"/>
      <c r="AM19" s="26"/>
      <c r="AN19" s="26"/>
      <c r="AO19" s="26"/>
      <c r="AP19" s="26"/>
      <c r="AQ19" s="26"/>
      <c r="AR19" s="26"/>
      <c r="AS19" s="26"/>
      <c r="AT19" s="26"/>
    </row>
    <row r="20" spans="1:46" ht="15.75">
      <c r="A20" s="312"/>
      <c r="B20" s="400"/>
      <c r="C20" s="312"/>
      <c r="D20" s="312"/>
      <c r="E20" s="312"/>
      <c r="F20" s="365">
        <f t="shared" si="6"/>
        <v>14</v>
      </c>
      <c r="G20" s="326"/>
      <c r="H20" s="395"/>
      <c r="I20" s="396" t="s">
        <v>1082</v>
      </c>
      <c r="J20" s="397">
        <f ca="1">+J21-J19</f>
        <v>-418293.28164678521</v>
      </c>
      <c r="K20" s="398"/>
      <c r="L20" s="396" t="s">
        <v>1083</v>
      </c>
      <c r="M20" s="399">
        <f ca="1">+L8</f>
        <v>-8819.2185916475719</v>
      </c>
      <c r="N20" s="26"/>
      <c r="O20" s="312"/>
      <c r="P20" s="312"/>
      <c r="Q20" s="321"/>
      <c r="R20" s="328" t="s">
        <v>1084</v>
      </c>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row>
    <row r="21" spans="1:46" ht="16.5" thickBot="1">
      <c r="A21" s="312"/>
      <c r="B21" s="400" t="s">
        <v>1085</v>
      </c>
      <c r="C21" s="312"/>
      <c r="D21" s="312"/>
      <c r="E21" s="312"/>
      <c r="F21" s="365">
        <f t="shared" si="6"/>
        <v>15</v>
      </c>
      <c r="G21" s="326"/>
      <c r="H21" s="395"/>
      <c r="I21" s="401" t="s">
        <v>0</v>
      </c>
      <c r="J21" s="402">
        <f ca="1">+M7</f>
        <v>736502.82835321489</v>
      </c>
      <c r="K21" s="403"/>
      <c r="L21" s="401" t="s">
        <v>1082</v>
      </c>
      <c r="M21" s="404">
        <f ca="1">+M19+M20</f>
        <v>-418293.28164678521</v>
      </c>
      <c r="N21" s="26"/>
      <c r="O21" s="312"/>
      <c r="P21" s="312"/>
      <c r="Q21" s="321"/>
      <c r="R21" s="347">
        <v>1</v>
      </c>
      <c r="S21" s="348">
        <f ca="1">AI16/Investment*100</f>
        <v>601.97608005030679</v>
      </c>
      <c r="T21" s="384">
        <f ca="1">EXP(y_inter1-(slope*LN(+S21)))</f>
        <v>3.8457289079967958</v>
      </c>
      <c r="U21" s="385">
        <f ca="1">(+S21*T21/100)/100</f>
        <v>0.23150368129720583</v>
      </c>
      <c r="V21" s="385">
        <f>regDebt_weighted</f>
        <v>3.5860000000000003E-2</v>
      </c>
      <c r="W21" s="385">
        <f ca="1">+U21-V21</f>
        <v>0.19564368129720583</v>
      </c>
      <c r="X21" s="385">
        <f ca="1">+((W21*(1-0.34))-Pfd_weighted)/Equity_percent</f>
        <v>0.3573686908609181</v>
      </c>
      <c r="Y21" s="385">
        <f ca="1">+X21*equityP</f>
        <v>0.21442121451655086</v>
      </c>
      <c r="Z21" s="385">
        <f ca="1">+Y21/(1-taxrate)</f>
        <v>0.27141925888170992</v>
      </c>
      <c r="AA21" s="385">
        <f>debtP*Debt_Rate</f>
        <v>1.5959999999999998E-2</v>
      </c>
      <c r="AB21" s="385">
        <f ca="1">+AA21+Z21</f>
        <v>0.2873792588817099</v>
      </c>
      <c r="AC21" s="385">
        <f ca="1">+AB21/(S21/100)</f>
        <v>4.7739315299321156E-2</v>
      </c>
      <c r="AD21" s="385">
        <f ca="1">1-AC21</f>
        <v>0.95226068470067882</v>
      </c>
      <c r="AE21" s="386">
        <f ca="1">expenses/(AD21)</f>
        <v>746597.29082872637</v>
      </c>
      <c r="AF21" s="352">
        <f ca="1">+AE21-Revenue</f>
        <v>-408198.81917127373</v>
      </c>
      <c r="AG21" s="388">
        <f ca="1">+AF21/$J$49</f>
        <v>-437400.62159575219</v>
      </c>
      <c r="AH21" s="388">
        <f ca="1">+AG21*$J$47</f>
        <v>-8791.7524940746189</v>
      </c>
      <c r="AI21" s="386">
        <f ca="1">ROUND(+AH21+AE21,5)</f>
        <v>737805.53833000001</v>
      </c>
      <c r="AJ21" s="26"/>
      <c r="AK21" s="26"/>
      <c r="AL21" s="26"/>
      <c r="AM21" s="26"/>
      <c r="AN21" s="26"/>
      <c r="AO21" s="26"/>
      <c r="AP21" s="26"/>
      <c r="AQ21" s="26"/>
      <c r="AR21" s="26"/>
      <c r="AS21" s="26"/>
      <c r="AT21" s="26"/>
    </row>
    <row r="22" spans="1:46" ht="16.5" thickTop="1">
      <c r="A22" s="312"/>
      <c r="B22" s="312" t="s">
        <v>1086</v>
      </c>
      <c r="C22" s="312"/>
      <c r="D22" s="312"/>
      <c r="E22" s="312"/>
      <c r="F22" s="365">
        <f t="shared" si="6"/>
        <v>16</v>
      </c>
      <c r="G22" s="326"/>
      <c r="H22" s="405"/>
      <c r="I22" s="406"/>
      <c r="J22" s="406"/>
      <c r="K22" s="406"/>
      <c r="L22" s="406"/>
      <c r="M22" s="407"/>
      <c r="N22" s="26"/>
      <c r="O22" s="312"/>
      <c r="P22" s="312"/>
      <c r="Q22" s="321"/>
      <c r="R22" s="357">
        <v>2</v>
      </c>
      <c r="S22" s="358">
        <f ca="1">AI17/Investment*100</f>
        <v>601.47244550551886</v>
      </c>
      <c r="T22" s="372">
        <f ca="1">EXP(y_inter2-(slope*LN(+S22)))</f>
        <v>3.7931825129900223</v>
      </c>
      <c r="U22" s="360">
        <f ca="1">(+S22*T22/100)/100</f>
        <v>0.22814947623368784</v>
      </c>
      <c r="V22" s="360">
        <f>regDebt_weighted</f>
        <v>3.5860000000000003E-2</v>
      </c>
      <c r="W22" s="360">
        <f ca="1">+U22-V22</f>
        <v>0.19228947623368783</v>
      </c>
      <c r="X22" s="360">
        <f ca="1">+((W22*(1-0.34))-Pfd_weighted)/Equity_percent</f>
        <v>0.35093329742509877</v>
      </c>
      <c r="Y22" s="360">
        <f ca="1">+X22*equityP</f>
        <v>0.21055997845505925</v>
      </c>
      <c r="Z22" s="360">
        <f ca="1">+Y22/(1-taxrate)</f>
        <v>0.26653161829754335</v>
      </c>
      <c r="AA22" s="360">
        <f>debtP*Debt_Rate</f>
        <v>1.5959999999999998E-2</v>
      </c>
      <c r="AB22" s="360">
        <f ca="1">+AA22+Z22</f>
        <v>0.28249161829754332</v>
      </c>
      <c r="AC22" s="360">
        <f ca="1">+AB22/(S22/100)</f>
        <v>4.6966676596484472E-2</v>
      </c>
      <c r="AD22" s="360">
        <f ca="1">1-AC22</f>
        <v>0.95303332340351554</v>
      </c>
      <c r="AE22" s="361">
        <f ca="1">expenses/(AD22)</f>
        <v>745992.0129773001</v>
      </c>
      <c r="AF22" s="362">
        <f ca="1">+AE22-Revenue</f>
        <v>-408804.09702270001</v>
      </c>
      <c r="AG22" s="363">
        <f ca="1">+AF22/$J$49</f>
        <v>-438049.19992576668</v>
      </c>
      <c r="AH22" s="363">
        <f ca="1">+AG22*$J$47</f>
        <v>-8804.7889185079093</v>
      </c>
      <c r="AI22" s="361">
        <f t="shared" ref="AI22:AI24" ca="1" si="9">ROUND(+AH22+AE22,5)</f>
        <v>737187.22406000004</v>
      </c>
      <c r="AJ22" s="26"/>
      <c r="AK22" s="26"/>
      <c r="AL22" s="26"/>
      <c r="AM22" s="26"/>
      <c r="AN22" s="26"/>
      <c r="AO22" s="26"/>
      <c r="AP22" s="26"/>
      <c r="AQ22" s="26"/>
      <c r="AR22" s="26"/>
      <c r="AS22" s="26"/>
      <c r="AT22" s="26"/>
    </row>
    <row r="23" spans="1:46" ht="15.75">
      <c r="A23" s="312"/>
      <c r="B23" s="312" t="s">
        <v>1087</v>
      </c>
      <c r="C23" s="312"/>
      <c r="D23" s="312"/>
      <c r="E23" s="312"/>
      <c r="F23" s="365">
        <f t="shared" si="6"/>
        <v>17</v>
      </c>
      <c r="G23" s="26"/>
      <c r="H23" s="326"/>
      <c r="I23" s="326"/>
      <c r="J23" s="326"/>
      <c r="K23" s="326"/>
      <c r="L23" s="326"/>
      <c r="M23" s="326"/>
      <c r="N23" s="326"/>
      <c r="O23" s="312"/>
      <c r="P23" s="312"/>
      <c r="Q23" s="321"/>
      <c r="R23" s="366">
        <v>3</v>
      </c>
      <c r="S23" s="358">
        <f ca="1">AI18/Investment*100</f>
        <v>601.13329551347397</v>
      </c>
      <c r="T23" s="359">
        <f ca="1">EXP(y_inter3-(slope*LN(S23)))</f>
        <v>3.7577523036253195</v>
      </c>
      <c r="U23" s="360">
        <f ca="1">(+S23*T23/100)/100</f>
        <v>0.22589100260016365</v>
      </c>
      <c r="V23" s="360">
        <f>regDebt_weighted</f>
        <v>3.5860000000000003E-2</v>
      </c>
      <c r="W23" s="360">
        <f ca="1">+U23-V23</f>
        <v>0.19003100260016365</v>
      </c>
      <c r="X23" s="360">
        <f ca="1">+((W23*(1-0.34))-Pfd_weighted)/Equity_percent</f>
        <v>0.34660017940729071</v>
      </c>
      <c r="Y23" s="360">
        <f ca="1">+X23*equityP</f>
        <v>0.20796010764437442</v>
      </c>
      <c r="Z23" s="360">
        <f ca="1">+Y23/(1-taxrate)</f>
        <v>0.26324064258781571</v>
      </c>
      <c r="AA23" s="360">
        <f>debtP*Debt_Rate</f>
        <v>1.5959999999999998E-2</v>
      </c>
      <c r="AB23" s="360">
        <f ca="1">+AA23+Z23</f>
        <v>0.27920064258781568</v>
      </c>
      <c r="AC23" s="360">
        <f ca="1">+AB23/(S23/100)</f>
        <v>4.6445712568512619E-2</v>
      </c>
      <c r="AD23" s="360">
        <f ca="1">1-AC23</f>
        <v>0.9535542874314874</v>
      </c>
      <c r="AE23" s="361">
        <f ca="1">expenses/(AD23)</f>
        <v>745584.44834355253</v>
      </c>
      <c r="AF23" s="362">
        <f ca="1">+AE23-Revenue</f>
        <v>-409211.66165644757</v>
      </c>
      <c r="AG23" s="363">
        <f ca="1">+AF23/$J$49</f>
        <v>-438485.92099346488</v>
      </c>
      <c r="AH23" s="363">
        <f ca="1">+AG23*$J$47</f>
        <v>-8813.5670119686438</v>
      </c>
      <c r="AI23" s="361">
        <f t="shared" ca="1" si="9"/>
        <v>736770.88133</v>
      </c>
      <c r="AJ23" s="26"/>
      <c r="AK23" s="26"/>
      <c r="AL23" s="26"/>
      <c r="AM23" s="26"/>
      <c r="AN23" s="26"/>
      <c r="AO23" s="26"/>
      <c r="AP23" s="26"/>
      <c r="AQ23" s="26"/>
      <c r="AR23" s="26"/>
      <c r="AS23" s="26"/>
      <c r="AT23" s="26"/>
    </row>
    <row r="24" spans="1:46" ht="15.75">
      <c r="A24" s="312"/>
      <c r="B24" s="312" t="s">
        <v>1088</v>
      </c>
      <c r="C24" s="312"/>
      <c r="D24" s="312"/>
      <c r="E24" s="312"/>
      <c r="F24" s="365">
        <f t="shared" si="6"/>
        <v>18</v>
      </c>
      <c r="G24" s="26"/>
      <c r="H24" s="408"/>
      <c r="I24" s="26"/>
      <c r="J24" s="409" t="s">
        <v>1089</v>
      </c>
      <c r="K24" s="410" t="s">
        <v>1090</v>
      </c>
      <c r="L24" s="410"/>
      <c r="M24" s="410"/>
      <c r="N24" s="410"/>
      <c r="O24" s="312"/>
      <c r="P24" s="312"/>
      <c r="Q24" s="321"/>
      <c r="R24" s="369">
        <v>4</v>
      </c>
      <c r="S24" s="358">
        <f ca="1">AI19/Investment*100</f>
        <v>600.91639704150259</v>
      </c>
      <c r="T24" s="375">
        <f ca="1">EXP(y_inter4-(slope*LN(S24)))</f>
        <v>3.7350742974452702</v>
      </c>
      <c r="U24" s="360">
        <f ca="1">(+S24*T24/100)/100</f>
        <v>0.22444673895031333</v>
      </c>
      <c r="V24" s="360">
        <f>regDebt_weighted</f>
        <v>3.5860000000000003E-2</v>
      </c>
      <c r="W24" s="360">
        <f ca="1">+U24-V24</f>
        <v>0.18858673895031333</v>
      </c>
      <c r="X24" s="360">
        <f ca="1">+((W24*(1-0.34))-Pfd_weighted)/Equity_percent</f>
        <v>0.34382920845118253</v>
      </c>
      <c r="Y24" s="360">
        <f ca="1">+X24*equityP</f>
        <v>0.2062975250707095</v>
      </c>
      <c r="Z24" s="360">
        <f ca="1">+Y24/(1-taxrate)</f>
        <v>0.2611361076844424</v>
      </c>
      <c r="AA24" s="360">
        <f>debtP*Debt_Rate</f>
        <v>1.5959999999999998E-2</v>
      </c>
      <c r="AB24" s="360">
        <f ca="1">+AA24+Z24</f>
        <v>0.27709610768444237</v>
      </c>
      <c r="AC24" s="360">
        <f ca="1">+AB24/(S24/100)</f>
        <v>4.6112256055696313E-2</v>
      </c>
      <c r="AD24" s="360">
        <f ca="1">1-AC24</f>
        <v>0.95388774394430365</v>
      </c>
      <c r="AE24" s="361">
        <f ca="1">expenses/(AD24)</f>
        <v>745323.80971837568</v>
      </c>
      <c r="AF24" s="362">
        <f ca="1">+AE24-Revenue</f>
        <v>-409472.30028162443</v>
      </c>
      <c r="AG24" s="363">
        <f ca="1">+AF24/$J$49</f>
        <v>-438765.20523268852</v>
      </c>
      <c r="AH24" s="363">
        <f ca="1">+AG24*$J$47</f>
        <v>-8819.1806251770395</v>
      </c>
      <c r="AI24" s="361">
        <f t="shared" ca="1" si="9"/>
        <v>736504.62908999994</v>
      </c>
      <c r="AJ24" s="26"/>
      <c r="AK24" s="26"/>
      <c r="AL24" s="26"/>
      <c r="AM24" s="26"/>
      <c r="AN24" s="26"/>
      <c r="AO24" s="26"/>
      <c r="AP24" s="26"/>
      <c r="AQ24" s="26"/>
      <c r="AR24" s="26"/>
      <c r="AS24" s="26"/>
      <c r="AT24" s="26"/>
    </row>
    <row r="25" spans="1:46" ht="15.75">
      <c r="A25" s="312"/>
      <c r="B25" s="312" t="s">
        <v>1091</v>
      </c>
      <c r="C25" s="312"/>
      <c r="D25" s="312"/>
      <c r="E25" s="312"/>
      <c r="F25" s="365">
        <f t="shared" si="6"/>
        <v>19</v>
      </c>
      <c r="G25" s="26"/>
      <c r="H25" s="411" t="s">
        <v>1092</v>
      </c>
      <c r="I25" s="412" t="s">
        <v>1093</v>
      </c>
      <c r="J25" s="413" t="s">
        <v>1094</v>
      </c>
      <c r="K25" s="411" t="s">
        <v>1095</v>
      </c>
      <c r="L25" s="413" t="s">
        <v>1096</v>
      </c>
      <c r="M25" s="413" t="s">
        <v>1094</v>
      </c>
      <c r="N25" s="26"/>
      <c r="O25" s="312"/>
      <c r="P25" s="312"/>
      <c r="Q25" s="321"/>
      <c r="R25" s="328" t="s">
        <v>1097</v>
      </c>
      <c r="S25" s="26"/>
      <c r="T25" s="26"/>
      <c r="U25" s="26"/>
      <c r="V25" s="26"/>
      <c r="W25" s="414"/>
      <c r="X25" s="30"/>
      <c r="Y25" s="415"/>
      <c r="Z25" s="415"/>
      <c r="AA25" s="30"/>
      <c r="AB25" s="26"/>
      <c r="AC25" s="30"/>
      <c r="AD25" s="30"/>
      <c r="AE25" s="415"/>
      <c r="AF25" s="414"/>
      <c r="AG25" s="26"/>
      <c r="AH25" s="26"/>
      <c r="AI25" s="26"/>
      <c r="AJ25" s="26"/>
      <c r="AK25" s="26"/>
      <c r="AL25" s="26"/>
      <c r="AM25" s="26"/>
      <c r="AN25" s="26"/>
      <c r="AO25" s="26"/>
      <c r="AP25" s="26"/>
      <c r="AQ25" s="26"/>
      <c r="AR25" s="26"/>
      <c r="AS25" s="26"/>
      <c r="AT25" s="26"/>
    </row>
    <row r="26" spans="1:46" ht="15.75">
      <c r="A26" s="312"/>
      <c r="B26" s="312"/>
      <c r="C26" s="312"/>
      <c r="D26" s="312"/>
      <c r="E26" s="312"/>
      <c r="F26" s="365">
        <f t="shared" si="6"/>
        <v>20</v>
      </c>
      <c r="G26" s="26"/>
      <c r="H26" s="355" t="s">
        <v>107</v>
      </c>
      <c r="I26" s="416">
        <f>1-I27</f>
        <v>0.6</v>
      </c>
      <c r="J26" s="417">
        <f>+I26*J28</f>
        <v>73537.328571428559</v>
      </c>
      <c r="K26" s="391">
        <f ca="1">+K34</f>
        <v>0.34818314380818988</v>
      </c>
      <c r="L26" s="416">
        <f ca="1">+K26*I26</f>
        <v>0.20890988628491391</v>
      </c>
      <c r="M26" s="356">
        <f ca="1">+J26*K26</f>
        <v>25604.458249255822</v>
      </c>
      <c r="N26" s="26"/>
      <c r="O26" s="312"/>
      <c r="P26" s="312"/>
      <c r="Q26" s="321"/>
      <c r="R26" s="347">
        <v>1</v>
      </c>
      <c r="S26" s="348">
        <f ca="1">AI21/Investment*100</f>
        <v>601.9845044656621</v>
      </c>
      <c r="T26" s="384">
        <f ca="1">EXP(y_inter1-(slope*LN(+S26)))</f>
        <v>3.8456921136912943</v>
      </c>
      <c r="U26" s="385">
        <f ca="1">(+S26*T26/100)/100</f>
        <v>0.23150470613879584</v>
      </c>
      <c r="V26" s="385">
        <f>regDebt_weighted</f>
        <v>3.5860000000000003E-2</v>
      </c>
      <c r="W26" s="385">
        <f ca="1">+U26-V26</f>
        <v>0.19564470613879584</v>
      </c>
      <c r="X26" s="385">
        <f ca="1">+((W26*(1-0.34))-Pfd_weighted)/Equity_percent</f>
        <v>0.35737065712675947</v>
      </c>
      <c r="Y26" s="385">
        <f ca="1">+X26*equityP</f>
        <v>0.21442239427605567</v>
      </c>
      <c r="Z26" s="385">
        <f ca="1">+Y26/(1-taxrate)</f>
        <v>0.27142075224817169</v>
      </c>
      <c r="AA26" s="385">
        <f>debtP*Debt_Rate</f>
        <v>1.5959999999999998E-2</v>
      </c>
      <c r="AB26" s="385">
        <f ca="1">+AA26+Z26</f>
        <v>0.28738075224817167</v>
      </c>
      <c r="AC26" s="385">
        <f ca="1">+AB26/(S26/100)</f>
        <v>4.7738895289881039E-2</v>
      </c>
      <c r="AD26" s="385">
        <f ca="1">1-AC26</f>
        <v>0.95226110471011893</v>
      </c>
      <c r="AE26" s="386">
        <f ca="1">expenses/(AD26)</f>
        <v>746596.96153048193</v>
      </c>
      <c r="AF26" s="352">
        <f ca="1">+AE26-Revenue</f>
        <v>-408199.14846951817</v>
      </c>
      <c r="AG26" s="388">
        <f ca="1">+AF26/$J$49</f>
        <v>-437400.97445139516</v>
      </c>
      <c r="AH26" s="388">
        <f ca="1">+AG26*$J$47</f>
        <v>-8791.7595864730429</v>
      </c>
      <c r="AI26" s="386">
        <f ca="1">ROUND(+AH26+AE26,5)</f>
        <v>737805.20194000006</v>
      </c>
      <c r="AJ26" s="26"/>
      <c r="AK26" s="26"/>
      <c r="AL26" s="26"/>
      <c r="AM26" s="26"/>
      <c r="AN26" s="26"/>
      <c r="AO26" s="26"/>
      <c r="AP26" s="26"/>
      <c r="AQ26" s="26"/>
      <c r="AR26" s="26"/>
      <c r="AS26" s="26"/>
      <c r="AT26" s="26"/>
    </row>
    <row r="27" spans="1:46" ht="15.75">
      <c r="A27" s="312"/>
      <c r="B27" s="312"/>
      <c r="C27" s="312"/>
      <c r="D27" s="312"/>
      <c r="E27" s="312"/>
      <c r="F27" s="365">
        <f t="shared" si="6"/>
        <v>21</v>
      </c>
      <c r="G27" s="26"/>
      <c r="H27" s="355" t="s">
        <v>1056</v>
      </c>
      <c r="I27" s="416">
        <f>IF(A65=TRUE,C8,0)</f>
        <v>0.4</v>
      </c>
      <c r="J27" s="418">
        <f>+I27*J28</f>
        <v>49024.885714285716</v>
      </c>
      <c r="K27" s="391">
        <f>IF(A65=TRUE,C9,0)</f>
        <v>3.9899999999999998E-2</v>
      </c>
      <c r="L27" s="416">
        <f>+K27*I27</f>
        <v>1.5959999999999998E-2</v>
      </c>
      <c r="M27" s="419">
        <f>+K27*J27</f>
        <v>1956.09294</v>
      </c>
      <c r="N27" s="26"/>
      <c r="O27" s="312"/>
      <c r="P27" s="312"/>
      <c r="Q27" s="321"/>
      <c r="R27" s="357">
        <v>2</v>
      </c>
      <c r="S27" s="358">
        <f ca="1">AI22/Investment*100</f>
        <v>601.48001433907336</v>
      </c>
      <c r="T27" s="372">
        <f ca="1">EXP(y_inter2-(slope*LN(+S27)))</f>
        <v>3.7931498798487819</v>
      </c>
      <c r="U27" s="360">
        <f ca="1">(+S27*T27/100)/100</f>
        <v>0.22815038441216998</v>
      </c>
      <c r="V27" s="360">
        <f>regDebt_weighted</f>
        <v>3.5860000000000003E-2</v>
      </c>
      <c r="W27" s="360">
        <f ca="1">+U27-V27</f>
        <v>0.19229038441216997</v>
      </c>
      <c r="X27" s="360">
        <f ca="1">+((W27*(1-0.34))-Pfd_weighted)/Equity_percent</f>
        <v>0.35093503986055863</v>
      </c>
      <c r="Y27" s="360">
        <f ca="1">+X27*equityP</f>
        <v>0.21056102391633516</v>
      </c>
      <c r="Z27" s="360">
        <f ca="1">+Y27/(1-taxrate)</f>
        <v>0.26653294166624703</v>
      </c>
      <c r="AA27" s="360">
        <f>debtP*Debt_Rate</f>
        <v>1.5959999999999998E-2</v>
      </c>
      <c r="AB27" s="360">
        <f ca="1">+AA27+Z27</f>
        <v>0.282492941666247</v>
      </c>
      <c r="AC27" s="360">
        <f ca="1">+AB27/(S27/100)</f>
        <v>4.6966305601468708E-2</v>
      </c>
      <c r="AD27" s="360">
        <f ca="1">1-AC27</f>
        <v>0.95303369439853125</v>
      </c>
      <c r="AE27" s="361">
        <f ca="1">expenses/(AD27)</f>
        <v>745991.72257904848</v>
      </c>
      <c r="AF27" s="362">
        <f ca="1">+AE27-Revenue</f>
        <v>-408804.38742095162</v>
      </c>
      <c r="AG27" s="363">
        <f ca="1">+AF27/$J$49</f>
        <v>-438049.51109858201</v>
      </c>
      <c r="AH27" s="363">
        <f ca="1">+AG27*$J$47</f>
        <v>-8804.7951730814984</v>
      </c>
      <c r="AI27" s="361">
        <f t="shared" ref="AI27:AI29" ca="1" si="10">ROUND(+AH27+AE27,5)</f>
        <v>737186.92741</v>
      </c>
      <c r="AJ27" s="26"/>
      <c r="AK27" s="26"/>
      <c r="AL27" s="26"/>
      <c r="AM27" s="26"/>
      <c r="AN27" s="26"/>
      <c r="AO27" s="26"/>
      <c r="AP27" s="26"/>
      <c r="AQ27" s="26"/>
      <c r="AR27" s="26"/>
      <c r="AS27" s="26"/>
      <c r="AT27" s="26"/>
    </row>
    <row r="28" spans="1:46" ht="16.5" thickBot="1">
      <c r="A28" s="312"/>
      <c r="B28" s="312"/>
      <c r="C28" s="312"/>
      <c r="D28" s="312"/>
      <c r="E28" s="312"/>
      <c r="F28" s="365">
        <f t="shared" si="6"/>
        <v>22</v>
      </c>
      <c r="G28" s="26"/>
      <c r="H28" s="355" t="s">
        <v>648</v>
      </c>
      <c r="I28" s="420">
        <f>SUM(I26:I27)</f>
        <v>1</v>
      </c>
      <c r="J28" s="421">
        <f>IF(A65=TRUE,C7,0)</f>
        <v>122562.21428571428</v>
      </c>
      <c r="K28" s="422"/>
      <c r="L28" s="423">
        <f ca="1">SUM(L26:L27)</f>
        <v>0.22486988628491392</v>
      </c>
      <c r="M28" s="421">
        <f ca="1">SUM(M26:M27)</f>
        <v>27560.551189255821</v>
      </c>
      <c r="N28" s="26"/>
      <c r="O28" s="312"/>
      <c r="P28" s="312"/>
      <c r="Q28" s="321"/>
      <c r="R28" s="366">
        <v>3</v>
      </c>
      <c r="S28" s="358">
        <f ca="1">AI23/Investment*100</f>
        <v>601.14031524630934</v>
      </c>
      <c r="T28" s="359">
        <f ca="1">EXP(y_inter3-(slope*LN(S28)))</f>
        <v>3.7577223036979137</v>
      </c>
      <c r="U28" s="360">
        <f ca="1">(+S28*T28/100)/100</f>
        <v>0.22589183702530519</v>
      </c>
      <c r="V28" s="360">
        <f>regDebt_weighted</f>
        <v>3.5860000000000003E-2</v>
      </c>
      <c r="W28" s="360">
        <f ca="1">+U28-V28</f>
        <v>0.19003183702530518</v>
      </c>
      <c r="X28" s="360">
        <f ca="1">+((W28*(1-0.34))-Pfd_weighted)/Equity_percent</f>
        <v>0.34660178033924827</v>
      </c>
      <c r="Y28" s="360">
        <f ca="1">+X28*equityP</f>
        <v>0.20796106820354895</v>
      </c>
      <c r="Z28" s="360">
        <f ca="1">+Y28/(1-taxrate)</f>
        <v>0.26324185848550502</v>
      </c>
      <c r="AA28" s="360">
        <f>debtP*Debt_Rate</f>
        <v>1.5959999999999998E-2</v>
      </c>
      <c r="AB28" s="360">
        <f ca="1">+AA28+Z28</f>
        <v>0.27920185848550499</v>
      </c>
      <c r="AC28" s="360">
        <f ca="1">+AB28/(S28/100)</f>
        <v>4.6445372470336761E-2</v>
      </c>
      <c r="AD28" s="360">
        <f ca="1">1-AC28</f>
        <v>0.95355462752966325</v>
      </c>
      <c r="AE28" s="361">
        <f ca="1">expenses/(AD28)</f>
        <v>745584.18242075853</v>
      </c>
      <c r="AF28" s="362">
        <f ca="1">+AE28-Revenue</f>
        <v>-409211.92757924157</v>
      </c>
      <c r="AG28" s="363">
        <f ca="1">+AF28/$J$49</f>
        <v>-438486.2059398928</v>
      </c>
      <c r="AH28" s="363">
        <f ca="1">+AG28*$J$47</f>
        <v>-8813.572739391846</v>
      </c>
      <c r="AI28" s="361">
        <f t="shared" ca="1" si="10"/>
        <v>736770.60967999999</v>
      </c>
      <c r="AJ28" s="26"/>
      <c r="AK28" s="26"/>
      <c r="AL28" s="26"/>
      <c r="AM28" s="26"/>
      <c r="AN28" s="26"/>
      <c r="AO28" s="26"/>
      <c r="AP28" s="26"/>
      <c r="AQ28" s="26"/>
      <c r="AR28" s="26"/>
      <c r="AS28" s="26"/>
      <c r="AT28" s="26"/>
    </row>
    <row r="29" spans="1:46" ht="16.5" thickTop="1">
      <c r="A29" s="312"/>
      <c r="B29" s="312"/>
      <c r="C29" s="312"/>
      <c r="D29" s="312"/>
      <c r="E29" s="312"/>
      <c r="F29" s="365">
        <f t="shared" si="6"/>
        <v>23</v>
      </c>
      <c r="G29" s="326"/>
      <c r="H29" s="326"/>
      <c r="I29" s="326"/>
      <c r="J29" s="326"/>
      <c r="K29" s="326"/>
      <c r="L29" s="326"/>
      <c r="M29" s="326"/>
      <c r="N29" s="326"/>
      <c r="O29" s="312"/>
      <c r="P29" s="312"/>
      <c r="Q29" s="321"/>
      <c r="R29" s="369">
        <v>4</v>
      </c>
      <c r="S29" s="358">
        <f ca="1">AI24/Investment*100</f>
        <v>600.92307680822159</v>
      </c>
      <c r="T29" s="375">
        <f ca="1">EXP(y_inter4-(slope*LN(S29)))</f>
        <v>3.7350459124422168</v>
      </c>
      <c r="U29" s="360">
        <f ca="1">(+S29*T29/100)/100</f>
        <v>0.22444752817247487</v>
      </c>
      <c r="V29" s="360">
        <f>regDebt_weighted</f>
        <v>3.5860000000000003E-2</v>
      </c>
      <c r="W29" s="360">
        <f ca="1">+U29-V29</f>
        <v>0.18858752817247487</v>
      </c>
      <c r="X29" s="360">
        <f ca="1">+((W29*(1-0.34))-Pfd_weighted)/Equity_percent</f>
        <v>0.3438307226564925</v>
      </c>
      <c r="Y29" s="360">
        <f ca="1">+X29*equityP</f>
        <v>0.20629843359389549</v>
      </c>
      <c r="Z29" s="360">
        <f ca="1">+Y29/(1-taxrate)</f>
        <v>0.26113725771379176</v>
      </c>
      <c r="AA29" s="360">
        <f>debtP*Debt_Rate</f>
        <v>1.5959999999999998E-2</v>
      </c>
      <c r="AB29" s="360">
        <f ca="1">+AA29+Z29</f>
        <v>0.27709725771379173</v>
      </c>
      <c r="AC29" s="360">
        <f ca="1">+AB29/(S29/100)</f>
        <v>4.6111934856218617E-2</v>
      </c>
      <c r="AD29" s="360">
        <f ca="1">1-AC29</f>
        <v>0.95388806514378133</v>
      </c>
      <c r="AE29" s="361">
        <f ca="1">expenses/(AD29)</f>
        <v>745323.55874802906</v>
      </c>
      <c r="AF29" s="362">
        <f ca="1">+AE29-Revenue</f>
        <v>-409472.55125197105</v>
      </c>
      <c r="AG29" s="363">
        <f ca="1">+AF29/$J$49</f>
        <v>-438765.47415699804</v>
      </c>
      <c r="AH29" s="363">
        <f ca="1">+AG29*$J$47</f>
        <v>-8819.1860305556602</v>
      </c>
      <c r="AI29" s="361">
        <f t="shared" ca="1" si="10"/>
        <v>736504.37271999998</v>
      </c>
      <c r="AJ29" s="26"/>
      <c r="AK29" s="26"/>
      <c r="AL29" s="26"/>
      <c r="AM29" s="26"/>
      <c r="AN29" s="26"/>
      <c r="AO29" s="26"/>
      <c r="AP29" s="26"/>
      <c r="AQ29" s="26"/>
      <c r="AR29" s="26"/>
      <c r="AS29" s="26"/>
      <c r="AT29" s="26"/>
    </row>
    <row r="30" spans="1:46" ht="15.75">
      <c r="A30" s="312"/>
      <c r="B30" s="312"/>
      <c r="C30" s="312"/>
      <c r="D30" s="312"/>
      <c r="E30" s="312"/>
      <c r="F30" s="365">
        <f t="shared" si="6"/>
        <v>24</v>
      </c>
      <c r="G30" s="326"/>
      <c r="H30" s="326"/>
      <c r="I30" s="326"/>
      <c r="J30" s="424" t="s">
        <v>1098</v>
      </c>
      <c r="K30" s="424" t="s">
        <v>1099</v>
      </c>
      <c r="L30" s="326"/>
      <c r="M30" s="326"/>
      <c r="N30" s="326"/>
      <c r="O30" s="312"/>
      <c r="P30" s="312"/>
      <c r="Q30" s="321"/>
      <c r="R30" s="328" t="s">
        <v>1100</v>
      </c>
      <c r="S30" s="26"/>
      <c r="T30" s="26"/>
      <c r="U30" s="26"/>
      <c r="V30" s="26"/>
      <c r="W30" s="414"/>
      <c r="X30" s="30"/>
      <c r="Y30" s="415"/>
      <c r="Z30" s="415"/>
      <c r="AA30" s="30"/>
      <c r="AB30" s="26"/>
      <c r="AC30" s="30"/>
      <c r="AD30" s="30"/>
      <c r="AE30" s="415"/>
      <c r="AF30" s="414"/>
      <c r="AG30" s="26"/>
      <c r="AH30" s="415"/>
      <c r="AI30" s="26"/>
      <c r="AJ30" s="26"/>
      <c r="AK30" s="26"/>
      <c r="AL30" s="26"/>
      <c r="AM30" s="26"/>
      <c r="AN30" s="26"/>
      <c r="AO30" s="26"/>
      <c r="AP30" s="26"/>
      <c r="AQ30" s="26"/>
      <c r="AR30" s="26"/>
      <c r="AS30" s="26"/>
      <c r="AT30" s="26"/>
    </row>
    <row r="31" spans="1:46" ht="15.75">
      <c r="A31" s="312"/>
      <c r="B31" s="312"/>
      <c r="C31" s="312"/>
      <c r="D31" s="312"/>
      <c r="E31" s="312"/>
      <c r="F31" s="365">
        <f t="shared" si="6"/>
        <v>25</v>
      </c>
      <c r="G31" s="326"/>
      <c r="H31" s="425" t="s">
        <v>1101</v>
      </c>
      <c r="I31" s="426"/>
      <c r="J31" s="427" t="s">
        <v>1102</v>
      </c>
      <c r="K31" s="427" t="s">
        <v>1102</v>
      </c>
      <c r="L31" s="326"/>
      <c r="M31" s="326"/>
      <c r="N31" s="326"/>
      <c r="O31" s="312"/>
      <c r="P31" s="312"/>
      <c r="Q31" s="321"/>
      <c r="R31" s="347">
        <v>1</v>
      </c>
      <c r="S31" s="348">
        <f ca="1">AI26/Investment*100</f>
        <v>601.98423000097341</v>
      </c>
      <c r="T31" s="384">
        <f ca="1">EXP(y_inter1-(slope*LN(+S31)))</f>
        <v>3.845693312424034</v>
      </c>
      <c r="U31" s="385">
        <f ca="1">(+S31*T31/100)/100</f>
        <v>0.23150467274994749</v>
      </c>
      <c r="V31" s="385">
        <f>regDebt_weighted</f>
        <v>3.5860000000000003E-2</v>
      </c>
      <c r="W31" s="385">
        <f ca="1">+U31-V31</f>
        <v>0.19564467274994748</v>
      </c>
      <c r="X31" s="385">
        <f ca="1">+((W31*(1-0.34))-Pfd_weighted)/Equity_percent</f>
        <v>0.35737059306675967</v>
      </c>
      <c r="Y31" s="385">
        <f ca="1">+X31*equityP</f>
        <v>0.21442235584005578</v>
      </c>
      <c r="Z31" s="385">
        <f ca="1">+Y31/(1-taxrate)</f>
        <v>0.27142070359500731</v>
      </c>
      <c r="AA31" s="385">
        <f>debtP*Debt_Rate</f>
        <v>1.5959999999999998E-2</v>
      </c>
      <c r="AB31" s="385">
        <f ca="1">+AA31+Z31</f>
        <v>0.28738070359500728</v>
      </c>
      <c r="AC31" s="385">
        <f ca="1">+AB31/(S31/100)</f>
        <v>4.7738908973502941E-2</v>
      </c>
      <c r="AD31" s="385">
        <f ca="1">1-AC31</f>
        <v>0.95226109102649703</v>
      </c>
      <c r="AE31" s="386">
        <f ca="1">expenses/(AD31)</f>
        <v>746596.97225879016</v>
      </c>
      <c r="AF31" s="352">
        <f ca="1">+AE31-Revenue</f>
        <v>-408199.13774120994</v>
      </c>
      <c r="AG31" s="388">
        <f ca="1">+AF31/$J$49</f>
        <v>-437400.96295560326</v>
      </c>
      <c r="AH31" s="388">
        <f ca="1">+AG31*$J$47</f>
        <v>-8791.7593554076248</v>
      </c>
      <c r="AI31" s="386">
        <f ca="1">ROUND(+AH31+AE31,5)</f>
        <v>737805.21290000004</v>
      </c>
      <c r="AJ31" s="26"/>
      <c r="AK31" s="26"/>
      <c r="AL31" s="26"/>
      <c r="AM31" s="26"/>
      <c r="AN31" s="26"/>
      <c r="AO31" s="26"/>
      <c r="AP31" s="26"/>
      <c r="AQ31" s="26"/>
      <c r="AR31" s="26"/>
      <c r="AS31" s="26"/>
      <c r="AT31" s="26"/>
    </row>
    <row r="32" spans="1:46" ht="15.75">
      <c r="A32" s="312"/>
      <c r="B32" s="312"/>
      <c r="C32" s="312"/>
      <c r="D32" s="312"/>
      <c r="E32" s="312"/>
      <c r="F32" s="365">
        <f t="shared" si="6"/>
        <v>26</v>
      </c>
      <c r="G32" s="326"/>
      <c r="H32" s="338"/>
      <c r="I32" s="338"/>
      <c r="J32" s="338"/>
      <c r="K32" s="338"/>
      <c r="L32" s="326"/>
      <c r="M32" s="326"/>
      <c r="N32" s="326"/>
      <c r="O32" s="312"/>
      <c r="P32" s="312"/>
      <c r="Q32" s="321"/>
      <c r="R32" s="357">
        <v>2</v>
      </c>
      <c r="S32" s="358">
        <f ca="1">AI27/Investment*100</f>
        <v>601.47977229873345</v>
      </c>
      <c r="T32" s="372">
        <f ca="1">EXP(y_inter2-(slope*LN(+S32)))</f>
        <v>3.7931509233986969</v>
      </c>
      <c r="U32" s="360">
        <f ca="1">(+S32*T32/100)/100</f>
        <v>0.22815035537005787</v>
      </c>
      <c r="V32" s="360">
        <f>regDebt_weighted</f>
        <v>3.5860000000000003E-2</v>
      </c>
      <c r="W32" s="360">
        <f ca="1">+U32-V32</f>
        <v>0.19229035537005787</v>
      </c>
      <c r="X32" s="360">
        <f ca="1">+((W32*(1-0.34))-Pfd_weighted)/Equity_percent</f>
        <v>0.35093498414022728</v>
      </c>
      <c r="Y32" s="360">
        <f ca="1">+X32*equityP</f>
        <v>0.21056099048413637</v>
      </c>
      <c r="Z32" s="360">
        <f ca="1">+Y32/(1-taxrate)</f>
        <v>0.26653289934700808</v>
      </c>
      <c r="AA32" s="360">
        <f>debtP*Debt_Rate</f>
        <v>1.5959999999999998E-2</v>
      </c>
      <c r="AB32" s="360">
        <f ca="1">+AA32+Z32</f>
        <v>0.28249289934700805</v>
      </c>
      <c r="AC32" s="360">
        <f ca="1">+AB32/(S32/100)</f>
        <v>4.6966317465237044E-2</v>
      </c>
      <c r="AD32" s="360">
        <f ca="1">1-AC32</f>
        <v>0.95303368253476295</v>
      </c>
      <c r="AE32" s="361">
        <f ca="1">expenses/(AD32)</f>
        <v>745991.73186547053</v>
      </c>
      <c r="AF32" s="362">
        <f ca="1">+AE32-Revenue</f>
        <v>-408804.37813452957</v>
      </c>
      <c r="AG32" s="363">
        <f ca="1">+AF32/$J$49</f>
        <v>-438049.50114782614</v>
      </c>
      <c r="AH32" s="363">
        <f ca="1">+AG32*$J$47</f>
        <v>-8804.7949730713062</v>
      </c>
      <c r="AI32" s="361">
        <f t="shared" ref="AI32:AI34" ca="1" si="11">ROUND(+AH32+AE32,5)</f>
        <v>737186.93689000001</v>
      </c>
      <c r="AJ32" s="26"/>
      <c r="AK32" s="26"/>
      <c r="AL32" s="26"/>
      <c r="AM32" s="26"/>
      <c r="AN32" s="26"/>
      <c r="AO32" s="26"/>
      <c r="AP32" s="26"/>
      <c r="AQ32" s="26"/>
      <c r="AR32" s="26"/>
      <c r="AS32" s="26"/>
      <c r="AT32" s="26"/>
    </row>
    <row r="33" spans="1:46" ht="15.75">
      <c r="A33" s="312"/>
      <c r="B33" s="312"/>
      <c r="C33" s="312"/>
      <c r="D33" s="312"/>
      <c r="E33" s="312"/>
      <c r="F33" s="365">
        <f t="shared" si="6"/>
        <v>27</v>
      </c>
      <c r="G33" s="326"/>
      <c r="H33" s="338" t="s">
        <v>1103</v>
      </c>
      <c r="I33" s="338"/>
      <c r="J33" s="428">
        <f ca="1">+K9/J28</f>
        <v>0.28040289403153656</v>
      </c>
      <c r="K33" s="428">
        <f ca="1">+(M14+M11)/J28</f>
        <v>0.22486988628491389</v>
      </c>
      <c r="L33" s="326"/>
      <c r="M33" s="326"/>
      <c r="N33" s="326"/>
      <c r="O33" s="312"/>
      <c r="P33" s="312"/>
      <c r="Q33" s="321"/>
      <c r="R33" s="366">
        <v>3</v>
      </c>
      <c r="S33" s="358">
        <f ca="1">AI28/Investment*100</f>
        <v>601.14009360377327</v>
      </c>
      <c r="T33" s="359">
        <f ca="1">EXP(y_inter3-(slope*LN(S33)))</f>
        <v>3.7577232509129797</v>
      </c>
      <c r="U33" s="360">
        <f ca="1">(+S33*T33/100)/100</f>
        <v>0.22589181067909039</v>
      </c>
      <c r="V33" s="360">
        <f>regDebt_weighted</f>
        <v>3.5860000000000003E-2</v>
      </c>
      <c r="W33" s="360">
        <f ca="1">+U33-V33</f>
        <v>0.19003181067909039</v>
      </c>
      <c r="X33" s="360">
        <f ca="1">+((W33*(1-0.34))-Pfd_weighted)/Equity_percent</f>
        <v>0.34660172979127807</v>
      </c>
      <c r="Y33" s="360">
        <f ca="1">+X33*equityP</f>
        <v>0.20796103787476683</v>
      </c>
      <c r="Z33" s="360">
        <f ca="1">+Y33/(1-taxrate)</f>
        <v>0.26324182009464153</v>
      </c>
      <c r="AA33" s="360">
        <f>debtP*Debt_Rate</f>
        <v>1.5959999999999998E-2</v>
      </c>
      <c r="AB33" s="360">
        <f ca="1">+AA33+Z33</f>
        <v>0.27920182009464151</v>
      </c>
      <c r="AC33" s="360">
        <f ca="1">+AB33/(S33/100)</f>
        <v>4.6445383208572097E-2</v>
      </c>
      <c r="AD33" s="360">
        <f ca="1">1-AC33</f>
        <v>0.95355461679142794</v>
      </c>
      <c r="AE33" s="361">
        <f ca="1">expenses/(AD33)</f>
        <v>745584.19081698277</v>
      </c>
      <c r="AF33" s="362">
        <f ca="1">+AE33-Revenue</f>
        <v>-409211.91918301734</v>
      </c>
      <c r="AG33" s="363">
        <f ca="1">+AF33/$J$49</f>
        <v>-438486.19694301795</v>
      </c>
      <c r="AH33" s="363">
        <f ca="1">+AG33*$J$47</f>
        <v>-8813.5725585546606</v>
      </c>
      <c r="AI33" s="361">
        <f t="shared" ca="1" si="11"/>
        <v>736770.61826000002</v>
      </c>
      <c r="AJ33" s="26"/>
      <c r="AK33" s="26"/>
      <c r="AL33" s="26"/>
      <c r="AM33" s="26"/>
      <c r="AN33" s="26"/>
      <c r="AO33" s="26"/>
      <c r="AP33" s="26"/>
      <c r="AQ33" s="26"/>
      <c r="AR33" s="26"/>
      <c r="AS33" s="26"/>
      <c r="AT33" s="26"/>
    </row>
    <row r="34" spans="1:46" ht="15.75">
      <c r="A34" s="312"/>
      <c r="B34" s="312"/>
      <c r="C34" s="312"/>
      <c r="D34" s="312"/>
      <c r="E34" s="312"/>
      <c r="F34" s="365">
        <f t="shared" si="6"/>
        <v>28</v>
      </c>
      <c r="G34" s="326"/>
      <c r="H34" s="338" t="s">
        <v>1104</v>
      </c>
      <c r="I34" s="338"/>
      <c r="J34" s="428">
        <f ca="1">+(M9-M11)/J26</f>
        <v>0.44073815671922767</v>
      </c>
      <c r="K34" s="428">
        <f ca="1">+M14/J26</f>
        <v>0.34818314380818988</v>
      </c>
      <c r="L34" s="326"/>
      <c r="M34" s="326"/>
      <c r="N34" s="326"/>
      <c r="O34" s="429"/>
      <c r="P34" s="312"/>
      <c r="Q34" s="321"/>
      <c r="R34" s="369">
        <v>4</v>
      </c>
      <c r="S34" s="358">
        <f ca="1">AI29/Investment*100</f>
        <v>600.92286763282323</v>
      </c>
      <c r="T34" s="375">
        <f ca="1">EXP(y_inter4-(slope*LN(S34)))</f>
        <v>3.7350468013041707</v>
      </c>
      <c r="U34" s="360">
        <f ca="1">(+S34*T34/100)/100</f>
        <v>0.2244475034582506</v>
      </c>
      <c r="V34" s="360">
        <f>regDebt_weighted</f>
        <v>3.5860000000000003E-2</v>
      </c>
      <c r="W34" s="360">
        <f ca="1">+U34-V34</f>
        <v>0.18858750345825059</v>
      </c>
      <c r="X34" s="360">
        <f ca="1">+((W34*(1-0.34))-Pfd_weighted)/Equity_percent</f>
        <v>0.34383067523966682</v>
      </c>
      <c r="Y34" s="360">
        <f ca="1">+X34*equityP</f>
        <v>0.20629840514380007</v>
      </c>
      <c r="Z34" s="360">
        <f ca="1">+Y34/(1-taxrate)</f>
        <v>0.26113722170101272</v>
      </c>
      <c r="AA34" s="360">
        <f>debtP*Debt_Rate</f>
        <v>1.5959999999999998E-2</v>
      </c>
      <c r="AB34" s="360">
        <f ca="1">+AA34+Z34</f>
        <v>0.2770972217010127</v>
      </c>
      <c r="AC34" s="360">
        <f ca="1">+AB34/(S34/100)</f>
        <v>4.611194491442204E-2</v>
      </c>
      <c r="AD34" s="360">
        <f ca="1">1-AC34</f>
        <v>0.95388805508557795</v>
      </c>
      <c r="AE34" s="361">
        <f ca="1">expenses/(AD34)</f>
        <v>745323.56660703919</v>
      </c>
      <c r="AF34" s="362">
        <f ca="1">+AE34-Revenue</f>
        <v>-409472.54339296091</v>
      </c>
      <c r="AG34" s="363">
        <f ca="1">+AF34/$J$49</f>
        <v>-438765.46573576861</v>
      </c>
      <c r="AH34" s="363">
        <f ca="1">+AG34*$J$47</f>
        <v>-8819.1858612889482</v>
      </c>
      <c r="AI34" s="361">
        <f t="shared" ca="1" si="11"/>
        <v>736504.38075000001</v>
      </c>
      <c r="AJ34" s="26"/>
      <c r="AK34" s="26"/>
      <c r="AL34" s="26"/>
      <c r="AM34" s="26"/>
      <c r="AN34" s="26"/>
      <c r="AO34" s="26"/>
      <c r="AP34" s="26"/>
      <c r="AQ34" s="26"/>
      <c r="AR34" s="26"/>
      <c r="AS34" s="26"/>
      <c r="AT34" s="26"/>
    </row>
    <row r="35" spans="1:46" ht="15.75">
      <c r="A35" s="312"/>
      <c r="B35" s="312"/>
      <c r="C35" s="312"/>
      <c r="D35" s="312"/>
      <c r="E35" s="312"/>
      <c r="F35" s="365">
        <f t="shared" si="6"/>
        <v>29</v>
      </c>
      <c r="G35" s="326"/>
      <c r="H35" s="430" t="s">
        <v>478</v>
      </c>
      <c r="I35" s="338"/>
      <c r="J35" s="428">
        <f ca="1">+K8/K7</f>
        <v>0.95389000000000002</v>
      </c>
      <c r="K35" s="428">
        <f ca="1">+M8/M7</f>
        <v>0.95333785796658765</v>
      </c>
      <c r="L35" s="326"/>
      <c r="M35" s="326"/>
      <c r="N35" s="326"/>
      <c r="O35" s="312"/>
      <c r="P35" s="312"/>
      <c r="Q35" s="321"/>
      <c r="R35" s="328" t="s">
        <v>1105</v>
      </c>
      <c r="S35" s="26"/>
      <c r="T35" s="26"/>
      <c r="U35" s="26"/>
      <c r="V35" s="26"/>
      <c r="W35" s="26"/>
      <c r="X35" s="30"/>
      <c r="Y35" s="431"/>
      <c r="Z35" s="415"/>
      <c r="AA35" s="30"/>
      <c r="AB35" s="26"/>
      <c r="AC35" s="30"/>
      <c r="AD35" s="30"/>
      <c r="AE35" s="415"/>
      <c r="AF35" s="414"/>
      <c r="AG35" s="26"/>
      <c r="AH35" s="415"/>
      <c r="AI35" s="26"/>
      <c r="AJ35" s="26"/>
      <c r="AK35" s="26"/>
      <c r="AL35" s="26"/>
      <c r="AM35" s="26"/>
      <c r="AN35" s="26"/>
      <c r="AO35" s="26"/>
      <c r="AP35" s="26"/>
      <c r="AQ35" s="26"/>
      <c r="AR35" s="26"/>
      <c r="AS35" s="26"/>
      <c r="AT35" s="26"/>
    </row>
    <row r="36" spans="1:46" ht="15.75">
      <c r="A36" s="312"/>
      <c r="B36" s="312"/>
      <c r="C36" s="312"/>
      <c r="D36" s="312"/>
      <c r="E36" s="312"/>
      <c r="F36" s="365">
        <f t="shared" si="6"/>
        <v>30</v>
      </c>
      <c r="G36" s="326"/>
      <c r="H36" s="338" t="s">
        <v>1106</v>
      </c>
      <c r="I36" s="338"/>
      <c r="J36" s="428">
        <f ca="1">+K9/K7</f>
        <v>4.6110000000000012E-2</v>
      </c>
      <c r="K36" s="428">
        <f ca="1">+J36</f>
        <v>4.6110000000000012E-2</v>
      </c>
      <c r="L36" s="326"/>
      <c r="M36" s="326"/>
      <c r="N36" s="326"/>
      <c r="O36" s="312"/>
      <c r="P36" s="312"/>
      <c r="Q36" s="321"/>
      <c r="R36" s="347">
        <v>1</v>
      </c>
      <c r="S36" s="348">
        <f ca="1">AI31/Investment*100</f>
        <v>601.98423894337054</v>
      </c>
      <c r="T36" s="384">
        <f ca="1">EXP(y_inter1-(slope*LN(+S36)))</f>
        <v>3.8456932733678335</v>
      </c>
      <c r="U36" s="385">
        <f ca="1">(+S36*T36/100)/100</f>
        <v>0.23150467383779744</v>
      </c>
      <c r="V36" s="385">
        <f>regDebt_weighted</f>
        <v>3.5860000000000003E-2</v>
      </c>
      <c r="W36" s="385">
        <f ca="1">+U36-V36</f>
        <v>0.19564467383779743</v>
      </c>
      <c r="X36" s="385">
        <f ca="1">+((W36*(1-0.34))-Pfd_weighted)/Equity_percent</f>
        <v>0.35737059515391367</v>
      </c>
      <c r="Y36" s="385">
        <f ca="1">+X36*equityP</f>
        <v>0.21442235709234819</v>
      </c>
      <c r="Z36" s="385">
        <f ca="1">+Y36/(1-taxrate)</f>
        <v>0.27142070518018757</v>
      </c>
      <c r="AA36" s="385">
        <f>debtP*Debt_Rate</f>
        <v>1.5959999999999998E-2</v>
      </c>
      <c r="AB36" s="385">
        <f ca="1">+AA36+Z36</f>
        <v>0.28738070518018755</v>
      </c>
      <c r="AC36" s="385">
        <f ca="1">+AB36/(S36/100)</f>
        <v>4.7738908527673568E-2</v>
      </c>
      <c r="AD36" s="385">
        <f ca="1">1-AC36</f>
        <v>0.9522610914723264</v>
      </c>
      <c r="AE36" s="386">
        <f ca="1">expenses/(AD36)</f>
        <v>746596.9719092485</v>
      </c>
      <c r="AF36" s="352">
        <f ca="1">+AE36-Revenue</f>
        <v>-408199.1380907516</v>
      </c>
      <c r="AG36" s="388">
        <f ca="1">+AF36/$J$49</f>
        <v>-437400.96333015052</v>
      </c>
      <c r="AH36" s="388">
        <f ca="1">+AG36*$J$47</f>
        <v>-8791.7593629360254</v>
      </c>
      <c r="AI36" s="386">
        <f ca="1">ROUND(+AH36+AE36,5)</f>
        <v>737805.21255000005</v>
      </c>
      <c r="AJ36" s="26"/>
      <c r="AK36" s="26"/>
      <c r="AL36" s="26"/>
      <c r="AM36" s="26"/>
      <c r="AN36" s="26"/>
      <c r="AO36" s="26"/>
      <c r="AP36" s="26"/>
      <c r="AQ36" s="26"/>
      <c r="AR36" s="26"/>
      <c r="AS36" s="26"/>
      <c r="AT36" s="26"/>
    </row>
    <row r="37" spans="1:46" ht="15.75">
      <c r="A37" s="312"/>
      <c r="B37" s="312"/>
      <c r="C37" s="312"/>
      <c r="D37" s="312"/>
      <c r="E37" s="312"/>
      <c r="F37" s="365">
        <f t="shared" si="6"/>
        <v>31</v>
      </c>
      <c r="G37" s="326"/>
      <c r="H37" s="338" t="s">
        <v>1107</v>
      </c>
      <c r="I37" s="432"/>
      <c r="J37" s="433">
        <f ca="1">+S39/100</f>
        <v>6.0092287418459787</v>
      </c>
      <c r="K37" s="433">
        <f ca="1">+J37</f>
        <v>6.0092287418459787</v>
      </c>
      <c r="L37" s="326"/>
      <c r="M37" s="326"/>
      <c r="N37" s="326"/>
      <c r="O37" s="312"/>
      <c r="P37" s="312"/>
      <c r="Q37" s="321"/>
      <c r="R37" s="357">
        <v>2</v>
      </c>
      <c r="S37" s="358">
        <f ca="1">AI32/Investment*100</f>
        <v>601.47978003358071</v>
      </c>
      <c r="T37" s="372">
        <f ca="1">EXP(y_inter2-(slope*LN(+S37)))</f>
        <v>3.7931508900501156</v>
      </c>
      <c r="U37" s="360">
        <f ca="1">(+S37*T37/100)/100</f>
        <v>0.22815035629815242</v>
      </c>
      <c r="V37" s="360">
        <f>regDebt_weighted</f>
        <v>3.5860000000000003E-2</v>
      </c>
      <c r="W37" s="360">
        <f ca="1">+U37-V37</f>
        <v>0.19229035629815242</v>
      </c>
      <c r="X37" s="360">
        <f ca="1">+((W37*(1-0.34))-Pfd_weighted)/Equity_percent</f>
        <v>0.3509349859208738</v>
      </c>
      <c r="Y37" s="360">
        <f ca="1">+X37*equityP</f>
        <v>0.21056099155252428</v>
      </c>
      <c r="Z37" s="360">
        <f ca="1">+Y37/(1-taxrate)</f>
        <v>0.26653290069939783</v>
      </c>
      <c r="AA37" s="360">
        <f>debtP*Debt_Rate</f>
        <v>1.5959999999999998E-2</v>
      </c>
      <c r="AB37" s="360">
        <f ca="1">+AA37+Z37</f>
        <v>0.28249290069939781</v>
      </c>
      <c r="AC37" s="360">
        <f ca="1">+AB37/(S37/100)</f>
        <v>4.6966317086108232E-2</v>
      </c>
      <c r="AD37" s="360">
        <f ca="1">1-AC37</f>
        <v>0.95303368291389179</v>
      </c>
      <c r="AE37" s="361">
        <f ca="1">expenses/(AD37)</f>
        <v>745991.73156870564</v>
      </c>
      <c r="AF37" s="362">
        <f ca="1">+AE37-Revenue</f>
        <v>-408804.37843129446</v>
      </c>
      <c r="AG37" s="363">
        <f ca="1">+AF37/$J$49</f>
        <v>-438049.50146582106</v>
      </c>
      <c r="AH37" s="363">
        <f ca="1">+AG37*$J$47</f>
        <v>-8804.794979463004</v>
      </c>
      <c r="AI37" s="361">
        <f t="shared" ref="AI37:AI39" ca="1" si="12">ROUND(+AH37+AE37,5)</f>
        <v>737186.93659000006</v>
      </c>
      <c r="AJ37" s="26"/>
      <c r="AK37" s="26"/>
      <c r="AL37" s="26"/>
      <c r="AM37" s="26"/>
      <c r="AN37" s="26"/>
      <c r="AO37" s="26"/>
      <c r="AP37" s="26"/>
      <c r="AQ37" s="26"/>
      <c r="AR37" s="26"/>
      <c r="AS37" s="26"/>
      <c r="AT37" s="26"/>
    </row>
    <row r="38" spans="1:46" ht="15.75">
      <c r="A38" s="312"/>
      <c r="B38" s="312"/>
      <c r="C38" s="312"/>
      <c r="D38" s="312"/>
      <c r="E38" s="312"/>
      <c r="F38" s="365">
        <f t="shared" si="6"/>
        <v>32</v>
      </c>
      <c r="G38" s="326"/>
      <c r="H38" s="338" t="s">
        <v>3</v>
      </c>
      <c r="I38" s="326"/>
      <c r="J38" s="428">
        <f>+C10</f>
        <v>0.21</v>
      </c>
      <c r="K38" s="428">
        <f>+J38</f>
        <v>0.21</v>
      </c>
      <c r="L38" s="326"/>
      <c r="M38" s="326"/>
      <c r="N38" s="326"/>
      <c r="O38" s="312"/>
      <c r="P38" s="312"/>
      <c r="Q38" s="434"/>
      <c r="R38" s="366">
        <v>3</v>
      </c>
      <c r="S38" s="358">
        <f ca="1">AI33/Investment*100</f>
        <v>601.14010060429962</v>
      </c>
      <c r="T38" s="359">
        <f ca="1">EXP(y_inter3-(slope*LN(S38)))</f>
        <v>3.7577232209954095</v>
      </c>
      <c r="U38" s="360">
        <f ca="1">(+S38*T38/100)/100</f>
        <v>0.22589181151122933</v>
      </c>
      <c r="V38" s="360">
        <f>regDebt_weighted</f>
        <v>3.5860000000000003E-2</v>
      </c>
      <c r="W38" s="360">
        <f ca="1">+U38-V38</f>
        <v>0.19003181151122933</v>
      </c>
      <c r="X38" s="360">
        <f ca="1">+((W38*(1-0.34))-Pfd_weighted)/Equity_percent</f>
        <v>0.34660173138782374</v>
      </c>
      <c r="Y38" s="360">
        <f ca="1">+X38*equityP</f>
        <v>0.20796103883269423</v>
      </c>
      <c r="Z38" s="360">
        <f ca="1">+Y38/(1-taxrate)</f>
        <v>0.26324182130720786</v>
      </c>
      <c r="AA38" s="360">
        <f>debtP*Debt_Rate</f>
        <v>1.5959999999999998E-2</v>
      </c>
      <c r="AB38" s="360">
        <f ca="1">+AA38+Z38</f>
        <v>0.27920182130720783</v>
      </c>
      <c r="AC38" s="360">
        <f ca="1">+AB38/(S38/100)</f>
        <v>4.6445382869407408E-2</v>
      </c>
      <c r="AD38" s="360">
        <f ca="1">1-AC38</f>
        <v>0.95355461713059264</v>
      </c>
      <c r="AE38" s="361">
        <f ca="1">expenses/(AD38)</f>
        <v>745584.19055178994</v>
      </c>
      <c r="AF38" s="362">
        <f ca="1">+AE38-Revenue</f>
        <v>-409211.91944821016</v>
      </c>
      <c r="AG38" s="363">
        <f ca="1">+AF38/$J$49</f>
        <v>-438486.19722718216</v>
      </c>
      <c r="AH38" s="363">
        <f ca="1">+AG38*$J$47</f>
        <v>-8813.572564266362</v>
      </c>
      <c r="AI38" s="361">
        <f t="shared" ca="1" si="12"/>
        <v>736770.61799000006</v>
      </c>
      <c r="AJ38" s="26"/>
      <c r="AK38" s="26"/>
      <c r="AL38" s="26"/>
      <c r="AM38" s="26"/>
      <c r="AN38" s="26"/>
      <c r="AO38" s="26"/>
      <c r="AP38" s="26"/>
      <c r="AQ38" s="26"/>
      <c r="AR38" s="26"/>
      <c r="AS38" s="26"/>
      <c r="AT38" s="26"/>
    </row>
    <row r="39" spans="1:46" ht="15.75">
      <c r="A39" s="312"/>
      <c r="B39" s="312"/>
      <c r="C39" s="312"/>
      <c r="D39" s="312"/>
      <c r="E39" s="312"/>
      <c r="F39" s="365">
        <f t="shared" si="6"/>
        <v>33</v>
      </c>
      <c r="G39" s="326"/>
      <c r="H39" s="326"/>
      <c r="I39" s="326"/>
      <c r="J39" s="326"/>
      <c r="K39" s="326"/>
      <c r="L39" s="326"/>
      <c r="M39" s="326"/>
      <c r="N39" s="326"/>
      <c r="O39" s="312"/>
      <c r="P39" s="312"/>
      <c r="Q39" s="321"/>
      <c r="R39" s="369">
        <v>4</v>
      </c>
      <c r="S39" s="358">
        <f ca="1">AI34/Investment*100</f>
        <v>600.92287418459784</v>
      </c>
      <c r="T39" s="375">
        <f ca="1">EXP(y_inter4-(slope*LN(S39)))</f>
        <v>3.7350467734633042</v>
      </c>
      <c r="U39" s="360">
        <f ca="1">(+S39*T39/100)/100</f>
        <v>0.22444750423234772</v>
      </c>
      <c r="V39" s="360">
        <f>regDebt_weighted</f>
        <v>3.5860000000000003E-2</v>
      </c>
      <c r="W39" s="360">
        <f ca="1">+U39-V39</f>
        <v>0.18858750423234771</v>
      </c>
      <c r="X39" s="360">
        <f ca="1">+((W39*(1-0.34))-Pfd_weighted)/Equity_percent</f>
        <v>0.34383067672485312</v>
      </c>
      <c r="Y39" s="360">
        <f ca="1">+X39*equityP</f>
        <v>0.20629840603491187</v>
      </c>
      <c r="Z39" s="360">
        <f ca="1">+Y39/(1-taxrate)</f>
        <v>0.26113722282900237</v>
      </c>
      <c r="AA39" s="360">
        <f>debtP*Debt_Rate</f>
        <v>1.5959999999999998E-2</v>
      </c>
      <c r="AB39" s="360">
        <f ca="1">+AA39+Z39</f>
        <v>0.27709722282900234</v>
      </c>
      <c r="AC39" s="360">
        <f ca="1">+AB39/(S39/100)</f>
        <v>4.6111944599379763E-2</v>
      </c>
      <c r="AD39" s="360">
        <f ca="1">1-AC39</f>
        <v>0.95388805540062027</v>
      </c>
      <c r="AE39" s="361">
        <f ca="1">expenses/(AD39)</f>
        <v>745323.56636087981</v>
      </c>
      <c r="AF39" s="362">
        <f ca="1">+AE39-Revenue</f>
        <v>-409472.5436391203</v>
      </c>
      <c r="AG39" s="363">
        <f ca="1">+AF39/$J$49</f>
        <v>-438765.46599953779</v>
      </c>
      <c r="AH39" s="363">
        <f ca="1">+AG39*$J$47</f>
        <v>-8819.1858665907093</v>
      </c>
      <c r="AI39" s="361">
        <f t="shared" ca="1" si="12"/>
        <v>736504.38049000001</v>
      </c>
      <c r="AJ39" s="26"/>
      <c r="AK39" s="26"/>
      <c r="AL39" s="26"/>
      <c r="AM39" s="26"/>
      <c r="AN39" s="26"/>
      <c r="AO39" s="26"/>
      <c r="AP39" s="26"/>
      <c r="AQ39" s="26"/>
      <c r="AR39" s="26"/>
      <c r="AS39" s="26"/>
      <c r="AT39" s="26"/>
    </row>
    <row r="40" spans="1:46" ht="15.75">
      <c r="A40" s="312"/>
      <c r="B40" s="312"/>
      <c r="C40" s="312"/>
      <c r="D40" s="312"/>
      <c r="E40" s="312"/>
      <c r="F40" s="365">
        <f t="shared" si="6"/>
        <v>34</v>
      </c>
      <c r="G40" s="432"/>
      <c r="H40" s="326"/>
      <c r="I40" s="326"/>
      <c r="J40" s="326"/>
      <c r="K40" s="326"/>
      <c r="L40" s="326"/>
      <c r="M40" s="326"/>
      <c r="N40" s="326"/>
      <c r="O40" s="312"/>
      <c r="P40" s="312"/>
      <c r="Q40" s="321"/>
      <c r="R40" s="328"/>
      <c r="S40" s="26"/>
      <c r="T40" s="26"/>
      <c r="U40" s="26"/>
      <c r="V40" s="26"/>
      <c r="W40" s="26"/>
      <c r="X40" s="30"/>
      <c r="Y40" s="431"/>
      <c r="Z40" s="415"/>
      <c r="AA40" s="30"/>
      <c r="AB40" s="26"/>
      <c r="AC40" s="30"/>
      <c r="AD40" s="30"/>
      <c r="AE40" s="415"/>
      <c r="AF40" s="414"/>
      <c r="AG40" s="26"/>
      <c r="AH40" s="415"/>
      <c r="AI40" s="26"/>
      <c r="AJ40" s="26"/>
      <c r="AK40" s="26"/>
      <c r="AL40" s="26"/>
      <c r="AM40" s="26"/>
      <c r="AN40" s="26"/>
      <c r="AO40" s="26"/>
      <c r="AP40" s="26"/>
      <c r="AQ40" s="26"/>
      <c r="AR40" s="26"/>
      <c r="AS40" s="26"/>
      <c r="AT40" s="26"/>
    </row>
    <row r="41" spans="1:46" ht="15.75">
      <c r="A41" s="312"/>
      <c r="B41" s="312"/>
      <c r="C41" s="312"/>
      <c r="D41" s="312"/>
      <c r="E41" s="312"/>
      <c r="F41" s="365">
        <f t="shared" si="6"/>
        <v>35</v>
      </c>
      <c r="G41" s="326"/>
      <c r="H41" s="425" t="s">
        <v>1108</v>
      </c>
      <c r="I41" s="435"/>
      <c r="J41" s="326"/>
      <c r="K41" s="326"/>
      <c r="L41" s="326"/>
      <c r="M41" s="326"/>
      <c r="N41" s="326"/>
      <c r="O41" s="312"/>
      <c r="P41" s="312"/>
      <c r="Q41" s="321"/>
      <c r="R41" s="436" t="s">
        <v>1109</v>
      </c>
      <c r="S41" s="437"/>
      <c r="T41" s="438"/>
      <c r="U41" s="438"/>
      <c r="V41" s="439"/>
      <c r="W41" s="26"/>
      <c r="X41" s="440"/>
      <c r="Y41" s="431"/>
      <c r="Z41" s="415"/>
      <c r="AA41" s="30"/>
      <c r="AB41" s="26"/>
      <c r="AC41" s="30"/>
      <c r="AD41" s="30"/>
      <c r="AE41" s="415"/>
      <c r="AF41" s="414"/>
      <c r="AG41" s="26"/>
      <c r="AH41" s="415"/>
      <c r="AI41" s="26"/>
      <c r="AJ41" s="26"/>
      <c r="AK41" s="26"/>
      <c r="AL41" s="26"/>
      <c r="AM41" s="26"/>
      <c r="AN41" s="26"/>
      <c r="AO41" s="26"/>
      <c r="AP41" s="26"/>
      <c r="AQ41" s="26"/>
      <c r="AR41" s="26"/>
      <c r="AS41" s="26"/>
      <c r="AT41" s="26"/>
    </row>
    <row r="42" spans="1:46" ht="15.75">
      <c r="A42" s="312"/>
      <c r="B42" s="312"/>
      <c r="C42" s="312"/>
      <c r="D42" s="312"/>
      <c r="E42" s="312"/>
      <c r="F42" s="365">
        <f t="shared" si="6"/>
        <v>36</v>
      </c>
      <c r="G42" s="326"/>
      <c r="H42" s="326"/>
      <c r="I42" s="326"/>
      <c r="J42" s="441" t="s">
        <v>729</v>
      </c>
      <c r="K42" s="442" t="s">
        <v>1058</v>
      </c>
      <c r="L42" s="326"/>
      <c r="M42" s="326"/>
      <c r="N42" s="326"/>
      <c r="O42" s="312"/>
      <c r="P42" s="312"/>
      <c r="Q42" s="321"/>
      <c r="R42" s="443" t="s">
        <v>1110</v>
      </c>
      <c r="S42" s="444"/>
      <c r="T42" s="445"/>
      <c r="U42" s="445"/>
      <c r="V42" s="446"/>
      <c r="W42" s="26"/>
      <c r="X42" s="30"/>
      <c r="Y42" s="431"/>
      <c r="Z42" s="415"/>
      <c r="AA42" s="30"/>
      <c r="AB42" s="26"/>
      <c r="AC42" s="30"/>
      <c r="AD42" s="30"/>
      <c r="AE42" s="415"/>
      <c r="AF42" s="26"/>
      <c r="AG42" s="26"/>
      <c r="AH42" s="415"/>
      <c r="AI42" s="26"/>
      <c r="AJ42" s="26"/>
      <c r="AK42" s="26"/>
      <c r="AL42" s="26"/>
      <c r="AM42" s="26"/>
      <c r="AN42" s="26"/>
      <c r="AO42" s="26"/>
      <c r="AP42" s="26"/>
      <c r="AQ42" s="26"/>
      <c r="AR42" s="26"/>
      <c r="AS42" s="26"/>
      <c r="AT42" s="26"/>
    </row>
    <row r="43" spans="1:46" ht="15.75">
      <c r="A43" s="312"/>
      <c r="B43" s="312"/>
      <c r="C43" s="312"/>
      <c r="D43" s="312"/>
      <c r="E43" s="312"/>
      <c r="F43" s="365">
        <f t="shared" si="6"/>
        <v>37</v>
      </c>
      <c r="G43" s="326"/>
      <c r="H43" s="338" t="s">
        <v>4</v>
      </c>
      <c r="I43" s="447"/>
      <c r="J43" s="448">
        <f>IF($A$65=TRUE,C11,0)</f>
        <v>1.4999999999999999E-2</v>
      </c>
      <c r="K43" s="449">
        <f ca="1">+J43*($J$7/$J$49)</f>
        <v>-6581.5064116772764</v>
      </c>
      <c r="L43" s="326"/>
      <c r="M43" s="326"/>
      <c r="N43" s="326"/>
      <c r="O43" s="312"/>
      <c r="P43" s="312"/>
      <c r="Q43" s="321"/>
      <c r="R43" s="366">
        <v>0</v>
      </c>
      <c r="S43" s="450">
        <v>1</v>
      </c>
      <c r="T43" s="445"/>
      <c r="U43" s="451" t="s">
        <v>1106</v>
      </c>
      <c r="V43" s="452">
        <f ca="1">VLOOKUP(R49,R36:AE39,12)</f>
        <v>4.6111944599379763E-2</v>
      </c>
      <c r="W43" s="26"/>
      <c r="X43" s="26"/>
      <c r="Y43" s="26"/>
      <c r="Z43" s="26"/>
      <c r="AA43" s="30"/>
      <c r="AB43" s="26"/>
      <c r="AC43" s="30"/>
      <c r="AD43" s="26"/>
      <c r="AE43" s="26"/>
      <c r="AF43" s="26"/>
      <c r="AG43" s="26"/>
      <c r="AH43" s="415"/>
      <c r="AI43" s="26"/>
      <c r="AJ43" s="26"/>
      <c r="AK43" s="26"/>
      <c r="AL43" s="30"/>
      <c r="AM43" s="30"/>
      <c r="AN43" s="30"/>
      <c r="AO43" s="30"/>
      <c r="AP43" s="30"/>
      <c r="AQ43" s="30"/>
      <c r="AR43" s="30"/>
      <c r="AS43" s="30"/>
      <c r="AT43" s="30"/>
    </row>
    <row r="44" spans="1:46" ht="15.75">
      <c r="A44" s="312"/>
      <c r="B44" s="312"/>
      <c r="C44" s="312"/>
      <c r="D44" s="312"/>
      <c r="E44" s="312"/>
      <c r="F44" s="365">
        <f t="shared" si="6"/>
        <v>38</v>
      </c>
      <c r="G44" s="326"/>
      <c r="H44" s="338" t="s">
        <v>5</v>
      </c>
      <c r="I44" s="447"/>
      <c r="J44" s="448">
        <f t="shared" ref="J44:J46" si="13">IF($A$65=TRUE,C12,0)</f>
        <v>5.1000000000000004E-3</v>
      </c>
      <c r="K44" s="449">
        <f ca="1">+J44*($J$7/$J$49)</f>
        <v>-2237.7121799702745</v>
      </c>
      <c r="L44" s="326"/>
      <c r="M44" s="326"/>
      <c r="N44" s="326"/>
      <c r="O44" s="312"/>
      <c r="P44" s="312"/>
      <c r="Q44" s="321"/>
      <c r="R44" s="366">
        <v>50</v>
      </c>
      <c r="S44" s="450">
        <v>2</v>
      </c>
      <c r="T44" s="445"/>
      <c r="U44" s="451" t="s">
        <v>478</v>
      </c>
      <c r="V44" s="452">
        <f ca="1">ROUND(1-V43,5)</f>
        <v>0.95389000000000002</v>
      </c>
      <c r="W44" s="26"/>
      <c r="X44" s="26"/>
      <c r="Y44" s="453"/>
      <c r="Z44" s="328"/>
      <c r="AA44" s="328"/>
      <c r="AB44" s="26"/>
      <c r="AC44" s="30"/>
      <c r="AD44" s="26"/>
      <c r="AE44" s="26"/>
      <c r="AF44" s="414"/>
      <c r="AG44" s="26"/>
      <c r="AH44" s="415"/>
      <c r="AI44" s="26"/>
      <c r="AJ44" s="26"/>
      <c r="AK44" s="26"/>
      <c r="AL44" s="30"/>
      <c r="AM44" s="30"/>
      <c r="AN44" s="30"/>
      <c r="AO44" s="30"/>
      <c r="AP44" s="30"/>
      <c r="AQ44" s="30"/>
      <c r="AR44" s="30"/>
      <c r="AS44" s="30"/>
      <c r="AT44" s="30"/>
    </row>
    <row r="45" spans="1:46" ht="15.75">
      <c r="A45" s="312"/>
      <c r="B45" s="312"/>
      <c r="C45" s="312"/>
      <c r="D45" s="312"/>
      <c r="E45" s="312"/>
      <c r="F45" s="365">
        <f t="shared" si="6"/>
        <v>39</v>
      </c>
      <c r="G45" s="326"/>
      <c r="H45" s="338" t="s">
        <v>6</v>
      </c>
      <c r="I45" s="447"/>
      <c r="J45" s="448">
        <f t="shared" si="13"/>
        <v>0</v>
      </c>
      <c r="K45" s="449">
        <f ca="1">+J45*($J$7/$J$49)</f>
        <v>0</v>
      </c>
      <c r="L45" s="326"/>
      <c r="M45" s="326"/>
      <c r="N45" s="326"/>
      <c r="O45" s="312"/>
      <c r="P45" s="312"/>
      <c r="Q45" s="321"/>
      <c r="R45" s="366">
        <v>125</v>
      </c>
      <c r="S45" s="450">
        <v>3</v>
      </c>
      <c r="T45" s="445"/>
      <c r="U45" s="454" t="s">
        <v>1111</v>
      </c>
      <c r="V45" s="455">
        <f ca="1">+M7/Revenue-1</f>
        <v>-0.36222262789470705</v>
      </c>
      <c r="W45" s="456"/>
      <c r="X45" s="30"/>
      <c r="Y45" s="453"/>
      <c r="Z45" s="415"/>
      <c r="AA45" s="30"/>
      <c r="AB45" s="26"/>
      <c r="AC45" s="30"/>
      <c r="AD45" s="30"/>
      <c r="AE45" s="415"/>
      <c r="AF45" s="414"/>
      <c r="AG45" s="26"/>
      <c r="AH45" s="415"/>
      <c r="AI45" s="26"/>
      <c r="AJ45" s="26"/>
      <c r="AK45" s="26"/>
      <c r="AL45" s="30"/>
      <c r="AM45" s="30"/>
      <c r="AN45" s="30"/>
      <c r="AO45" s="30"/>
      <c r="AP45" s="30"/>
      <c r="AQ45" s="30"/>
      <c r="AR45" s="30"/>
      <c r="AS45" s="30"/>
      <c r="AT45" s="30"/>
    </row>
    <row r="46" spans="1:46" ht="15.75">
      <c r="A46" s="312"/>
      <c r="B46" s="312"/>
      <c r="C46" s="312"/>
      <c r="D46" s="312"/>
      <c r="E46" s="312"/>
      <c r="F46" s="365">
        <f t="shared" si="6"/>
        <v>40</v>
      </c>
      <c r="G46" s="326"/>
      <c r="H46" s="338" t="s">
        <v>7</v>
      </c>
      <c r="I46" s="447"/>
      <c r="J46" s="448">
        <f t="shared" si="13"/>
        <v>0</v>
      </c>
      <c r="K46" s="449">
        <f ca="1">+J46*($J$7/$J$49)</f>
        <v>0</v>
      </c>
      <c r="L46" s="326"/>
      <c r="M46" s="326"/>
      <c r="N46" s="326"/>
      <c r="O46" s="312"/>
      <c r="P46" s="312"/>
      <c r="Q46" s="321"/>
      <c r="R46" s="369">
        <v>401</v>
      </c>
      <c r="S46" s="457">
        <v>4</v>
      </c>
      <c r="T46" s="458"/>
      <c r="U46" s="458"/>
      <c r="V46" s="459"/>
      <c r="W46" s="26"/>
      <c r="X46" s="30"/>
      <c r="Y46" s="431"/>
      <c r="Z46" s="415"/>
      <c r="AA46" s="30"/>
      <c r="AB46" s="26"/>
      <c r="AC46" s="30"/>
      <c r="AD46" s="30"/>
      <c r="AE46" s="415"/>
      <c r="AF46" s="414"/>
      <c r="AG46" s="26"/>
      <c r="AH46" s="415"/>
      <c r="AI46" s="26"/>
      <c r="AJ46" s="26"/>
      <c r="AK46" s="26"/>
      <c r="AL46" s="30"/>
      <c r="AM46" s="30"/>
      <c r="AN46" s="30"/>
      <c r="AO46" s="30"/>
      <c r="AP46" s="30"/>
      <c r="AQ46" s="30"/>
      <c r="AR46" s="30"/>
      <c r="AS46" s="30"/>
      <c r="AT46" s="30"/>
    </row>
    <row r="47" spans="1:46" ht="16.5" thickBot="1">
      <c r="A47" s="312"/>
      <c r="B47" s="312"/>
      <c r="C47" s="312"/>
      <c r="D47" s="312"/>
      <c r="E47" s="312"/>
      <c r="F47" s="365">
        <f t="shared" si="6"/>
        <v>41</v>
      </c>
      <c r="G47" s="326"/>
      <c r="H47" s="338" t="s">
        <v>8</v>
      </c>
      <c r="I47" s="432"/>
      <c r="J47" s="460">
        <f>SUM(J43:J46)</f>
        <v>2.01E-2</v>
      </c>
      <c r="K47" s="421">
        <f ca="1">+K43+K44+K45+K46</f>
        <v>-8819.2185916475501</v>
      </c>
      <c r="L47" s="326"/>
      <c r="M47" s="326"/>
      <c r="N47" s="326"/>
      <c r="O47" s="312"/>
      <c r="P47" s="312"/>
      <c r="Q47" s="321"/>
      <c r="R47" s="366"/>
      <c r="S47" s="461"/>
      <c r="T47" s="445"/>
      <c r="U47" s="445"/>
      <c r="V47" s="445"/>
      <c r="W47" s="26"/>
      <c r="X47" s="30"/>
      <c r="Y47" s="431"/>
      <c r="Z47" s="415"/>
      <c r="AA47" s="30"/>
      <c r="AB47" s="26"/>
      <c r="AC47" s="30"/>
      <c r="AD47" s="30"/>
      <c r="AE47" s="415"/>
      <c r="AF47" s="414"/>
      <c r="AG47" s="26"/>
      <c r="AH47" s="415"/>
      <c r="AI47" s="26"/>
      <c r="AJ47" s="26"/>
      <c r="AK47" s="26"/>
      <c r="AL47" s="30"/>
      <c r="AM47" s="30"/>
      <c r="AN47" s="30"/>
      <c r="AO47" s="30"/>
      <c r="AP47" s="30"/>
      <c r="AQ47" s="30"/>
      <c r="AR47" s="30"/>
      <c r="AS47" s="30"/>
      <c r="AT47" s="30"/>
    </row>
    <row r="48" spans="1:46" ht="16.5" thickTop="1">
      <c r="A48" s="312"/>
      <c r="B48" s="312"/>
      <c r="C48" s="312"/>
      <c r="D48" s="312"/>
      <c r="E48" s="312"/>
      <c r="F48" s="365">
        <f t="shared" si="6"/>
        <v>42</v>
      </c>
      <c r="G48" s="326"/>
      <c r="H48" s="338"/>
      <c r="I48" s="432"/>
      <c r="J48" s="462"/>
      <c r="K48" s="419"/>
      <c r="L48" s="326"/>
      <c r="M48" s="326"/>
      <c r="N48" s="326"/>
      <c r="O48" s="312"/>
      <c r="P48" s="312"/>
      <c r="Q48" s="321"/>
      <c r="R48" s="463">
        <f ca="1">VLOOKUP(R49,R36:S39,2)</f>
        <v>600.92287418459784</v>
      </c>
      <c r="S48" s="464" t="s">
        <v>1112</v>
      </c>
      <c r="T48" s="439"/>
      <c r="U48" s="26"/>
      <c r="V48" s="438"/>
      <c r="W48" s="26"/>
      <c r="X48" s="26" t="s">
        <v>10</v>
      </c>
      <c r="Y48" s="26"/>
      <c r="Z48" s="26"/>
      <c r="AA48" s="26"/>
      <c r="AB48" s="26"/>
      <c r="AC48" s="30"/>
      <c r="AD48" s="26"/>
      <c r="AE48" s="26"/>
      <c r="AF48" s="414"/>
      <c r="AG48" s="26"/>
      <c r="AH48" s="415"/>
      <c r="AI48" s="26"/>
      <c r="AJ48" s="26"/>
      <c r="AK48" s="26"/>
      <c r="AL48" s="26"/>
      <c r="AM48" s="26"/>
      <c r="AN48" s="26"/>
      <c r="AO48" s="26"/>
      <c r="AP48" s="26"/>
      <c r="AQ48" s="26"/>
      <c r="AR48" s="26"/>
      <c r="AS48" s="26"/>
      <c r="AT48" s="26"/>
    </row>
    <row r="49" spans="1:46" ht="15.75">
      <c r="A49" s="312"/>
      <c r="B49" s="312"/>
      <c r="C49" s="312"/>
      <c r="D49" s="312"/>
      <c r="E49" s="312"/>
      <c r="F49" s="365">
        <f t="shared" si="6"/>
        <v>43</v>
      </c>
      <c r="G49" s="332"/>
      <c r="H49" s="465" t="s">
        <v>9</v>
      </c>
      <c r="I49" s="408"/>
      <c r="J49" s="466">
        <f ca="1">((K35)-J47)</f>
        <v>0.93323785796658765</v>
      </c>
      <c r="K49" s="408"/>
      <c r="L49" s="408"/>
      <c r="M49" s="408"/>
      <c r="N49" s="408"/>
      <c r="O49" s="312"/>
      <c r="P49" s="312"/>
      <c r="Q49" s="321"/>
      <c r="R49" s="467">
        <f ca="1">VLOOKUP(S36,R43:S46,2)</f>
        <v>4</v>
      </c>
      <c r="S49" s="468" t="s">
        <v>1113</v>
      </c>
      <c r="T49" s="446"/>
      <c r="U49" s="26"/>
      <c r="V49" s="26"/>
      <c r="W49" s="26"/>
      <c r="X49" s="26" t="s">
        <v>11</v>
      </c>
      <c r="Y49" s="26"/>
      <c r="Z49" s="26"/>
      <c r="AA49" s="328"/>
      <c r="AB49" s="26"/>
      <c r="AC49" s="30"/>
      <c r="AD49" s="26"/>
      <c r="AE49" s="26"/>
      <c r="AF49" s="26"/>
      <c r="AG49" s="26"/>
      <c r="AH49" s="415"/>
      <c r="AI49" s="26"/>
      <c r="AJ49" s="26"/>
      <c r="AK49" s="26"/>
      <c r="AL49" s="26"/>
      <c r="AM49" s="26"/>
      <c r="AN49" s="26"/>
      <c r="AO49" s="26"/>
      <c r="AP49" s="26"/>
      <c r="AQ49" s="26"/>
      <c r="AR49" s="26"/>
      <c r="AS49" s="26"/>
      <c r="AT49" s="26"/>
    </row>
    <row r="50" spans="1:46">
      <c r="A50" s="312"/>
      <c r="B50" s="312"/>
      <c r="C50" s="312"/>
      <c r="D50" s="312"/>
      <c r="E50" s="312"/>
      <c r="F50" s="312"/>
      <c r="G50" s="312"/>
      <c r="H50" s="312"/>
      <c r="I50" s="312"/>
      <c r="J50" s="312"/>
      <c r="K50" s="469"/>
      <c r="L50" s="312"/>
      <c r="M50" s="312"/>
      <c r="N50" s="470"/>
      <c r="O50" s="312"/>
      <c r="P50" s="312"/>
      <c r="Q50" s="321"/>
      <c r="R50" s="467"/>
      <c r="S50" s="454"/>
      <c r="T50" s="446"/>
      <c r="U50" s="26"/>
      <c r="V50" s="26"/>
      <c r="W50" s="26"/>
      <c r="X50" s="26" t="s">
        <v>12</v>
      </c>
      <c r="Y50" s="26"/>
      <c r="Z50" s="26"/>
      <c r="AA50" s="30"/>
      <c r="AB50" s="26"/>
      <c r="AC50" s="30"/>
      <c r="AD50" s="30"/>
      <c r="AE50" s="415"/>
      <c r="AF50" s="26"/>
      <c r="AG50" s="26"/>
      <c r="AH50" s="415"/>
      <c r="AI50" s="26"/>
      <c r="AJ50" s="26"/>
      <c r="AK50" s="26"/>
      <c r="AL50" s="26"/>
      <c r="AM50" s="26"/>
      <c r="AN50" s="26"/>
      <c r="AO50" s="26"/>
      <c r="AP50" s="26"/>
      <c r="AQ50" s="26"/>
      <c r="AR50" s="26"/>
      <c r="AS50" s="26"/>
      <c r="AT50" s="26"/>
    </row>
    <row r="51" spans="1:46">
      <c r="A51" s="312"/>
      <c r="B51" s="312"/>
      <c r="C51" s="312"/>
      <c r="D51" s="312"/>
      <c r="E51" s="312"/>
      <c r="F51" s="312"/>
      <c r="G51" s="312"/>
      <c r="H51" s="312"/>
      <c r="I51" s="312"/>
      <c r="J51" s="312"/>
      <c r="K51" s="469"/>
      <c r="L51" s="312"/>
      <c r="M51" s="312"/>
      <c r="N51" s="470"/>
      <c r="O51" s="312"/>
      <c r="P51" s="312"/>
      <c r="Q51" s="321"/>
      <c r="R51" s="471">
        <f ca="1">+V44</f>
        <v>0.95389000000000002</v>
      </c>
      <c r="S51" s="472" t="s">
        <v>478</v>
      </c>
      <c r="T51" s="473"/>
      <c r="U51" s="26"/>
      <c r="V51" s="26"/>
      <c r="W51" s="26"/>
      <c r="X51" s="26" t="s">
        <v>13</v>
      </c>
      <c r="Y51" s="26"/>
      <c r="Z51" s="26"/>
      <c r="AA51" s="30"/>
      <c r="AB51" s="26"/>
      <c r="AC51" s="30"/>
      <c r="AD51" s="30"/>
      <c r="AE51" s="415"/>
      <c r="AF51" s="30"/>
      <c r="AG51" s="26"/>
      <c r="AH51" s="415"/>
      <c r="AI51" s="26"/>
      <c r="AJ51" s="26"/>
      <c r="AK51" s="26"/>
      <c r="AL51" s="30"/>
      <c r="AM51" s="30"/>
      <c r="AN51" s="30"/>
      <c r="AO51" s="30"/>
      <c r="AP51" s="30"/>
      <c r="AQ51" s="30"/>
      <c r="AR51" s="30"/>
      <c r="AS51" s="30"/>
      <c r="AT51" s="30"/>
    </row>
    <row r="52" spans="1:46">
      <c r="A52" s="312"/>
      <c r="B52" s="312"/>
      <c r="C52" s="312"/>
      <c r="D52" s="312"/>
      <c r="E52" s="312"/>
      <c r="F52" s="312"/>
      <c r="G52" s="312"/>
      <c r="H52" s="312"/>
      <c r="I52" s="312"/>
      <c r="J52" s="312"/>
      <c r="K52" s="312"/>
      <c r="L52" s="312"/>
      <c r="M52" s="312"/>
      <c r="N52" s="312"/>
      <c r="O52" s="312"/>
      <c r="P52" s="312"/>
      <c r="Q52" s="321"/>
      <c r="R52" s="328"/>
      <c r="S52" s="26"/>
      <c r="T52" s="26"/>
      <c r="U52" s="26"/>
      <c r="V52" s="26"/>
      <c r="W52" s="26"/>
      <c r="X52" s="26"/>
      <c r="Y52" s="26"/>
      <c r="Z52" s="415"/>
      <c r="AA52" s="30"/>
      <c r="AB52" s="26"/>
      <c r="AC52" s="30"/>
      <c r="AD52" s="30"/>
      <c r="AE52" s="415"/>
      <c r="AF52" s="414"/>
      <c r="AG52" s="26"/>
      <c r="AH52" s="415"/>
      <c r="AI52" s="26"/>
      <c r="AJ52" s="26"/>
      <c r="AK52" s="26"/>
      <c r="AL52" s="30"/>
      <c r="AM52" s="30"/>
      <c r="AN52" s="30"/>
      <c r="AO52" s="30"/>
      <c r="AP52" s="30"/>
      <c r="AQ52" s="30"/>
      <c r="AR52" s="30"/>
      <c r="AS52" s="30"/>
      <c r="AT52" s="30"/>
    </row>
    <row r="53" spans="1:46">
      <c r="A53" s="312"/>
      <c r="B53" s="312"/>
      <c r="C53" s="312"/>
      <c r="D53" s="312"/>
      <c r="E53" s="312"/>
      <c r="F53" s="312"/>
      <c r="G53" s="312"/>
      <c r="H53" s="312"/>
      <c r="I53" s="312"/>
      <c r="J53" s="474"/>
      <c r="K53" s="474"/>
      <c r="L53" s="474"/>
      <c r="M53" s="474"/>
      <c r="N53" s="312"/>
      <c r="O53" s="312"/>
      <c r="P53" s="312"/>
      <c r="Q53" s="321"/>
      <c r="R53" s="26"/>
      <c r="S53" s="26"/>
      <c r="T53" s="26"/>
      <c r="U53" s="26"/>
      <c r="V53" s="26"/>
      <c r="W53" s="26"/>
      <c r="X53" s="26"/>
      <c r="Y53" s="26"/>
      <c r="Z53" s="415"/>
      <c r="AA53" s="30"/>
      <c r="AB53" s="26"/>
      <c r="AC53" s="30"/>
      <c r="AD53" s="30"/>
      <c r="AE53" s="415"/>
      <c r="AF53" s="414"/>
      <c r="AG53" s="26"/>
      <c r="AH53" s="415"/>
      <c r="AI53" s="26"/>
      <c r="AJ53" s="26"/>
      <c r="AK53" s="26"/>
      <c r="AL53" s="30"/>
      <c r="AM53" s="30"/>
      <c r="AN53" s="30"/>
      <c r="AO53" s="30"/>
      <c r="AP53" s="30"/>
      <c r="AQ53" s="30"/>
      <c r="AR53" s="30"/>
      <c r="AS53" s="30"/>
      <c r="AT53" s="30"/>
    </row>
    <row r="54" spans="1:46" ht="15.75">
      <c r="A54" s="312"/>
      <c r="B54" s="312"/>
      <c r="C54" s="312"/>
      <c r="D54" s="312"/>
      <c r="E54" s="312"/>
      <c r="F54" s="312"/>
      <c r="G54" s="312"/>
      <c r="H54" s="312"/>
      <c r="I54" s="312"/>
      <c r="J54" s="312"/>
      <c r="K54" s="474"/>
      <c r="L54" s="474"/>
      <c r="M54" s="474"/>
      <c r="N54" s="312"/>
      <c r="O54" s="312"/>
      <c r="P54" s="312"/>
      <c r="Q54" s="321"/>
      <c r="R54" s="26"/>
      <c r="S54" s="26" t="s">
        <v>1114</v>
      </c>
      <c r="T54" s="30"/>
      <c r="U54" s="475"/>
      <c r="V54" s="26"/>
      <c r="W54" s="476" t="s">
        <v>1115</v>
      </c>
      <c r="X54" s="477"/>
      <c r="Y54" s="477"/>
      <c r="Z54" s="477"/>
      <c r="AA54" s="26"/>
      <c r="AB54" s="26"/>
      <c r="AC54" s="30"/>
      <c r="AD54" s="26"/>
      <c r="AE54" s="26"/>
      <c r="AF54" s="414"/>
      <c r="AG54" s="26"/>
      <c r="AH54" s="415"/>
      <c r="AI54" s="26"/>
      <c r="AJ54" s="26"/>
      <c r="AK54" s="26"/>
      <c r="AL54" s="30"/>
      <c r="AM54" s="30"/>
      <c r="AN54" s="30"/>
      <c r="AO54" s="30"/>
      <c r="AP54" s="30"/>
      <c r="AQ54" s="30"/>
      <c r="AR54" s="30"/>
      <c r="AS54" s="30"/>
      <c r="AT54" s="30"/>
    </row>
    <row r="55" spans="1:46">
      <c r="A55" s="312"/>
      <c r="B55" s="312"/>
      <c r="C55" s="312"/>
      <c r="D55" s="312"/>
      <c r="E55" s="312"/>
      <c r="F55" s="312"/>
      <c r="G55" s="312"/>
      <c r="H55" s="312"/>
      <c r="I55" s="312"/>
      <c r="J55" s="312"/>
      <c r="K55" s="312"/>
      <c r="L55" s="478"/>
      <c r="M55" s="478"/>
      <c r="N55" s="312"/>
      <c r="O55" s="312"/>
      <c r="P55" s="312"/>
      <c r="Q55" s="321"/>
      <c r="R55" s="479"/>
      <c r="S55" s="480" t="s">
        <v>1093</v>
      </c>
      <c r="T55" s="480" t="s">
        <v>1116</v>
      </c>
      <c r="U55" s="481" t="s">
        <v>1096</v>
      </c>
      <c r="V55" s="26"/>
      <c r="W55" s="482" t="s">
        <v>1117</v>
      </c>
      <c r="X55" s="483">
        <v>5.7225999999999999</v>
      </c>
      <c r="Y55" s="484" t="s">
        <v>1118</v>
      </c>
      <c r="Z55" s="485">
        <v>5.6985000000000001</v>
      </c>
      <c r="AA55" s="328"/>
      <c r="AB55" s="26"/>
      <c r="AC55" s="30"/>
      <c r="AD55" s="26"/>
      <c r="AE55" s="26"/>
      <c r="AF55" s="26"/>
      <c r="AG55" s="26"/>
      <c r="AH55" s="415"/>
      <c r="AI55" s="26"/>
      <c r="AJ55" s="26"/>
      <c r="AK55" s="26"/>
      <c r="AL55" s="26"/>
      <c r="AM55" s="26"/>
      <c r="AN55" s="26"/>
      <c r="AO55" s="26"/>
      <c r="AP55" s="26"/>
      <c r="AQ55" s="26"/>
      <c r="AR55" s="26"/>
      <c r="AS55" s="26"/>
      <c r="AT55" s="26"/>
    </row>
    <row r="56" spans="1:46">
      <c r="A56" s="312"/>
      <c r="B56" s="312"/>
      <c r="C56" s="312"/>
      <c r="D56" s="312"/>
      <c r="E56" s="312"/>
      <c r="F56" s="312"/>
      <c r="G56" s="312"/>
      <c r="H56" s="312"/>
      <c r="I56" s="312"/>
      <c r="J56" s="478"/>
      <c r="K56" s="312"/>
      <c r="L56" s="478"/>
      <c r="M56" s="478"/>
      <c r="N56" s="312"/>
      <c r="O56" s="312"/>
      <c r="P56" s="312"/>
      <c r="Q56" s="321"/>
      <c r="R56" s="321" t="s">
        <v>1056</v>
      </c>
      <c r="S56" s="486">
        <v>0.56200000000000006</v>
      </c>
      <c r="T56" s="486">
        <v>6.3799999999999996E-2</v>
      </c>
      <c r="U56" s="452">
        <f>ROUND(+S56*T56,5)</f>
        <v>3.5860000000000003E-2</v>
      </c>
      <c r="V56" s="26"/>
      <c r="W56" s="487" t="s">
        <v>1119</v>
      </c>
      <c r="X56" s="488">
        <v>5.7082699999999997</v>
      </c>
      <c r="Y56" s="489" t="s">
        <v>1120</v>
      </c>
      <c r="Z56" s="490">
        <v>5.6921999999999997</v>
      </c>
      <c r="AA56" s="30"/>
      <c r="AB56" s="26"/>
      <c r="AC56" s="30"/>
      <c r="AD56" s="30"/>
      <c r="AE56" s="415"/>
      <c r="AF56" s="26"/>
      <c r="AG56" s="26"/>
      <c r="AH56" s="415"/>
      <c r="AI56" s="26"/>
      <c r="AJ56" s="26"/>
      <c r="AK56" s="26"/>
      <c r="AL56" s="26"/>
      <c r="AM56" s="26"/>
      <c r="AN56" s="26"/>
      <c r="AO56" s="26"/>
      <c r="AP56" s="26"/>
      <c r="AQ56" s="26"/>
      <c r="AR56" s="26"/>
      <c r="AS56" s="26"/>
      <c r="AT56" s="26"/>
    </row>
    <row r="57" spans="1:46">
      <c r="A57" s="312"/>
      <c r="B57" s="312"/>
      <c r="C57" s="312"/>
      <c r="D57" s="312"/>
      <c r="E57" s="474"/>
      <c r="F57" s="312"/>
      <c r="G57" s="312"/>
      <c r="H57" s="312"/>
      <c r="I57" s="312"/>
      <c r="J57" s="478"/>
      <c r="K57" s="312"/>
      <c r="L57" s="478"/>
      <c r="M57" s="478"/>
      <c r="N57" s="312"/>
      <c r="O57" s="312"/>
      <c r="P57" s="312"/>
      <c r="Q57" s="321"/>
      <c r="R57" s="321" t="s">
        <v>1121</v>
      </c>
      <c r="S57" s="486">
        <v>9.4E-2</v>
      </c>
      <c r="T57" s="486">
        <v>6.59E-2</v>
      </c>
      <c r="U57" s="452">
        <f>ROUND(+S57*T57,5)</f>
        <v>6.1900000000000002E-3</v>
      </c>
      <c r="V57" s="26"/>
      <c r="W57" s="321"/>
      <c r="X57" s="445"/>
      <c r="Y57" s="491"/>
      <c r="Z57" s="492"/>
      <c r="AA57" s="30"/>
      <c r="AB57" s="26"/>
      <c r="AC57" s="30"/>
      <c r="AD57" s="30"/>
      <c r="AE57" s="415"/>
      <c r="AF57" s="414"/>
      <c r="AG57" s="26"/>
      <c r="AH57" s="415"/>
      <c r="AI57" s="26"/>
      <c r="AJ57" s="26"/>
      <c r="AK57" s="26"/>
      <c r="AL57" s="30"/>
      <c r="AM57" s="26"/>
      <c r="AN57" s="26"/>
      <c r="AO57" s="26"/>
      <c r="AP57" s="26"/>
      <c r="AQ57" s="26"/>
      <c r="AR57" s="26"/>
      <c r="AS57" s="26"/>
      <c r="AT57" s="26"/>
    </row>
    <row r="58" spans="1:46" ht="15.75">
      <c r="A58" s="312"/>
      <c r="B58" s="312"/>
      <c r="C58" s="312"/>
      <c r="D58" s="312"/>
      <c r="E58" s="474"/>
      <c r="F58" s="474"/>
      <c r="G58" s="474"/>
      <c r="H58" s="493"/>
      <c r="I58" s="474"/>
      <c r="J58" s="478"/>
      <c r="K58" s="312"/>
      <c r="L58" s="312"/>
      <c r="M58" s="312"/>
      <c r="N58" s="312"/>
      <c r="O58" s="312"/>
      <c r="P58" s="312"/>
      <c r="Q58" s="321"/>
      <c r="R58" s="321" t="s">
        <v>107</v>
      </c>
      <c r="S58" s="494">
        <v>0.34399999999999997</v>
      </c>
      <c r="T58" s="495"/>
      <c r="U58" s="496"/>
      <c r="V58" s="26"/>
      <c r="W58" s="497"/>
      <c r="X58" s="498" t="s">
        <v>1122</v>
      </c>
      <c r="Y58" s="499">
        <v>0.68367</v>
      </c>
      <c r="Z58" s="500"/>
      <c r="AA58" s="30"/>
      <c r="AB58" s="26"/>
      <c r="AC58" s="30"/>
      <c r="AD58" s="30"/>
      <c r="AE58" s="415"/>
      <c r="AF58" s="414"/>
      <c r="AG58" s="26"/>
      <c r="AH58" s="415"/>
      <c r="AI58" s="26"/>
      <c r="AJ58" s="26"/>
      <c r="AK58" s="26"/>
      <c r="AL58" s="26"/>
      <c r="AM58" s="26"/>
      <c r="AN58" s="26"/>
      <c r="AO58" s="26"/>
      <c r="AP58" s="26"/>
      <c r="AQ58" s="26"/>
      <c r="AR58" s="26"/>
      <c r="AS58" s="26"/>
      <c r="AT58" s="26"/>
    </row>
    <row r="59" spans="1:46" ht="15.75">
      <c r="A59" s="312"/>
      <c r="B59" s="312"/>
      <c r="C59" s="312"/>
      <c r="D59" s="312"/>
      <c r="E59" s="312"/>
      <c r="F59" s="312"/>
      <c r="G59" s="312"/>
      <c r="H59" s="312"/>
      <c r="I59" s="312"/>
      <c r="J59" s="312"/>
      <c r="K59" s="312"/>
      <c r="L59" s="312"/>
      <c r="M59" s="312"/>
      <c r="N59" s="312"/>
      <c r="O59" s="312"/>
      <c r="P59" s="312"/>
      <c r="Q59" s="321"/>
      <c r="R59" s="497"/>
      <c r="S59" s="494">
        <f>SUM(S56:S58)</f>
        <v>1</v>
      </c>
      <c r="T59" s="501"/>
      <c r="U59" s="502"/>
      <c r="V59" s="26"/>
      <c r="W59" s="26"/>
      <c r="X59" s="30"/>
      <c r="Y59" s="431"/>
      <c r="Z59" s="415"/>
      <c r="AA59" s="30"/>
      <c r="AB59" s="26"/>
      <c r="AC59" s="30"/>
      <c r="AD59" s="30"/>
      <c r="AE59" s="415"/>
      <c r="AF59" s="414"/>
      <c r="AG59" s="26"/>
      <c r="AH59" s="415"/>
      <c r="AI59" s="26"/>
      <c r="AJ59" s="26"/>
      <c r="AK59" s="26"/>
      <c r="AL59" s="26"/>
      <c r="AM59" s="26"/>
      <c r="AN59" s="26"/>
      <c r="AO59" s="26"/>
      <c r="AP59" s="26"/>
      <c r="AQ59" s="26"/>
      <c r="AR59" s="26"/>
      <c r="AS59" s="26"/>
      <c r="AT59" s="26"/>
    </row>
    <row r="60" spans="1:46">
      <c r="A60" s="312"/>
      <c r="B60" s="312"/>
      <c r="C60" s="312"/>
      <c r="D60" s="312"/>
      <c r="E60" s="312"/>
      <c r="F60" s="312"/>
      <c r="G60" s="312"/>
      <c r="H60" s="312"/>
      <c r="I60" s="312"/>
      <c r="J60" s="312"/>
      <c r="K60" s="312"/>
      <c r="L60" s="312"/>
      <c r="M60" s="312"/>
      <c r="N60" s="312"/>
      <c r="O60" s="312"/>
      <c r="P60" s="312"/>
      <c r="Q60" s="321"/>
      <c r="R60" s="328"/>
      <c r="S60" s="26"/>
      <c r="T60" s="26"/>
      <c r="U60" s="26"/>
      <c r="V60" s="26"/>
      <c r="W60" s="26"/>
      <c r="X60" s="503"/>
      <c r="Y60" s="26"/>
      <c r="Z60" s="26"/>
      <c r="AA60" s="26"/>
      <c r="AB60" s="26"/>
      <c r="AC60" s="30"/>
      <c r="AD60" s="26"/>
      <c r="AE60" s="26"/>
      <c r="AF60" s="414"/>
      <c r="AG60" s="26"/>
      <c r="AH60" s="415"/>
      <c r="AI60" s="26"/>
      <c r="AJ60" s="26"/>
      <c r="AK60" s="26"/>
      <c r="AL60" s="414"/>
      <c r="AM60" s="414"/>
      <c r="AN60" s="414"/>
      <c r="AO60" s="414"/>
      <c r="AP60" s="414"/>
      <c r="AQ60" s="414"/>
      <c r="AR60" s="414"/>
      <c r="AS60" s="414"/>
      <c r="AT60" s="414"/>
    </row>
    <row r="61" spans="1:46">
      <c r="A61" s="312"/>
      <c r="B61" s="312"/>
      <c r="C61" s="312"/>
      <c r="D61" s="312"/>
      <c r="E61" s="474"/>
      <c r="F61" s="312"/>
      <c r="G61" s="312"/>
      <c r="H61" s="312"/>
      <c r="I61" s="312"/>
      <c r="J61" s="312"/>
      <c r="K61" s="312"/>
      <c r="L61" s="312"/>
      <c r="M61" s="312"/>
      <c r="N61" s="312"/>
      <c r="O61" s="312"/>
      <c r="P61" s="312"/>
      <c r="Q61" s="321"/>
      <c r="R61" s="328"/>
      <c r="S61" s="26"/>
      <c r="T61" s="26"/>
      <c r="U61" s="26"/>
      <c r="V61" s="26"/>
      <c r="W61" s="479" t="s">
        <v>1101</v>
      </c>
      <c r="X61" s="504"/>
      <c r="Y61" s="438" t="s">
        <v>1123</v>
      </c>
      <c r="Z61" s="439" t="s">
        <v>1039</v>
      </c>
      <c r="AA61" s="26"/>
      <c r="AB61" s="26"/>
      <c r="AC61" s="30"/>
      <c r="AD61" s="26"/>
      <c r="AE61" s="26"/>
      <c r="AF61" s="26"/>
      <c r="AG61" s="26"/>
      <c r="AH61" s="415"/>
      <c r="AI61" s="26"/>
      <c r="AJ61" s="26"/>
      <c r="AK61" s="26"/>
      <c r="AL61" s="414"/>
      <c r="AM61" s="414"/>
      <c r="AN61" s="414"/>
      <c r="AO61" s="414"/>
      <c r="AP61" s="414"/>
      <c r="AQ61" s="414"/>
      <c r="AR61" s="414"/>
      <c r="AS61" s="414"/>
      <c r="AT61" s="414"/>
    </row>
    <row r="62" spans="1:46">
      <c r="A62" s="312"/>
      <c r="B62" s="312"/>
      <c r="C62" s="312"/>
      <c r="D62" s="312"/>
      <c r="E62" s="312"/>
      <c r="F62" s="474"/>
      <c r="G62" s="474"/>
      <c r="H62" s="474"/>
      <c r="I62" s="474"/>
      <c r="J62" s="474"/>
      <c r="K62" s="474"/>
      <c r="L62" s="474"/>
      <c r="M62" s="474"/>
      <c r="N62" s="474"/>
      <c r="O62" s="312"/>
      <c r="P62" s="312"/>
      <c r="Q62" s="321"/>
      <c r="R62" s="328"/>
      <c r="S62" s="26"/>
      <c r="T62" s="26"/>
      <c r="U62" s="26"/>
      <c r="V62" s="26"/>
      <c r="W62" s="505"/>
      <c r="X62" s="506"/>
      <c r="Y62" s="506"/>
      <c r="Z62" s="507"/>
      <c r="AA62" s="26"/>
      <c r="AB62" s="26"/>
      <c r="AC62" s="30"/>
      <c r="AD62" s="30"/>
      <c r="AE62" s="415"/>
      <c r="AF62" s="26"/>
      <c r="AG62" s="26"/>
      <c r="AH62" s="415"/>
      <c r="AI62" s="26"/>
      <c r="AJ62" s="26"/>
      <c r="AK62" s="26"/>
      <c r="AL62" s="414"/>
      <c r="AM62" s="414"/>
      <c r="AN62" s="414"/>
      <c r="AO62" s="414"/>
      <c r="AP62" s="414"/>
      <c r="AQ62" s="414"/>
      <c r="AR62" s="414"/>
      <c r="AS62" s="414"/>
      <c r="AT62" s="414"/>
    </row>
    <row r="63" spans="1:46">
      <c r="A63" s="312"/>
      <c r="B63" s="312"/>
      <c r="C63" s="312"/>
      <c r="D63" s="312"/>
      <c r="E63" s="312"/>
      <c r="F63" s="312"/>
      <c r="G63" s="312"/>
      <c r="H63" s="312"/>
      <c r="I63" s="312"/>
      <c r="J63" s="312"/>
      <c r="K63" s="312"/>
      <c r="L63" s="312"/>
      <c r="M63" s="312"/>
      <c r="N63" s="312"/>
      <c r="O63" s="312"/>
      <c r="P63" s="312"/>
      <c r="Q63" s="321"/>
      <c r="R63" s="328"/>
      <c r="S63" s="26"/>
      <c r="T63" s="26"/>
      <c r="U63" s="26"/>
      <c r="V63" s="26"/>
      <c r="W63" s="321" t="s">
        <v>1103</v>
      </c>
      <c r="X63" s="506"/>
      <c r="Y63" s="452">
        <f t="shared" ref="Y63:Z68" ca="1" si="14">+J33</f>
        <v>0.28040289403153656</v>
      </c>
      <c r="Z63" s="452">
        <f ca="1">+K33</f>
        <v>0.22486988628491389</v>
      </c>
      <c r="AA63" s="26"/>
      <c r="AB63" s="26"/>
      <c r="AC63" s="30"/>
      <c r="AD63" s="30"/>
      <c r="AE63" s="415"/>
      <c r="AF63" s="414"/>
      <c r="AG63" s="26"/>
      <c r="AH63" s="415"/>
      <c r="AI63" s="26"/>
      <c r="AJ63" s="26"/>
      <c r="AK63" s="26"/>
      <c r="AL63" s="414"/>
      <c r="AM63" s="414"/>
      <c r="AN63" s="414"/>
      <c r="AO63" s="414"/>
      <c r="AP63" s="414"/>
      <c r="AQ63" s="414"/>
      <c r="AR63" s="414"/>
      <c r="AS63" s="414"/>
      <c r="AT63" s="414"/>
    </row>
    <row r="64" spans="1:46">
      <c r="A64" s="312"/>
      <c r="B64" s="312"/>
      <c r="C64" s="312"/>
      <c r="D64" s="312"/>
      <c r="E64" s="312"/>
      <c r="F64" s="312"/>
      <c r="G64" s="312"/>
      <c r="H64" s="312"/>
      <c r="I64" s="312"/>
      <c r="J64" s="312"/>
      <c r="K64" s="312"/>
      <c r="L64" s="312"/>
      <c r="M64" s="312"/>
      <c r="N64" s="312"/>
      <c r="O64" s="312"/>
      <c r="P64" s="312"/>
      <c r="Q64" s="321"/>
      <c r="R64" s="328"/>
      <c r="S64" s="26"/>
      <c r="T64" s="26"/>
      <c r="U64" s="26"/>
      <c r="V64" s="26"/>
      <c r="W64" s="321" t="s">
        <v>1104</v>
      </c>
      <c r="X64" s="506"/>
      <c r="Y64" s="452">
        <f t="shared" ca="1" si="14"/>
        <v>0.44073815671922767</v>
      </c>
      <c r="Z64" s="452">
        <f t="shared" ca="1" si="14"/>
        <v>0.34818314380818988</v>
      </c>
      <c r="AA64" s="26"/>
      <c r="AB64" s="26"/>
      <c r="AC64" s="30"/>
      <c r="AD64" s="30"/>
      <c r="AE64" s="415"/>
      <c r="AF64" s="414"/>
      <c r="AG64" s="26"/>
      <c r="AH64" s="415"/>
      <c r="AI64" s="26"/>
      <c r="AJ64" s="26"/>
      <c r="AK64" s="26"/>
      <c r="AL64" s="26"/>
      <c r="AM64" s="26"/>
      <c r="AN64" s="26"/>
      <c r="AO64" s="26"/>
      <c r="AP64" s="26"/>
      <c r="AQ64" s="26"/>
      <c r="AR64" s="26"/>
      <c r="AS64" s="26"/>
      <c r="AT64" s="26"/>
    </row>
    <row r="65" spans="1:46">
      <c r="A65" s="26" t="b">
        <v>1</v>
      </c>
      <c r="B65" s="508"/>
      <c r="C65" s="508"/>
      <c r="D65" s="508"/>
      <c r="E65" s="508"/>
      <c r="F65" s="312"/>
      <c r="G65" s="312"/>
      <c r="H65" s="312"/>
      <c r="I65" s="312"/>
      <c r="J65" s="312"/>
      <c r="K65" s="312"/>
      <c r="L65" s="312"/>
      <c r="M65" s="312"/>
      <c r="N65" s="312"/>
      <c r="O65" s="508"/>
      <c r="P65" s="508"/>
      <c r="Q65" s="321"/>
      <c r="R65" s="328"/>
      <c r="S65" s="26"/>
      <c r="T65" s="26"/>
      <c r="U65" s="26"/>
      <c r="V65" s="26"/>
      <c r="W65" s="321" t="s">
        <v>478</v>
      </c>
      <c r="X65" s="506"/>
      <c r="Y65" s="452">
        <f t="shared" ca="1" si="14"/>
        <v>0.95389000000000002</v>
      </c>
      <c r="Z65" s="452">
        <f t="shared" ca="1" si="14"/>
        <v>0.95333785796658765</v>
      </c>
      <c r="AA65" s="26"/>
      <c r="AB65" s="26"/>
      <c r="AC65" s="30"/>
      <c r="AD65" s="30"/>
      <c r="AE65" s="415"/>
      <c r="AF65" s="414"/>
      <c r="AG65" s="26"/>
      <c r="AH65" s="415"/>
      <c r="AI65" s="26"/>
      <c r="AJ65" s="26"/>
      <c r="AK65" s="26"/>
      <c r="AL65" s="26"/>
      <c r="AM65" s="26"/>
      <c r="AN65" s="26"/>
      <c r="AO65" s="26"/>
      <c r="AP65" s="26"/>
      <c r="AQ65" s="26"/>
      <c r="AR65" s="26"/>
      <c r="AS65" s="26"/>
      <c r="AT65" s="26"/>
    </row>
    <row r="66" spans="1:46">
      <c r="A66" s="26"/>
      <c r="B66" s="508"/>
      <c r="C66" s="508"/>
      <c r="D66" s="508"/>
      <c r="E66" s="508"/>
      <c r="F66" s="26"/>
      <c r="G66" s="26"/>
      <c r="H66" s="414"/>
      <c r="I66" s="414"/>
      <c r="J66" s="414"/>
      <c r="K66" s="414"/>
      <c r="L66" s="414"/>
      <c r="M66" s="414"/>
      <c r="N66" s="414"/>
      <c r="O66" s="414"/>
      <c r="P66" s="508"/>
      <c r="Q66" s="321"/>
      <c r="R66" s="328"/>
      <c r="S66" s="26"/>
      <c r="T66" s="26"/>
      <c r="U66" s="26"/>
      <c r="V66" s="26"/>
      <c r="W66" s="321" t="s">
        <v>1106</v>
      </c>
      <c r="X66" s="506"/>
      <c r="Y66" s="452">
        <f t="shared" ca="1" si="14"/>
        <v>4.6110000000000012E-2</v>
      </c>
      <c r="Z66" s="452">
        <f t="shared" ca="1" si="14"/>
        <v>4.6110000000000012E-2</v>
      </c>
      <c r="AA66" s="26"/>
      <c r="AB66" s="26"/>
      <c r="AC66" s="30"/>
      <c r="AD66" s="26"/>
      <c r="AE66" s="26"/>
      <c r="AF66" s="414"/>
      <c r="AG66" s="26"/>
      <c r="AH66" s="415"/>
      <c r="AI66" s="26"/>
      <c r="AJ66" s="26"/>
      <c r="AK66" s="26"/>
      <c r="AL66" s="414"/>
      <c r="AM66" s="26"/>
      <c r="AN66" s="26"/>
      <c r="AO66" s="26"/>
      <c r="AP66" s="26"/>
      <c r="AQ66" s="26"/>
      <c r="AR66" s="26"/>
      <c r="AS66" s="26"/>
      <c r="AT66" s="26"/>
    </row>
    <row r="67" spans="1:46">
      <c r="A67" s="26"/>
      <c r="B67" s="508"/>
      <c r="C67" s="508"/>
      <c r="D67" s="508"/>
      <c r="E67" s="508"/>
      <c r="F67" s="26"/>
      <c r="G67" s="26"/>
      <c r="H67" s="414"/>
      <c r="I67" s="414"/>
      <c r="J67" s="414"/>
      <c r="K67" s="414"/>
      <c r="L67" s="414"/>
      <c r="M67" s="414"/>
      <c r="N67" s="414"/>
      <c r="O67" s="414"/>
      <c r="P67" s="508"/>
      <c r="Q67" s="321"/>
      <c r="R67" s="328"/>
      <c r="S67" s="26"/>
      <c r="T67" s="26"/>
      <c r="U67" s="26"/>
      <c r="V67" s="26"/>
      <c r="W67" s="321" t="s">
        <v>1107</v>
      </c>
      <c r="X67" s="509"/>
      <c r="Y67" s="452">
        <f t="shared" ca="1" si="14"/>
        <v>6.0092287418459787</v>
      </c>
      <c r="Z67" s="452">
        <f t="shared" ca="1" si="14"/>
        <v>6.0092287418459787</v>
      </c>
      <c r="AA67" s="26"/>
      <c r="AB67" s="26"/>
      <c r="AC67" s="30"/>
      <c r="AD67" s="26"/>
      <c r="AE67" s="26"/>
      <c r="AF67" s="26"/>
      <c r="AG67" s="26"/>
      <c r="AH67" s="415"/>
      <c r="AI67" s="26"/>
      <c r="AJ67" s="26"/>
      <c r="AK67" s="26"/>
      <c r="AL67" s="26"/>
      <c r="AM67" s="26"/>
      <c r="AN67" s="26"/>
      <c r="AO67" s="26"/>
      <c r="AP67" s="26"/>
      <c r="AQ67" s="26"/>
      <c r="AR67" s="26"/>
      <c r="AS67" s="26"/>
      <c r="AT67" s="26"/>
    </row>
    <row r="68" spans="1:46">
      <c r="A68" s="26"/>
      <c r="B68" s="508"/>
      <c r="C68" s="508"/>
      <c r="D68" s="508"/>
      <c r="E68" s="508"/>
      <c r="F68" s="26"/>
      <c r="G68" s="26"/>
      <c r="H68" s="26"/>
      <c r="I68" s="26"/>
      <c r="J68" s="26"/>
      <c r="K68" s="26"/>
      <c r="L68" s="26"/>
      <c r="M68" s="26"/>
      <c r="N68" s="26"/>
      <c r="O68" s="414"/>
      <c r="P68" s="508"/>
      <c r="Q68" s="321"/>
      <c r="R68" s="328"/>
      <c r="S68" s="26"/>
      <c r="T68" s="26"/>
      <c r="U68" s="26"/>
      <c r="V68" s="26"/>
      <c r="W68" s="321" t="s">
        <v>3</v>
      </c>
      <c r="X68" s="510"/>
      <c r="Y68" s="452">
        <f t="shared" si="14"/>
        <v>0.21</v>
      </c>
      <c r="Z68" s="452">
        <f t="shared" si="14"/>
        <v>0.21</v>
      </c>
      <c r="AA68" s="26"/>
      <c r="AB68" s="26"/>
      <c r="AC68" s="30"/>
      <c r="AD68" s="30"/>
      <c r="AE68" s="415"/>
      <c r="AF68" s="26"/>
      <c r="AG68" s="26"/>
      <c r="AH68" s="415"/>
      <c r="AI68" s="26"/>
      <c r="AJ68" s="26"/>
      <c r="AK68" s="26"/>
      <c r="AL68" s="26"/>
      <c r="AM68" s="26"/>
      <c r="AN68" s="26"/>
      <c r="AO68" s="26"/>
      <c r="AP68" s="26"/>
      <c r="AQ68" s="26"/>
      <c r="AR68" s="26"/>
      <c r="AS68" s="26"/>
      <c r="AT68" s="26"/>
    </row>
    <row r="69" spans="1:46" ht="15.75">
      <c r="A69" s="26"/>
      <c r="B69" s="508"/>
      <c r="C69" s="508"/>
      <c r="D69" s="508"/>
      <c r="E69" s="508"/>
      <c r="F69" s="26"/>
      <c r="G69" s="26"/>
      <c r="H69" s="26"/>
      <c r="I69" s="26"/>
      <c r="J69" s="26"/>
      <c r="K69" s="26"/>
      <c r="L69" s="26"/>
      <c r="M69" s="26"/>
      <c r="N69" s="26"/>
      <c r="O69" s="414"/>
      <c r="P69" s="508"/>
      <c r="Q69" s="321"/>
      <c r="R69" s="328"/>
      <c r="S69" s="26"/>
      <c r="T69" s="26"/>
      <c r="U69" s="26"/>
      <c r="V69" s="26"/>
      <c r="W69" s="321"/>
      <c r="X69" s="445"/>
      <c r="Y69" s="495"/>
      <c r="Z69" s="511"/>
      <c r="AA69" s="26"/>
      <c r="AB69" s="26"/>
      <c r="AC69" s="30"/>
      <c r="AD69" s="30"/>
      <c r="AE69" s="415"/>
      <c r="AF69" s="414"/>
      <c r="AG69" s="26"/>
      <c r="AH69" s="415"/>
      <c r="AI69" s="26"/>
      <c r="AJ69" s="26"/>
      <c r="AK69" s="26"/>
      <c r="AL69" s="26"/>
      <c r="AM69" s="26"/>
      <c r="AN69" s="26"/>
      <c r="AO69" s="26"/>
      <c r="AP69" s="26"/>
      <c r="AQ69" s="26"/>
      <c r="AR69" s="26"/>
      <c r="AS69" s="26"/>
      <c r="AT69" s="26"/>
    </row>
    <row r="70" spans="1:46">
      <c r="A70" s="26"/>
      <c r="B70" s="508"/>
      <c r="C70" s="508"/>
      <c r="D70" s="508"/>
      <c r="E70" s="508"/>
      <c r="F70" s="26"/>
      <c r="G70" s="26"/>
      <c r="H70" s="26"/>
      <c r="I70" s="26"/>
      <c r="J70" s="26"/>
      <c r="K70" s="26"/>
      <c r="L70" s="26"/>
      <c r="M70" s="26"/>
      <c r="N70" s="26"/>
      <c r="O70" s="414"/>
      <c r="P70" s="508"/>
      <c r="Q70" s="321"/>
      <c r="R70" s="328"/>
      <c r="S70" s="26"/>
      <c r="T70" s="26"/>
      <c r="U70" s="26"/>
      <c r="V70" s="26"/>
      <c r="W70" s="497"/>
      <c r="X70" s="512"/>
      <c r="Y70" s="513"/>
      <c r="Z70" s="514"/>
      <c r="AA70" s="30"/>
      <c r="AB70" s="26"/>
      <c r="AC70" s="30"/>
      <c r="AD70" s="30"/>
      <c r="AE70" s="415"/>
      <c r="AF70" s="414"/>
      <c r="AG70" s="26"/>
      <c r="AH70" s="415"/>
      <c r="AI70" s="26"/>
      <c r="AJ70" s="26"/>
      <c r="AK70" s="26"/>
      <c r="AL70" s="26"/>
      <c r="AM70" s="26"/>
      <c r="AN70" s="26"/>
      <c r="AO70" s="26"/>
      <c r="AP70" s="26"/>
      <c r="AQ70" s="26"/>
      <c r="AR70" s="26"/>
      <c r="AS70" s="26"/>
      <c r="AT70" s="26"/>
    </row>
    <row r="71" spans="1:46">
      <c r="A71" s="26"/>
      <c r="B71" s="508"/>
      <c r="C71" s="508"/>
      <c r="D71" s="508"/>
      <c r="E71" s="508"/>
      <c r="F71" s="26"/>
      <c r="G71" s="26"/>
      <c r="H71" s="26"/>
      <c r="I71" s="26"/>
      <c r="J71" s="26"/>
      <c r="K71" s="26"/>
      <c r="L71" s="26"/>
      <c r="M71" s="26"/>
      <c r="N71" s="26"/>
      <c r="O71" s="508"/>
      <c r="P71" s="508"/>
      <c r="Q71" s="321"/>
      <c r="R71" s="328"/>
      <c r="S71" s="26"/>
      <c r="T71" s="26"/>
      <c r="U71" s="26"/>
      <c r="V71" s="26"/>
      <c r="W71" s="26"/>
      <c r="X71" s="30"/>
      <c r="Y71" s="431"/>
      <c r="Z71" s="415"/>
      <c r="AA71" s="30"/>
      <c r="AB71" s="26"/>
      <c r="AC71" s="30"/>
      <c r="AD71" s="30"/>
      <c r="AE71" s="415"/>
      <c r="AF71" s="414"/>
      <c r="AG71" s="26"/>
      <c r="AH71" s="415"/>
      <c r="AI71" s="26"/>
      <c r="AJ71" s="26"/>
      <c r="AK71" s="26"/>
      <c r="AL71" s="26"/>
      <c r="AM71" s="26"/>
      <c r="AN71" s="26"/>
      <c r="AO71" s="26"/>
      <c r="AP71" s="26"/>
      <c r="AQ71" s="26"/>
      <c r="AR71" s="26"/>
      <c r="AS71" s="26"/>
      <c r="AT71" s="26"/>
    </row>
    <row r="72" spans="1:46">
      <c r="A72" s="26"/>
      <c r="B72" s="508"/>
      <c r="C72" s="508"/>
      <c r="D72" s="508"/>
      <c r="E72" s="508"/>
      <c r="F72" s="26"/>
      <c r="G72" s="26"/>
      <c r="H72" s="26"/>
      <c r="I72" s="26"/>
      <c r="J72" s="26"/>
      <c r="K72" s="26"/>
      <c r="L72" s="26"/>
      <c r="M72" s="26"/>
      <c r="N72" s="26"/>
      <c r="O72" s="508"/>
      <c r="P72" s="508"/>
      <c r="Q72" s="321"/>
      <c r="R72" s="328"/>
      <c r="S72" s="26"/>
      <c r="T72" s="26"/>
      <c r="U72" s="26"/>
      <c r="V72" s="26"/>
      <c r="W72" s="26"/>
      <c r="X72" s="26"/>
      <c r="Y72" s="26"/>
      <c r="Z72" s="26"/>
      <c r="AA72" s="26"/>
      <c r="AB72" s="26"/>
      <c r="AC72" s="30"/>
      <c r="AD72" s="26"/>
      <c r="AE72" s="26"/>
      <c r="AF72" s="414"/>
      <c r="AG72" s="26"/>
      <c r="AH72" s="415"/>
      <c r="AI72" s="26"/>
      <c r="AJ72" s="26"/>
      <c r="AK72" s="26"/>
      <c r="AL72" s="26"/>
      <c r="AM72" s="26"/>
      <c r="AN72" s="26"/>
      <c r="AO72" s="26"/>
      <c r="AP72" s="26"/>
      <c r="AQ72" s="26"/>
      <c r="AR72" s="26"/>
      <c r="AS72" s="26"/>
      <c r="AT72" s="26"/>
    </row>
    <row r="73" spans="1:46">
      <c r="A73" s="26"/>
      <c r="B73" s="508"/>
      <c r="C73" s="508"/>
      <c r="D73" s="508"/>
      <c r="E73" s="508"/>
      <c r="F73" s="26"/>
      <c r="G73" s="26"/>
      <c r="H73" s="26"/>
      <c r="I73" s="26"/>
      <c r="J73" s="26"/>
      <c r="K73" s="26"/>
      <c r="L73" s="26"/>
      <c r="M73" s="26"/>
      <c r="N73" s="26"/>
      <c r="O73" s="508"/>
      <c r="P73" s="508"/>
      <c r="Q73" s="321"/>
      <c r="R73" s="328"/>
      <c r="S73" s="26"/>
      <c r="T73" s="26"/>
      <c r="U73" s="26"/>
      <c r="V73" s="26"/>
      <c r="W73" s="26"/>
      <c r="X73" s="26"/>
      <c r="Y73" s="328"/>
      <c r="Z73" s="328"/>
      <c r="AA73" s="328"/>
      <c r="AB73" s="26"/>
      <c r="AC73" s="30"/>
      <c r="AD73" s="26"/>
      <c r="AE73" s="26"/>
      <c r="AF73" s="26"/>
      <c r="AG73" s="26"/>
      <c r="AH73" s="415"/>
      <c r="AI73" s="26"/>
      <c r="AJ73" s="26"/>
      <c r="AK73" s="26"/>
      <c r="AL73" s="26"/>
      <c r="AM73" s="26"/>
      <c r="AN73" s="26"/>
      <c r="AO73" s="26"/>
      <c r="AP73" s="26"/>
      <c r="AQ73" s="26"/>
      <c r="AR73" s="26"/>
      <c r="AS73" s="26"/>
      <c r="AT73" s="26"/>
    </row>
    <row r="74" spans="1:46">
      <c r="A74" s="26"/>
      <c r="B74" s="508"/>
      <c r="C74" s="508"/>
      <c r="D74" s="508"/>
      <c r="E74" s="508"/>
      <c r="F74" s="26"/>
      <c r="G74" s="26"/>
      <c r="H74" s="26"/>
      <c r="I74" s="26"/>
      <c r="J74" s="26"/>
      <c r="K74" s="26"/>
      <c r="L74" s="26"/>
      <c r="M74" s="26"/>
      <c r="N74" s="26"/>
      <c r="O74" s="508"/>
      <c r="P74" s="508"/>
      <c r="Q74" s="321"/>
      <c r="R74" s="328"/>
      <c r="S74" s="26"/>
      <c r="T74" s="26"/>
      <c r="U74" s="26"/>
      <c r="V74" s="26"/>
      <c r="W74" s="26"/>
      <c r="X74" s="30"/>
      <c r="Y74" s="431"/>
      <c r="Z74" s="415"/>
      <c r="AA74" s="30"/>
      <c r="AB74" s="26"/>
      <c r="AC74" s="30"/>
      <c r="AD74" s="30"/>
      <c r="AE74" s="415"/>
      <c r="AF74" s="26"/>
      <c r="AG74" s="26"/>
      <c r="AH74" s="415"/>
      <c r="AI74" s="26"/>
      <c r="AJ74" s="26"/>
      <c r="AK74" s="26"/>
      <c r="AL74" s="26"/>
      <c r="AM74" s="26"/>
      <c r="AN74" s="26"/>
      <c r="AO74" s="26"/>
      <c r="AP74" s="26"/>
      <c r="AQ74" s="26"/>
      <c r="AR74" s="26"/>
      <c r="AS74" s="26"/>
      <c r="AT74" s="26"/>
    </row>
    <row r="75" spans="1:46">
      <c r="A75" s="26"/>
      <c r="B75" s="508"/>
      <c r="C75" s="508"/>
      <c r="D75" s="508"/>
      <c r="E75" s="508"/>
      <c r="F75" s="26"/>
      <c r="G75" s="26"/>
      <c r="H75" s="26"/>
      <c r="I75" s="26"/>
      <c r="J75" s="26"/>
      <c r="K75" s="26"/>
      <c r="L75" s="26"/>
      <c r="M75" s="26"/>
      <c r="N75" s="26"/>
      <c r="O75" s="508"/>
      <c r="P75" s="508"/>
      <c r="Q75" s="321"/>
      <c r="R75" s="328"/>
      <c r="S75" s="26"/>
      <c r="T75" s="26"/>
      <c r="U75" s="26"/>
      <c r="V75" s="26"/>
      <c r="W75" s="26"/>
      <c r="X75" s="30"/>
      <c r="Y75" s="431"/>
      <c r="Z75" s="415"/>
      <c r="AA75" s="30"/>
      <c r="AB75" s="26"/>
      <c r="AC75" s="30"/>
      <c r="AD75" s="30"/>
      <c r="AE75" s="415"/>
      <c r="AF75" s="414"/>
      <c r="AG75" s="26"/>
      <c r="AH75" s="415"/>
      <c r="AI75" s="26"/>
      <c r="AJ75" s="26"/>
      <c r="AK75" s="26"/>
      <c r="AL75" s="26"/>
      <c r="AM75" s="26"/>
      <c r="AN75" s="26"/>
      <c r="AO75" s="26"/>
      <c r="AP75" s="26"/>
      <c r="AQ75" s="26"/>
      <c r="AR75" s="26"/>
      <c r="AS75" s="26"/>
      <c r="AT75" s="26"/>
    </row>
    <row r="76" spans="1:46">
      <c r="A76" s="26"/>
      <c r="B76" s="508"/>
      <c r="C76" s="508"/>
      <c r="D76" s="508"/>
      <c r="E76" s="508"/>
      <c r="F76" s="26"/>
      <c r="G76" s="26"/>
      <c r="H76" s="26"/>
      <c r="I76" s="26"/>
      <c r="J76" s="26"/>
      <c r="K76" s="26"/>
      <c r="L76" s="26"/>
      <c r="M76" s="26"/>
      <c r="N76" s="26"/>
      <c r="O76" s="508"/>
      <c r="P76" s="508"/>
      <c r="Q76" s="321"/>
      <c r="R76" s="328"/>
      <c r="S76" s="26"/>
      <c r="T76" s="26"/>
      <c r="U76" s="26"/>
      <c r="V76" s="26"/>
      <c r="W76" s="26"/>
      <c r="X76" s="30"/>
      <c r="Y76" s="431"/>
      <c r="Z76" s="415"/>
      <c r="AA76" s="30"/>
      <c r="AB76" s="26"/>
      <c r="AC76" s="30"/>
      <c r="AD76" s="30"/>
      <c r="AE76" s="415"/>
      <c r="AF76" s="414"/>
      <c r="AG76" s="26"/>
      <c r="AH76" s="415"/>
      <c r="AI76" s="26"/>
      <c r="AJ76" s="26"/>
      <c r="AK76" s="26"/>
      <c r="AL76" s="26"/>
      <c r="AM76" s="26"/>
      <c r="AN76" s="26"/>
      <c r="AO76" s="26"/>
      <c r="AP76" s="26"/>
      <c r="AQ76" s="26"/>
      <c r="AR76" s="26"/>
      <c r="AS76" s="26"/>
      <c r="AT76" s="26"/>
    </row>
    <row r="77" spans="1:46">
      <c r="A77" s="26"/>
      <c r="B77" s="508"/>
      <c r="C77" s="508"/>
      <c r="D77" s="508"/>
      <c r="E77" s="508"/>
      <c r="F77" s="26"/>
      <c r="G77" s="26"/>
      <c r="H77" s="26"/>
      <c r="I77" s="26"/>
      <c r="J77" s="26"/>
      <c r="K77" s="26"/>
      <c r="L77" s="26"/>
      <c r="M77" s="26"/>
      <c r="N77" s="26"/>
      <c r="O77" s="508"/>
      <c r="P77" s="508"/>
      <c r="Q77" s="321"/>
      <c r="R77" s="328"/>
      <c r="S77" s="26"/>
      <c r="T77" s="26"/>
      <c r="U77" s="26"/>
      <c r="V77" s="26"/>
      <c r="W77" s="26"/>
      <c r="X77" s="30"/>
      <c r="Y77" s="431"/>
      <c r="Z77" s="415"/>
      <c r="AA77" s="30"/>
      <c r="AB77" s="26"/>
      <c r="AC77" s="30"/>
      <c r="AD77" s="30"/>
      <c r="AE77" s="415"/>
      <c r="AF77" s="414"/>
      <c r="AG77" s="26"/>
      <c r="AH77" s="415"/>
      <c r="AI77" s="26"/>
      <c r="AJ77" s="26"/>
      <c r="AK77" s="26"/>
      <c r="AL77" s="26"/>
      <c r="AM77" s="26"/>
      <c r="AN77" s="26"/>
      <c r="AO77" s="26"/>
      <c r="AP77" s="26"/>
      <c r="AQ77" s="26"/>
      <c r="AR77" s="26"/>
      <c r="AS77" s="26"/>
      <c r="AT77" s="26"/>
    </row>
    <row r="78" spans="1:46">
      <c r="A78" s="26"/>
      <c r="B78" s="508"/>
      <c r="C78" s="508"/>
      <c r="D78" s="508"/>
      <c r="E78" s="508"/>
      <c r="F78" s="26"/>
      <c r="G78" s="26"/>
      <c r="H78" s="26"/>
      <c r="I78" s="26"/>
      <c r="J78" s="26"/>
      <c r="K78" s="26"/>
      <c r="L78" s="26"/>
      <c r="M78" s="26"/>
      <c r="N78" s="26"/>
      <c r="O78" s="508"/>
      <c r="P78" s="508"/>
      <c r="Q78" s="321"/>
      <c r="R78" s="328"/>
      <c r="S78" s="26"/>
      <c r="T78" s="26"/>
      <c r="U78" s="26"/>
      <c r="V78" s="26"/>
      <c r="W78" s="26"/>
      <c r="X78" s="26"/>
      <c r="Y78" s="26"/>
      <c r="Z78" s="26"/>
      <c r="AA78" s="26"/>
      <c r="AB78" s="26"/>
      <c r="AC78" s="30"/>
      <c r="AD78" s="26"/>
      <c r="AE78" s="26"/>
      <c r="AF78" s="414"/>
      <c r="AG78" s="26"/>
      <c r="AH78" s="415"/>
      <c r="AI78" s="26"/>
      <c r="AJ78" s="26"/>
      <c r="AK78" s="26"/>
      <c r="AL78" s="26"/>
      <c r="AM78" s="26"/>
      <c r="AN78" s="26"/>
      <c r="AO78" s="26"/>
      <c r="AP78" s="26"/>
      <c r="AQ78" s="26"/>
      <c r="AR78" s="26"/>
      <c r="AS78" s="26"/>
      <c r="AT78" s="26"/>
    </row>
    <row r="79" spans="1:46">
      <c r="A79" s="26"/>
      <c r="B79" s="508"/>
      <c r="C79" s="508"/>
      <c r="D79" s="508"/>
      <c r="E79" s="508"/>
      <c r="F79" s="26"/>
      <c r="G79" s="26"/>
      <c r="H79" s="26"/>
      <c r="I79" s="26"/>
      <c r="J79" s="26"/>
      <c r="K79" s="26"/>
      <c r="L79" s="26"/>
      <c r="M79" s="26"/>
      <c r="N79" s="26"/>
      <c r="O79" s="508"/>
      <c r="P79" s="508"/>
      <c r="Q79" s="321"/>
      <c r="R79" s="328"/>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row>
    <row r="80" spans="1:46">
      <c r="A80" s="26"/>
      <c r="B80" s="508"/>
      <c r="C80" s="508"/>
      <c r="D80" s="508"/>
      <c r="E80" s="508"/>
      <c r="F80" s="26"/>
      <c r="G80" s="26"/>
      <c r="H80" s="26"/>
      <c r="I80" s="26"/>
      <c r="J80" s="26"/>
      <c r="K80" s="26"/>
      <c r="L80" s="26"/>
      <c r="M80" s="26"/>
      <c r="N80" s="26"/>
      <c r="O80" s="508"/>
      <c r="P80" s="508"/>
      <c r="Q80" s="321"/>
      <c r="R80" s="328"/>
      <c r="S80" s="26"/>
      <c r="T80" s="26"/>
      <c r="U80" s="26"/>
      <c r="V80" s="26"/>
      <c r="W80" s="26"/>
      <c r="X80" s="30"/>
      <c r="Y80" s="431"/>
      <c r="Z80" s="415"/>
      <c r="AA80" s="30"/>
      <c r="AB80" s="26"/>
      <c r="AC80" s="26"/>
      <c r="AD80" s="30"/>
      <c r="AE80" s="415"/>
      <c r="AF80" s="26"/>
      <c r="AG80" s="26"/>
      <c r="AH80" s="26"/>
      <c r="AI80" s="26"/>
      <c r="AJ80" s="26"/>
      <c r="AK80" s="26"/>
      <c r="AL80" s="26"/>
      <c r="AM80" s="26"/>
      <c r="AN80" s="26"/>
      <c r="AO80" s="26"/>
      <c r="AP80" s="26"/>
      <c r="AQ80" s="26"/>
      <c r="AR80" s="26"/>
      <c r="AS80" s="26"/>
      <c r="AT80" s="26"/>
    </row>
    <row r="81" spans="1:46">
      <c r="A81" s="26"/>
      <c r="B81" s="508"/>
      <c r="C81" s="508"/>
      <c r="D81" s="508"/>
      <c r="E81" s="508"/>
      <c r="F81" s="26"/>
      <c r="G81" s="26"/>
      <c r="H81" s="26"/>
      <c r="I81" s="26"/>
      <c r="J81" s="26"/>
      <c r="K81" s="26"/>
      <c r="L81" s="26"/>
      <c r="M81" s="26"/>
      <c r="N81" s="26"/>
      <c r="O81" s="508"/>
      <c r="P81" s="508"/>
      <c r="Q81" s="321"/>
      <c r="R81" s="328"/>
      <c r="S81" s="26"/>
      <c r="T81" s="26"/>
      <c r="U81" s="26"/>
      <c r="V81" s="26"/>
      <c r="W81" s="26"/>
      <c r="X81" s="30"/>
      <c r="Y81" s="431"/>
      <c r="Z81" s="415"/>
      <c r="AA81" s="30"/>
      <c r="AB81" s="26"/>
      <c r="AC81" s="26"/>
      <c r="AD81" s="30"/>
      <c r="AE81" s="415"/>
      <c r="AF81" s="414"/>
      <c r="AG81" s="26"/>
      <c r="AH81" s="26"/>
      <c r="AI81" s="26"/>
      <c r="AJ81" s="26"/>
      <c r="AK81" s="26"/>
      <c r="AL81" s="26"/>
      <c r="AM81" s="26"/>
      <c r="AN81" s="26"/>
      <c r="AO81" s="26"/>
      <c r="AP81" s="26"/>
      <c r="AQ81" s="26"/>
      <c r="AR81" s="26"/>
      <c r="AS81" s="26"/>
      <c r="AT81" s="26"/>
    </row>
    <row r="82" spans="1:46">
      <c r="A82" s="26"/>
      <c r="B82" s="508"/>
      <c r="C82" s="508"/>
      <c r="D82" s="508"/>
      <c r="E82" s="508"/>
      <c r="F82" s="26"/>
      <c r="G82" s="26"/>
      <c r="H82" s="26"/>
      <c r="I82" s="26"/>
      <c r="J82" s="26"/>
      <c r="K82" s="26"/>
      <c r="L82" s="26"/>
      <c r="M82" s="26"/>
      <c r="N82" s="26"/>
      <c r="O82" s="508"/>
      <c r="P82" s="508"/>
      <c r="Q82" s="321"/>
      <c r="R82" s="328"/>
      <c r="S82" s="26"/>
      <c r="T82" s="26"/>
      <c r="U82" s="26"/>
      <c r="V82" s="26"/>
      <c r="W82" s="26"/>
      <c r="X82" s="30"/>
      <c r="Y82" s="431"/>
      <c r="Z82" s="415"/>
      <c r="AA82" s="30"/>
      <c r="AB82" s="26"/>
      <c r="AC82" s="26"/>
      <c r="AD82" s="30"/>
      <c r="AE82" s="415"/>
      <c r="AF82" s="414"/>
      <c r="AG82" s="26"/>
      <c r="AH82" s="26"/>
      <c r="AI82" s="26"/>
      <c r="AJ82" s="26"/>
      <c r="AK82" s="26"/>
      <c r="AL82" s="26"/>
      <c r="AM82" s="26"/>
      <c r="AN82" s="26"/>
      <c r="AO82" s="26"/>
      <c r="AP82" s="26"/>
      <c r="AQ82" s="26"/>
      <c r="AR82" s="26"/>
      <c r="AS82" s="26"/>
      <c r="AT82" s="26"/>
    </row>
    <row r="83" spans="1:46">
      <c r="A83" s="26"/>
      <c r="B83" s="508"/>
      <c r="C83" s="508"/>
      <c r="D83" s="508"/>
      <c r="E83" s="508"/>
      <c r="F83" s="26"/>
      <c r="G83" s="26"/>
      <c r="H83" s="26"/>
      <c r="I83" s="26"/>
      <c r="J83" s="26"/>
      <c r="K83" s="26"/>
      <c r="L83" s="26"/>
      <c r="M83" s="26"/>
      <c r="N83" s="26"/>
      <c r="O83" s="508"/>
      <c r="P83" s="508"/>
      <c r="Q83" s="321"/>
      <c r="R83" s="328"/>
      <c r="S83" s="26"/>
      <c r="T83" s="26"/>
      <c r="U83" s="26"/>
      <c r="V83" s="26"/>
      <c r="W83" s="26"/>
      <c r="X83" s="30"/>
      <c r="Y83" s="431"/>
      <c r="Z83" s="415"/>
      <c r="AA83" s="30"/>
      <c r="AB83" s="26"/>
      <c r="AC83" s="26"/>
      <c r="AD83" s="30"/>
      <c r="AE83" s="415"/>
      <c r="AF83" s="414"/>
      <c r="AG83" s="26"/>
      <c r="AH83" s="26"/>
      <c r="AI83" s="26"/>
      <c r="AJ83" s="26"/>
      <c r="AK83" s="26"/>
      <c r="AL83" s="26"/>
      <c r="AM83" s="26"/>
      <c r="AN83" s="26"/>
      <c r="AO83" s="26"/>
      <c r="AP83" s="26"/>
      <c r="AQ83" s="26"/>
      <c r="AR83" s="26"/>
      <c r="AS83" s="26"/>
      <c r="AT83" s="26"/>
    </row>
    <row r="84" spans="1:46">
      <c r="A84" s="26"/>
      <c r="B84" s="508"/>
      <c r="C84" s="508"/>
      <c r="D84" s="508"/>
      <c r="E84" s="508"/>
      <c r="F84" s="26"/>
      <c r="G84" s="26"/>
      <c r="H84" s="26"/>
      <c r="I84" s="26"/>
      <c r="J84" s="26"/>
      <c r="K84" s="26"/>
      <c r="L84" s="26"/>
      <c r="M84" s="26"/>
      <c r="N84" s="26"/>
      <c r="O84" s="508"/>
      <c r="P84" s="508"/>
      <c r="Q84" s="321"/>
      <c r="R84" s="328"/>
      <c r="S84" s="26"/>
      <c r="T84" s="26"/>
      <c r="U84" s="26"/>
      <c r="V84" s="26"/>
      <c r="W84" s="26"/>
      <c r="X84" s="26"/>
      <c r="Y84" s="26"/>
      <c r="Z84" s="26"/>
      <c r="AA84" s="26"/>
      <c r="AB84" s="26"/>
      <c r="AC84" s="26"/>
      <c r="AD84" s="26"/>
      <c r="AE84" s="26"/>
      <c r="AF84" s="414"/>
      <c r="AG84" s="26"/>
      <c r="AH84" s="26"/>
      <c r="AI84" s="26"/>
      <c r="AJ84" s="26"/>
      <c r="AK84" s="26"/>
      <c r="AL84" s="26"/>
      <c r="AM84" s="26"/>
      <c r="AN84" s="26"/>
      <c r="AO84" s="26"/>
      <c r="AP84" s="26"/>
      <c r="AQ84" s="26"/>
      <c r="AR84" s="26"/>
      <c r="AS84" s="26"/>
      <c r="AT84" s="26"/>
    </row>
    <row r="85" spans="1:46">
      <c r="A85" s="26"/>
      <c r="B85" s="508"/>
      <c r="C85" s="508"/>
      <c r="D85" s="508"/>
      <c r="E85" s="508"/>
      <c r="F85" s="26"/>
      <c r="G85" s="26"/>
      <c r="H85" s="26"/>
      <c r="I85" s="26"/>
      <c r="J85" s="26"/>
      <c r="K85" s="26"/>
      <c r="L85" s="26"/>
      <c r="M85" s="26"/>
      <c r="N85" s="26"/>
      <c r="O85" s="508"/>
      <c r="P85" s="508"/>
      <c r="Q85" s="321"/>
      <c r="R85" s="328"/>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row>
    <row r="86" spans="1:46">
      <c r="A86" s="26"/>
      <c r="B86" s="508"/>
      <c r="C86" s="508"/>
      <c r="D86" s="508"/>
      <c r="E86" s="508"/>
      <c r="F86" s="26"/>
      <c r="G86" s="26"/>
      <c r="H86" s="26"/>
      <c r="I86" s="26"/>
      <c r="J86" s="26"/>
      <c r="K86" s="26"/>
      <c r="L86" s="26"/>
      <c r="M86" s="26"/>
      <c r="N86" s="26"/>
      <c r="O86" s="508"/>
      <c r="P86" s="508"/>
      <c r="Q86" s="321"/>
      <c r="R86" s="328"/>
      <c r="S86" s="26"/>
      <c r="T86" s="26"/>
      <c r="U86" s="26"/>
      <c r="V86" s="26"/>
      <c r="W86" s="26"/>
      <c r="X86" s="30"/>
      <c r="Y86" s="431"/>
      <c r="Z86" s="415"/>
      <c r="AA86" s="30"/>
      <c r="AB86" s="26"/>
      <c r="AC86" s="26"/>
      <c r="AD86" s="30"/>
      <c r="AE86" s="415"/>
      <c r="AF86" s="26"/>
      <c r="AG86" s="26"/>
      <c r="AH86" s="26"/>
      <c r="AI86" s="26"/>
      <c r="AJ86" s="26"/>
      <c r="AK86" s="26"/>
      <c r="AL86" s="26"/>
      <c r="AM86" s="26"/>
      <c r="AN86" s="26"/>
      <c r="AO86" s="26"/>
      <c r="AP86" s="26"/>
      <c r="AQ86" s="26"/>
      <c r="AR86" s="26"/>
      <c r="AS86" s="26"/>
      <c r="AT86" s="26"/>
    </row>
    <row r="87" spans="1:46">
      <c r="A87" s="26"/>
      <c r="B87" s="508"/>
      <c r="C87" s="508"/>
      <c r="D87" s="508"/>
      <c r="E87" s="508"/>
      <c r="F87" s="26"/>
      <c r="G87" s="26"/>
      <c r="H87" s="26"/>
      <c r="I87" s="26"/>
      <c r="J87" s="26"/>
      <c r="K87" s="26"/>
      <c r="L87" s="26"/>
      <c r="M87" s="26"/>
      <c r="N87" s="26"/>
      <c r="O87" s="508"/>
      <c r="P87" s="508"/>
      <c r="Q87" s="321"/>
      <c r="R87" s="328"/>
      <c r="S87" s="26"/>
      <c r="T87" s="26"/>
      <c r="U87" s="26"/>
      <c r="V87" s="26"/>
      <c r="W87" s="26"/>
      <c r="X87" s="30"/>
      <c r="Y87" s="431"/>
      <c r="Z87" s="415"/>
      <c r="AA87" s="30"/>
      <c r="AB87" s="26"/>
      <c r="AC87" s="26"/>
      <c r="AD87" s="30"/>
      <c r="AE87" s="415"/>
      <c r="AF87" s="414"/>
      <c r="AG87" s="26"/>
      <c r="AH87" s="26"/>
      <c r="AI87" s="26"/>
      <c r="AJ87" s="26"/>
      <c r="AK87" s="26"/>
      <c r="AL87" s="26"/>
      <c r="AM87" s="26"/>
      <c r="AN87" s="26"/>
      <c r="AO87" s="26"/>
      <c r="AP87" s="26"/>
      <c r="AQ87" s="26"/>
      <c r="AR87" s="26"/>
      <c r="AS87" s="26"/>
      <c r="AT87" s="26"/>
    </row>
    <row r="88" spans="1:46">
      <c r="A88" s="26"/>
      <c r="B88" s="508"/>
      <c r="C88" s="508"/>
      <c r="D88" s="508"/>
      <c r="E88" s="508"/>
      <c r="F88" s="26"/>
      <c r="G88" s="26"/>
      <c r="H88" s="26"/>
      <c r="I88" s="26"/>
      <c r="J88" s="26"/>
      <c r="K88" s="26"/>
      <c r="L88" s="26"/>
      <c r="M88" s="26"/>
      <c r="N88" s="26"/>
      <c r="O88" s="508"/>
      <c r="P88" s="508"/>
      <c r="Q88" s="321"/>
      <c r="R88" s="328"/>
      <c r="S88" s="26"/>
      <c r="T88" s="26"/>
      <c r="U88" s="26"/>
      <c r="V88" s="26"/>
      <c r="W88" s="26"/>
      <c r="X88" s="30"/>
      <c r="Y88" s="431"/>
      <c r="Z88" s="415"/>
      <c r="AA88" s="30"/>
      <c r="AB88" s="26"/>
      <c r="AC88" s="26"/>
      <c r="AD88" s="30"/>
      <c r="AE88" s="415"/>
      <c r="AF88" s="414"/>
      <c r="AG88" s="26"/>
      <c r="AH88" s="26"/>
      <c r="AI88" s="26"/>
      <c r="AJ88" s="26"/>
      <c r="AK88" s="26"/>
      <c r="AL88" s="26"/>
      <c r="AM88" s="26"/>
      <c r="AN88" s="26"/>
      <c r="AO88" s="26"/>
      <c r="AP88" s="26"/>
      <c r="AQ88" s="26"/>
      <c r="AR88" s="26"/>
      <c r="AS88" s="26"/>
      <c r="AT88" s="26"/>
    </row>
    <row r="89" spans="1:46">
      <c r="A89" s="26"/>
      <c r="B89" s="508"/>
      <c r="C89" s="508"/>
      <c r="D89" s="508"/>
      <c r="E89" s="508"/>
      <c r="F89" s="26"/>
      <c r="G89" s="26"/>
      <c r="H89" s="26"/>
      <c r="I89" s="26"/>
      <c r="J89" s="26"/>
      <c r="K89" s="26"/>
      <c r="L89" s="26"/>
      <c r="M89" s="26"/>
      <c r="N89" s="26"/>
      <c r="O89" s="508"/>
      <c r="P89" s="508"/>
      <c r="Q89" s="321"/>
      <c r="R89" s="328"/>
      <c r="S89" s="26"/>
      <c r="T89" s="26"/>
      <c r="U89" s="26"/>
      <c r="V89" s="26"/>
      <c r="W89" s="26"/>
      <c r="X89" s="30"/>
      <c r="Y89" s="431"/>
      <c r="Z89" s="415"/>
      <c r="AA89" s="30"/>
      <c r="AB89" s="26"/>
      <c r="AC89" s="26"/>
      <c r="AD89" s="30"/>
      <c r="AE89" s="415"/>
      <c r="AF89" s="414"/>
      <c r="AG89" s="26"/>
      <c r="AH89" s="26"/>
      <c r="AI89" s="26"/>
      <c r="AJ89" s="26"/>
      <c r="AK89" s="26"/>
      <c r="AL89" s="26"/>
      <c r="AM89" s="26"/>
      <c r="AN89" s="26"/>
      <c r="AO89" s="26"/>
      <c r="AP89" s="26"/>
      <c r="AQ89" s="26"/>
      <c r="AR89" s="26"/>
      <c r="AS89" s="26"/>
      <c r="AT89" s="26"/>
    </row>
    <row r="90" spans="1:46">
      <c r="A90" s="26"/>
      <c r="B90" s="508"/>
      <c r="C90" s="508"/>
      <c r="D90" s="508"/>
      <c r="E90" s="508"/>
      <c r="F90" s="26"/>
      <c r="G90" s="26"/>
      <c r="H90" s="26"/>
      <c r="I90" s="26"/>
      <c r="J90" s="26"/>
      <c r="K90" s="26"/>
      <c r="L90" s="26"/>
      <c r="M90" s="26"/>
      <c r="N90" s="26"/>
      <c r="O90" s="508"/>
      <c r="P90" s="508"/>
      <c r="Q90" s="321"/>
      <c r="R90" s="328"/>
      <c r="S90" s="26"/>
      <c r="T90" s="26"/>
      <c r="U90" s="26"/>
      <c r="V90" s="26"/>
      <c r="W90" s="26"/>
      <c r="X90" s="26"/>
      <c r="Y90" s="26"/>
      <c r="Z90" s="26"/>
      <c r="AA90" s="26"/>
      <c r="AB90" s="26"/>
      <c r="AC90" s="26"/>
      <c r="AD90" s="26"/>
      <c r="AE90" s="26"/>
      <c r="AF90" s="414"/>
      <c r="AG90" s="26"/>
      <c r="AH90" s="26"/>
      <c r="AI90" s="26"/>
      <c r="AJ90" s="26"/>
      <c r="AK90" s="26"/>
      <c r="AL90" s="26"/>
      <c r="AM90" s="26"/>
      <c r="AN90" s="26"/>
      <c r="AO90" s="26"/>
      <c r="AP90" s="26"/>
      <c r="AQ90" s="26"/>
      <c r="AR90" s="26"/>
      <c r="AS90" s="26"/>
      <c r="AT90" s="26"/>
    </row>
    <row r="91" spans="1:46">
      <c r="A91" s="26"/>
      <c r="B91" s="508"/>
      <c r="C91" s="508"/>
      <c r="D91" s="508"/>
      <c r="E91" s="508"/>
      <c r="F91" s="26"/>
      <c r="G91" s="26"/>
      <c r="H91" s="26"/>
      <c r="I91" s="26"/>
      <c r="J91" s="26"/>
      <c r="K91" s="26"/>
      <c r="L91" s="26"/>
      <c r="M91" s="26"/>
      <c r="N91" s="26"/>
      <c r="O91" s="508"/>
      <c r="P91" s="508"/>
      <c r="Q91" s="321"/>
      <c r="R91" s="328"/>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row>
    <row r="92" spans="1:46">
      <c r="A92" s="26"/>
      <c r="B92" s="508"/>
      <c r="C92" s="508"/>
      <c r="D92" s="508"/>
      <c r="E92" s="508"/>
      <c r="F92" s="26"/>
      <c r="G92" s="26"/>
      <c r="H92" s="26"/>
      <c r="I92" s="26"/>
      <c r="J92" s="26"/>
      <c r="K92" s="26"/>
      <c r="L92" s="26"/>
      <c r="M92" s="26"/>
      <c r="N92" s="26"/>
      <c r="O92" s="508"/>
      <c r="P92" s="508"/>
      <c r="Q92" s="321"/>
      <c r="R92" s="328"/>
      <c r="S92" s="26"/>
      <c r="T92" s="26"/>
      <c r="U92" s="26"/>
      <c r="V92" s="26"/>
      <c r="W92" s="26"/>
      <c r="X92" s="30"/>
      <c r="Y92" s="431"/>
      <c r="Z92" s="415"/>
      <c r="AA92" s="30"/>
      <c r="AB92" s="26"/>
      <c r="AC92" s="26"/>
      <c r="AD92" s="30"/>
      <c r="AE92" s="415"/>
      <c r="AF92" s="26"/>
      <c r="AG92" s="26"/>
      <c r="AH92" s="26"/>
      <c r="AI92" s="26"/>
      <c r="AJ92" s="26"/>
      <c r="AK92" s="26"/>
      <c r="AL92" s="26"/>
      <c r="AM92" s="26"/>
      <c r="AN92" s="26"/>
      <c r="AO92" s="26"/>
      <c r="AP92" s="26"/>
      <c r="AQ92" s="26"/>
      <c r="AR92" s="26"/>
      <c r="AS92" s="26"/>
      <c r="AT92" s="26"/>
    </row>
    <row r="93" spans="1:46">
      <c r="A93" s="26"/>
      <c r="B93" s="508"/>
      <c r="C93" s="508"/>
      <c r="D93" s="508"/>
      <c r="E93" s="508"/>
      <c r="F93" s="26"/>
      <c r="G93" s="26"/>
      <c r="H93" s="26"/>
      <c r="I93" s="26"/>
      <c r="J93" s="26"/>
      <c r="K93" s="26"/>
      <c r="L93" s="26"/>
      <c r="M93" s="26"/>
      <c r="N93" s="26"/>
      <c r="O93" s="508"/>
      <c r="P93" s="508"/>
      <c r="Q93" s="321"/>
      <c r="R93" s="328"/>
      <c r="S93" s="26"/>
      <c r="T93" s="26"/>
      <c r="U93" s="26"/>
      <c r="V93" s="26"/>
      <c r="W93" s="26"/>
      <c r="X93" s="30"/>
      <c r="Y93" s="431"/>
      <c r="Z93" s="415"/>
      <c r="AA93" s="30"/>
      <c r="AB93" s="26"/>
      <c r="AC93" s="26"/>
      <c r="AD93" s="30"/>
      <c r="AE93" s="415"/>
      <c r="AF93" s="414"/>
      <c r="AG93" s="26"/>
      <c r="AH93" s="26"/>
      <c r="AI93" s="26"/>
      <c r="AJ93" s="26"/>
      <c r="AK93" s="26"/>
      <c r="AL93" s="26"/>
      <c r="AM93" s="26"/>
      <c r="AN93" s="26"/>
      <c r="AO93" s="26"/>
      <c r="AP93" s="26"/>
      <c r="AQ93" s="26"/>
      <c r="AR93" s="26"/>
      <c r="AS93" s="26"/>
      <c r="AT93" s="26"/>
    </row>
    <row r="94" spans="1:46">
      <c r="A94" s="26"/>
      <c r="B94" s="508"/>
      <c r="C94" s="508"/>
      <c r="D94" s="508"/>
      <c r="E94" s="508"/>
      <c r="F94" s="26"/>
      <c r="G94" s="26"/>
      <c r="H94" s="26"/>
      <c r="I94" s="26"/>
      <c r="J94" s="26"/>
      <c r="K94" s="26"/>
      <c r="L94" s="26"/>
      <c r="M94" s="26"/>
      <c r="N94" s="26"/>
      <c r="O94" s="508"/>
      <c r="P94" s="508"/>
      <c r="Q94" s="321"/>
      <c r="R94" s="328"/>
      <c r="S94" s="26"/>
      <c r="T94" s="26"/>
      <c r="U94" s="26"/>
      <c r="V94" s="26"/>
      <c r="W94" s="26"/>
      <c r="X94" s="30"/>
      <c r="Y94" s="431"/>
      <c r="Z94" s="415"/>
      <c r="AA94" s="30"/>
      <c r="AB94" s="26"/>
      <c r="AC94" s="26"/>
      <c r="AD94" s="30"/>
      <c r="AE94" s="415"/>
      <c r="AF94" s="414"/>
      <c r="AG94" s="26"/>
      <c r="AH94" s="26"/>
      <c r="AI94" s="26"/>
      <c r="AJ94" s="26"/>
      <c r="AK94" s="26"/>
      <c r="AL94" s="26"/>
      <c r="AM94" s="26"/>
      <c r="AN94" s="26"/>
      <c r="AO94" s="26"/>
      <c r="AP94" s="26"/>
      <c r="AQ94" s="26"/>
      <c r="AR94" s="26"/>
      <c r="AS94" s="26"/>
      <c r="AT94" s="26"/>
    </row>
    <row r="95" spans="1:46">
      <c r="A95" s="26"/>
      <c r="B95" s="508"/>
      <c r="C95" s="508"/>
      <c r="D95" s="508"/>
      <c r="E95" s="508"/>
      <c r="F95" s="26"/>
      <c r="G95" s="26"/>
      <c r="H95" s="26"/>
      <c r="I95" s="26"/>
      <c r="J95" s="26"/>
      <c r="K95" s="26"/>
      <c r="L95" s="26"/>
      <c r="M95" s="26"/>
      <c r="N95" s="26"/>
      <c r="O95" s="508"/>
      <c r="P95" s="508"/>
      <c r="Q95" s="321"/>
      <c r="R95" s="328"/>
      <c r="S95" s="26"/>
      <c r="T95" s="26"/>
      <c r="U95" s="26"/>
      <c r="V95" s="26"/>
      <c r="W95" s="26"/>
      <c r="X95" s="30"/>
      <c r="Y95" s="431"/>
      <c r="Z95" s="415"/>
      <c r="AA95" s="30"/>
      <c r="AB95" s="26"/>
      <c r="AC95" s="26"/>
      <c r="AD95" s="30"/>
      <c r="AE95" s="415"/>
      <c r="AF95" s="414"/>
      <c r="AG95" s="26"/>
      <c r="AH95" s="26"/>
      <c r="AI95" s="26"/>
      <c r="AJ95" s="26"/>
      <c r="AK95" s="26"/>
      <c r="AL95" s="26"/>
      <c r="AM95" s="26"/>
      <c r="AN95" s="26"/>
      <c r="AO95" s="26"/>
      <c r="AP95" s="26"/>
      <c r="AQ95" s="26"/>
      <c r="AR95" s="26"/>
      <c r="AS95" s="26"/>
      <c r="AT95" s="26"/>
    </row>
    <row r="96" spans="1:46">
      <c r="A96" s="26"/>
      <c r="B96" s="508"/>
      <c r="C96" s="508"/>
      <c r="D96" s="508"/>
      <c r="E96" s="508"/>
      <c r="F96" s="26"/>
      <c r="G96" s="26"/>
      <c r="H96" s="26"/>
      <c r="I96" s="26"/>
      <c r="J96" s="26"/>
      <c r="K96" s="26"/>
      <c r="L96" s="26"/>
      <c r="M96" s="26"/>
      <c r="N96" s="26"/>
      <c r="O96" s="508"/>
      <c r="P96" s="508"/>
      <c r="Q96" s="321"/>
      <c r="R96" s="328"/>
      <c r="S96" s="26"/>
      <c r="T96" s="26"/>
      <c r="U96" s="26"/>
      <c r="V96" s="26"/>
      <c r="W96" s="26"/>
      <c r="X96" s="26"/>
      <c r="Y96" s="26"/>
      <c r="Z96" s="26"/>
      <c r="AA96" s="26"/>
      <c r="AB96" s="26"/>
      <c r="AC96" s="26"/>
      <c r="AD96" s="26"/>
      <c r="AE96" s="26"/>
      <c r="AF96" s="414"/>
      <c r="AG96" s="26"/>
      <c r="AH96" s="26"/>
      <c r="AI96" s="26"/>
      <c r="AJ96" s="26"/>
      <c r="AK96" s="26"/>
      <c r="AL96" s="26"/>
      <c r="AM96" s="26"/>
      <c r="AN96" s="26"/>
      <c r="AO96" s="26"/>
      <c r="AP96" s="26"/>
      <c r="AQ96" s="26"/>
      <c r="AR96" s="26"/>
      <c r="AS96" s="26"/>
      <c r="AT96" s="26"/>
    </row>
    <row r="97" spans="1:46">
      <c r="A97" s="26"/>
      <c r="B97" s="508"/>
      <c r="C97" s="508"/>
      <c r="D97" s="508"/>
      <c r="E97" s="508"/>
      <c r="F97" s="26"/>
      <c r="G97" s="26"/>
      <c r="H97" s="26"/>
      <c r="I97" s="26"/>
      <c r="J97" s="26"/>
      <c r="K97" s="26"/>
      <c r="L97" s="26"/>
      <c r="M97" s="26"/>
      <c r="N97" s="26"/>
      <c r="O97" s="508"/>
      <c r="P97" s="508"/>
      <c r="Q97" s="321"/>
      <c r="R97" s="328"/>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row>
    <row r="98" spans="1:46">
      <c r="A98" s="26"/>
      <c r="B98" s="508"/>
      <c r="C98" s="508"/>
      <c r="D98" s="508"/>
      <c r="E98" s="508"/>
      <c r="F98" s="26"/>
      <c r="G98" s="26"/>
      <c r="H98" s="26"/>
      <c r="I98" s="26"/>
      <c r="J98" s="26"/>
      <c r="K98" s="26"/>
      <c r="L98" s="26"/>
      <c r="M98" s="26"/>
      <c r="N98" s="26"/>
      <c r="O98" s="508"/>
      <c r="P98" s="508"/>
      <c r="Q98" s="321"/>
      <c r="R98" s="328"/>
      <c r="S98" s="26"/>
      <c r="T98" s="26"/>
      <c r="U98" s="26"/>
      <c r="V98" s="26"/>
      <c r="W98" s="26"/>
      <c r="X98" s="30"/>
      <c r="Y98" s="431"/>
      <c r="Z98" s="415"/>
      <c r="AA98" s="30"/>
      <c r="AB98" s="26"/>
      <c r="AC98" s="26"/>
      <c r="AD98" s="30"/>
      <c r="AE98" s="415"/>
      <c r="AF98" s="26"/>
      <c r="AG98" s="26"/>
      <c r="AH98" s="26"/>
      <c r="AI98" s="26"/>
      <c r="AJ98" s="26"/>
      <c r="AK98" s="26"/>
      <c r="AL98" s="26"/>
      <c r="AM98" s="26"/>
      <c r="AN98" s="26"/>
      <c r="AO98" s="26"/>
      <c r="AP98" s="26"/>
      <c r="AQ98" s="26"/>
      <c r="AR98" s="26"/>
      <c r="AS98" s="26"/>
      <c r="AT98" s="26"/>
    </row>
    <row r="99" spans="1:46">
      <c r="A99" s="26"/>
      <c r="B99" s="508"/>
      <c r="C99" s="508"/>
      <c r="D99" s="508"/>
      <c r="E99" s="508"/>
      <c r="F99" s="26"/>
      <c r="G99" s="26"/>
      <c r="H99" s="26"/>
      <c r="I99" s="26"/>
      <c r="J99" s="26"/>
      <c r="K99" s="26"/>
      <c r="L99" s="26"/>
      <c r="M99" s="26"/>
      <c r="N99" s="26"/>
      <c r="O99" s="508"/>
      <c r="P99" s="508"/>
      <c r="Q99" s="321"/>
      <c r="R99" s="328"/>
      <c r="S99" s="26"/>
      <c r="T99" s="26"/>
      <c r="U99" s="26"/>
      <c r="V99" s="26"/>
      <c r="W99" s="26"/>
      <c r="X99" s="30"/>
      <c r="Y99" s="431"/>
      <c r="Z99" s="415"/>
      <c r="AA99" s="30"/>
      <c r="AB99" s="26"/>
      <c r="AC99" s="26"/>
      <c r="AD99" s="30"/>
      <c r="AE99" s="415"/>
      <c r="AF99" s="414"/>
      <c r="AG99" s="26"/>
      <c r="AH99" s="26"/>
      <c r="AI99" s="26"/>
      <c r="AJ99" s="26"/>
      <c r="AK99" s="26"/>
      <c r="AL99" s="26"/>
      <c r="AM99" s="26"/>
      <c r="AN99" s="26"/>
      <c r="AO99" s="26"/>
      <c r="AP99" s="26"/>
      <c r="AQ99" s="26"/>
      <c r="AR99" s="26"/>
      <c r="AS99" s="26"/>
      <c r="AT99" s="26"/>
    </row>
    <row r="100" spans="1:46">
      <c r="A100" s="26"/>
      <c r="B100" s="508"/>
      <c r="C100" s="508"/>
      <c r="D100" s="508"/>
      <c r="E100" s="508"/>
      <c r="F100" s="26"/>
      <c r="G100" s="26"/>
      <c r="H100" s="26"/>
      <c r="I100" s="26"/>
      <c r="J100" s="26"/>
      <c r="K100" s="26"/>
      <c r="L100" s="26"/>
      <c r="M100" s="26"/>
      <c r="N100" s="26"/>
      <c r="O100" s="508"/>
      <c r="P100" s="508"/>
      <c r="Q100" s="321"/>
      <c r="R100" s="328"/>
      <c r="S100" s="26"/>
      <c r="T100" s="26"/>
      <c r="U100" s="26"/>
      <c r="V100" s="26"/>
      <c r="W100" s="26"/>
      <c r="X100" s="30"/>
      <c r="Y100" s="431"/>
      <c r="Z100" s="415"/>
      <c r="AA100" s="30"/>
      <c r="AB100" s="26"/>
      <c r="AC100" s="26"/>
      <c r="AD100" s="30"/>
      <c r="AE100" s="415"/>
      <c r="AF100" s="414"/>
      <c r="AG100" s="26"/>
      <c r="AH100" s="26"/>
      <c r="AI100" s="26"/>
      <c r="AJ100" s="26"/>
      <c r="AK100" s="26"/>
      <c r="AL100" s="26"/>
      <c r="AM100" s="26"/>
      <c r="AN100" s="26"/>
      <c r="AO100" s="26"/>
      <c r="AP100" s="26"/>
      <c r="AQ100" s="26"/>
      <c r="AR100" s="26"/>
      <c r="AS100" s="26"/>
      <c r="AT100" s="26"/>
    </row>
    <row r="101" spans="1:46">
      <c r="A101" s="26"/>
      <c r="B101" s="508"/>
      <c r="C101" s="508"/>
      <c r="D101" s="508"/>
      <c r="E101" s="508"/>
      <c r="F101" s="26"/>
      <c r="G101" s="26"/>
      <c r="H101" s="26"/>
      <c r="I101" s="26"/>
      <c r="J101" s="26"/>
      <c r="K101" s="26"/>
      <c r="L101" s="26"/>
      <c r="M101" s="26"/>
      <c r="N101" s="26"/>
      <c r="O101" s="508"/>
      <c r="P101" s="508"/>
      <c r="Q101" s="321"/>
      <c r="R101" s="328"/>
      <c r="S101" s="26"/>
      <c r="T101" s="26"/>
      <c r="U101" s="26"/>
      <c r="V101" s="26"/>
      <c r="W101" s="26"/>
      <c r="X101" s="30"/>
      <c r="Y101" s="431"/>
      <c r="Z101" s="415"/>
      <c r="AA101" s="30"/>
      <c r="AB101" s="26"/>
      <c r="AC101" s="26"/>
      <c r="AD101" s="30"/>
      <c r="AE101" s="415"/>
      <c r="AF101" s="414"/>
      <c r="AG101" s="26"/>
      <c r="AH101" s="26"/>
      <c r="AI101" s="26"/>
      <c r="AJ101" s="26"/>
      <c r="AK101" s="26"/>
      <c r="AL101" s="26"/>
      <c r="AM101" s="26"/>
      <c r="AN101" s="26"/>
      <c r="AO101" s="26"/>
      <c r="AP101" s="26"/>
      <c r="AQ101" s="26"/>
      <c r="AR101" s="26"/>
      <c r="AS101" s="26"/>
      <c r="AT101" s="26"/>
    </row>
    <row r="102" spans="1:46">
      <c r="A102" s="26"/>
      <c r="B102" s="508"/>
      <c r="C102" s="508"/>
      <c r="D102" s="508"/>
      <c r="E102" s="508"/>
      <c r="F102" s="26"/>
      <c r="G102" s="26"/>
      <c r="H102" s="26"/>
      <c r="I102" s="26"/>
      <c r="J102" s="26"/>
      <c r="K102" s="26"/>
      <c r="L102" s="26"/>
      <c r="M102" s="26"/>
      <c r="N102" s="26"/>
      <c r="O102" s="508"/>
      <c r="P102" s="508"/>
      <c r="Q102" s="321"/>
      <c r="R102" s="328"/>
      <c r="S102" s="26"/>
      <c r="T102" s="26"/>
      <c r="U102" s="26"/>
      <c r="V102" s="26"/>
      <c r="W102" s="26"/>
      <c r="X102" s="26"/>
      <c r="Y102" s="26"/>
      <c r="Z102" s="26"/>
      <c r="AA102" s="26"/>
      <c r="AB102" s="26"/>
      <c r="AC102" s="26"/>
      <c r="AD102" s="26"/>
      <c r="AE102" s="26"/>
      <c r="AF102" s="414"/>
      <c r="AG102" s="26"/>
      <c r="AH102" s="26"/>
      <c r="AI102" s="26"/>
      <c r="AJ102" s="26"/>
      <c r="AK102" s="26"/>
      <c r="AL102" s="26"/>
      <c r="AM102" s="26"/>
      <c r="AN102" s="26"/>
      <c r="AO102" s="26"/>
      <c r="AP102" s="26"/>
      <c r="AQ102" s="26"/>
      <c r="AR102" s="26"/>
      <c r="AS102" s="26"/>
      <c r="AT102" s="26"/>
    </row>
    <row r="103" spans="1:46">
      <c r="A103" s="26"/>
      <c r="B103" s="508"/>
      <c r="C103" s="508"/>
      <c r="D103" s="508"/>
      <c r="E103" s="508"/>
      <c r="F103" s="26"/>
      <c r="G103" s="26"/>
      <c r="H103" s="26"/>
      <c r="I103" s="26"/>
      <c r="J103" s="26"/>
      <c r="K103" s="26"/>
      <c r="L103" s="26"/>
      <c r="M103" s="26"/>
      <c r="N103" s="26"/>
      <c r="O103" s="508"/>
      <c r="P103" s="508"/>
      <c r="Q103" s="321"/>
      <c r="R103" s="328"/>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row>
    <row r="104" spans="1:46">
      <c r="A104" s="26"/>
      <c r="B104" s="508"/>
      <c r="C104" s="508"/>
      <c r="D104" s="508"/>
      <c r="E104" s="508"/>
      <c r="F104" s="26"/>
      <c r="G104" s="26"/>
      <c r="H104" s="26"/>
      <c r="I104" s="26"/>
      <c r="J104" s="26"/>
      <c r="K104" s="26"/>
      <c r="L104" s="26"/>
      <c r="M104" s="26"/>
      <c r="N104" s="26"/>
      <c r="O104" s="508"/>
      <c r="P104" s="508"/>
      <c r="Q104" s="321"/>
      <c r="R104" s="328"/>
      <c r="S104" s="26"/>
      <c r="T104" s="26"/>
      <c r="U104" s="26"/>
      <c r="V104" s="26"/>
      <c r="W104" s="26"/>
      <c r="X104" s="30"/>
      <c r="Y104" s="431"/>
      <c r="Z104" s="415"/>
      <c r="AA104" s="30"/>
      <c r="AB104" s="26"/>
      <c r="AC104" s="26"/>
      <c r="AD104" s="30"/>
      <c r="AE104" s="415"/>
      <c r="AF104" s="26"/>
      <c r="AG104" s="26"/>
      <c r="AH104" s="26"/>
      <c r="AI104" s="26"/>
      <c r="AJ104" s="26"/>
      <c r="AK104" s="26"/>
      <c r="AL104" s="26"/>
      <c r="AM104" s="26"/>
      <c r="AN104" s="26"/>
      <c r="AO104" s="26"/>
      <c r="AP104" s="26"/>
      <c r="AQ104" s="26"/>
      <c r="AR104" s="26"/>
      <c r="AS104" s="26"/>
      <c r="AT104" s="26"/>
    </row>
    <row r="105" spans="1:46">
      <c r="A105" s="26"/>
      <c r="B105" s="508"/>
      <c r="C105" s="508"/>
      <c r="D105" s="508"/>
      <c r="E105" s="508"/>
      <c r="F105" s="26"/>
      <c r="G105" s="26"/>
      <c r="H105" s="26"/>
      <c r="I105" s="26"/>
      <c r="J105" s="26"/>
      <c r="K105" s="26"/>
      <c r="L105" s="26"/>
      <c r="M105" s="26"/>
      <c r="N105" s="26"/>
      <c r="O105" s="508"/>
      <c r="P105" s="508"/>
      <c r="Q105" s="321"/>
      <c r="R105" s="328"/>
      <c r="S105" s="26"/>
      <c r="T105" s="26"/>
      <c r="U105" s="26"/>
      <c r="V105" s="26"/>
      <c r="W105" s="26"/>
      <c r="X105" s="30"/>
      <c r="Y105" s="431"/>
      <c r="Z105" s="415"/>
      <c r="AA105" s="30"/>
      <c r="AB105" s="26"/>
      <c r="AC105" s="26"/>
      <c r="AD105" s="30"/>
      <c r="AE105" s="415"/>
      <c r="AF105" s="414"/>
      <c r="AG105" s="26"/>
      <c r="AH105" s="26"/>
      <c r="AI105" s="26"/>
      <c r="AJ105" s="26"/>
      <c r="AK105" s="26"/>
      <c r="AL105" s="26"/>
      <c r="AM105" s="26"/>
      <c r="AN105" s="26"/>
      <c r="AO105" s="26"/>
      <c r="AP105" s="26"/>
      <c r="AQ105" s="26"/>
      <c r="AR105" s="26"/>
      <c r="AS105" s="26"/>
      <c r="AT105" s="26"/>
    </row>
    <row r="106" spans="1:46">
      <c r="A106" s="26"/>
      <c r="B106" s="508"/>
      <c r="C106" s="508"/>
      <c r="D106" s="508"/>
      <c r="E106" s="508"/>
      <c r="F106" s="26"/>
      <c r="G106" s="26"/>
      <c r="H106" s="26"/>
      <c r="I106" s="26"/>
      <c r="J106" s="26"/>
      <c r="K106" s="26"/>
      <c r="L106" s="26"/>
      <c r="M106" s="26"/>
      <c r="N106" s="26"/>
      <c r="O106" s="508"/>
      <c r="P106" s="508"/>
      <c r="Q106" s="321"/>
      <c r="R106" s="328"/>
      <c r="S106" s="26"/>
      <c r="T106" s="26"/>
      <c r="U106" s="26"/>
      <c r="V106" s="26"/>
      <c r="W106" s="26"/>
      <c r="X106" s="30"/>
      <c r="Y106" s="431"/>
      <c r="Z106" s="415"/>
      <c r="AA106" s="30"/>
      <c r="AB106" s="26"/>
      <c r="AC106" s="26"/>
      <c r="AD106" s="30"/>
      <c r="AE106" s="415"/>
      <c r="AF106" s="414"/>
      <c r="AG106" s="26"/>
      <c r="AH106" s="26"/>
      <c r="AI106" s="26"/>
      <c r="AJ106" s="26"/>
      <c r="AK106" s="26"/>
      <c r="AL106" s="26"/>
      <c r="AM106" s="26"/>
      <c r="AN106" s="26"/>
      <c r="AO106" s="26"/>
      <c r="AP106" s="26"/>
      <c r="AQ106" s="26"/>
      <c r="AR106" s="26"/>
      <c r="AS106" s="26"/>
      <c r="AT106" s="26"/>
    </row>
    <row r="107" spans="1:46">
      <c r="A107" s="26"/>
      <c r="B107" s="508"/>
      <c r="C107" s="508"/>
      <c r="D107" s="508"/>
      <c r="E107" s="508"/>
      <c r="F107" s="26"/>
      <c r="G107" s="26"/>
      <c r="H107" s="26"/>
      <c r="I107" s="26"/>
      <c r="J107" s="26"/>
      <c r="K107" s="26"/>
      <c r="L107" s="26"/>
      <c r="M107" s="26"/>
      <c r="N107" s="26"/>
      <c r="O107" s="508"/>
      <c r="P107" s="508"/>
      <c r="Q107" s="321"/>
      <c r="R107" s="328"/>
      <c r="S107" s="26"/>
      <c r="T107" s="26"/>
      <c r="U107" s="26"/>
      <c r="V107" s="26"/>
      <c r="W107" s="26"/>
      <c r="X107" s="30"/>
      <c r="Y107" s="431"/>
      <c r="Z107" s="415"/>
      <c r="AA107" s="30"/>
      <c r="AB107" s="26"/>
      <c r="AC107" s="26"/>
      <c r="AD107" s="30"/>
      <c r="AE107" s="415"/>
      <c r="AF107" s="414"/>
      <c r="AG107" s="26"/>
      <c r="AH107" s="26"/>
      <c r="AI107" s="26"/>
      <c r="AJ107" s="26"/>
      <c r="AK107" s="26"/>
      <c r="AL107" s="26"/>
      <c r="AM107" s="26"/>
      <c r="AN107" s="26"/>
      <c r="AO107" s="26"/>
      <c r="AP107" s="26"/>
      <c r="AQ107" s="26"/>
      <c r="AR107" s="26"/>
      <c r="AS107" s="26"/>
      <c r="AT107" s="26"/>
    </row>
    <row r="108" spans="1:46">
      <c r="A108" s="26"/>
      <c r="B108" s="508"/>
      <c r="C108" s="508"/>
      <c r="D108" s="508"/>
      <c r="E108" s="508"/>
      <c r="F108" s="26"/>
      <c r="G108" s="26"/>
      <c r="H108" s="26"/>
      <c r="I108" s="26"/>
      <c r="J108" s="26"/>
      <c r="K108" s="26"/>
      <c r="L108" s="26"/>
      <c r="M108" s="26"/>
      <c r="N108" s="26"/>
      <c r="O108" s="508"/>
      <c r="P108" s="508"/>
      <c r="Q108" s="321"/>
      <c r="R108" s="328"/>
      <c r="S108" s="26"/>
      <c r="T108" s="26"/>
      <c r="U108" s="26"/>
      <c r="V108" s="26"/>
      <c r="W108" s="26"/>
      <c r="X108" s="26"/>
      <c r="Y108" s="26"/>
      <c r="Z108" s="26"/>
      <c r="AA108" s="26"/>
      <c r="AB108" s="26"/>
      <c r="AC108" s="26"/>
      <c r="AD108" s="26"/>
      <c r="AE108" s="26"/>
      <c r="AF108" s="414"/>
      <c r="AG108" s="26"/>
      <c r="AH108" s="26"/>
      <c r="AI108" s="26"/>
      <c r="AJ108" s="26"/>
      <c r="AK108" s="26"/>
      <c r="AL108" s="26"/>
      <c r="AM108" s="26"/>
      <c r="AN108" s="26"/>
      <c r="AO108" s="26"/>
      <c r="AP108" s="26"/>
      <c r="AQ108" s="26"/>
      <c r="AR108" s="26"/>
      <c r="AS108" s="26"/>
      <c r="AT108" s="26"/>
    </row>
    <row r="109" spans="1:46">
      <c r="A109" s="26"/>
      <c r="B109" s="508"/>
      <c r="C109" s="508"/>
      <c r="D109" s="508"/>
      <c r="E109" s="508"/>
      <c r="F109" s="26"/>
      <c r="G109" s="26"/>
      <c r="H109" s="26"/>
      <c r="I109" s="26"/>
      <c r="J109" s="26"/>
      <c r="K109" s="26"/>
      <c r="L109" s="26"/>
      <c r="M109" s="26"/>
      <c r="N109" s="26"/>
      <c r="O109" s="508"/>
      <c r="P109" s="508"/>
      <c r="Q109" s="321"/>
      <c r="R109" s="328"/>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row>
    <row r="110" spans="1:46">
      <c r="A110" s="26"/>
      <c r="B110" s="508"/>
      <c r="C110" s="508"/>
      <c r="D110" s="508"/>
      <c r="E110" s="508"/>
      <c r="F110" s="26"/>
      <c r="G110" s="26"/>
      <c r="H110" s="26"/>
      <c r="I110" s="26"/>
      <c r="J110" s="26"/>
      <c r="K110" s="26"/>
      <c r="L110" s="26"/>
      <c r="M110" s="26"/>
      <c r="N110" s="26"/>
      <c r="O110" s="508"/>
      <c r="P110" s="508"/>
      <c r="Q110" s="321"/>
      <c r="R110" s="328"/>
      <c r="S110" s="26"/>
      <c r="T110" s="26"/>
      <c r="U110" s="26"/>
      <c r="V110" s="26"/>
      <c r="W110" s="26"/>
      <c r="X110" s="30"/>
      <c r="Y110" s="431"/>
      <c r="Z110" s="415"/>
      <c r="AA110" s="30"/>
      <c r="AB110" s="26"/>
      <c r="AC110" s="26"/>
      <c r="AD110" s="30"/>
      <c r="AE110" s="415"/>
      <c r="AF110" s="26"/>
      <c r="AG110" s="26"/>
      <c r="AH110" s="26"/>
      <c r="AI110" s="26"/>
      <c r="AJ110" s="26"/>
      <c r="AK110" s="26"/>
      <c r="AL110" s="26"/>
      <c r="AM110" s="26"/>
      <c r="AN110" s="26"/>
      <c r="AO110" s="26"/>
      <c r="AP110" s="26"/>
      <c r="AQ110" s="26"/>
      <c r="AR110" s="26"/>
      <c r="AS110" s="26"/>
      <c r="AT110" s="26"/>
    </row>
    <row r="111" spans="1:46">
      <c r="A111" s="26"/>
      <c r="B111" s="508"/>
      <c r="C111" s="508"/>
      <c r="D111" s="508"/>
      <c r="E111" s="508"/>
      <c r="F111" s="26"/>
      <c r="G111" s="26"/>
      <c r="H111" s="26"/>
      <c r="I111" s="26"/>
      <c r="J111" s="26"/>
      <c r="K111" s="26"/>
      <c r="L111" s="26"/>
      <c r="M111" s="26"/>
      <c r="N111" s="26"/>
      <c r="O111" s="508"/>
      <c r="P111" s="508"/>
      <c r="Q111" s="321"/>
      <c r="R111" s="328"/>
      <c r="S111" s="26"/>
      <c r="T111" s="26"/>
      <c r="U111" s="26"/>
      <c r="V111" s="26"/>
      <c r="W111" s="26"/>
      <c r="X111" s="30"/>
      <c r="Y111" s="431"/>
      <c r="Z111" s="415"/>
      <c r="AA111" s="30"/>
      <c r="AB111" s="26"/>
      <c r="AC111" s="26"/>
      <c r="AD111" s="30"/>
      <c r="AE111" s="415"/>
      <c r="AF111" s="26"/>
      <c r="AG111" s="26"/>
      <c r="AH111" s="26"/>
      <c r="AI111" s="26"/>
      <c r="AJ111" s="26"/>
      <c r="AK111" s="26"/>
      <c r="AL111" s="26"/>
      <c r="AM111" s="26"/>
      <c r="AN111" s="26"/>
      <c r="AO111" s="26"/>
      <c r="AP111" s="26"/>
      <c r="AQ111" s="26"/>
      <c r="AR111" s="26"/>
      <c r="AS111" s="26"/>
      <c r="AT111" s="26"/>
    </row>
    <row r="112" spans="1:46">
      <c r="A112" s="26"/>
      <c r="B112" s="508"/>
      <c r="C112" s="508"/>
      <c r="D112" s="508"/>
      <c r="E112" s="508"/>
      <c r="F112" s="26"/>
      <c r="G112" s="26"/>
      <c r="H112" s="26"/>
      <c r="I112" s="26"/>
      <c r="J112" s="26"/>
      <c r="K112" s="26"/>
      <c r="L112" s="26"/>
      <c r="M112" s="26"/>
      <c r="N112" s="26"/>
      <c r="O112" s="508"/>
      <c r="P112" s="508"/>
      <c r="Q112" s="321"/>
      <c r="R112" s="328"/>
      <c r="S112" s="26"/>
      <c r="T112" s="26"/>
      <c r="U112" s="26"/>
      <c r="V112" s="26"/>
      <c r="W112" s="26"/>
      <c r="X112" s="30"/>
      <c r="Y112" s="431"/>
      <c r="Z112" s="415"/>
      <c r="AA112" s="30"/>
      <c r="AB112" s="26"/>
      <c r="AC112" s="26"/>
      <c r="AD112" s="30"/>
      <c r="AE112" s="415"/>
      <c r="AF112" s="26"/>
      <c r="AG112" s="26"/>
      <c r="AH112" s="26"/>
      <c r="AI112" s="26"/>
      <c r="AJ112" s="26"/>
      <c r="AK112" s="26"/>
      <c r="AL112" s="26"/>
      <c r="AM112" s="26"/>
      <c r="AN112" s="26"/>
      <c r="AO112" s="26"/>
      <c r="AP112" s="26"/>
      <c r="AQ112" s="26"/>
      <c r="AR112" s="26"/>
      <c r="AS112" s="26"/>
      <c r="AT112" s="26"/>
    </row>
    <row r="113" spans="1:46">
      <c r="A113" s="26"/>
      <c r="B113" s="508"/>
      <c r="C113" s="508"/>
      <c r="D113" s="508"/>
      <c r="E113" s="508"/>
      <c r="F113" s="26"/>
      <c r="G113" s="26"/>
      <c r="H113" s="26"/>
      <c r="I113" s="26"/>
      <c r="J113" s="26"/>
      <c r="K113" s="26"/>
      <c r="L113" s="26"/>
      <c r="M113" s="26"/>
      <c r="N113" s="26"/>
      <c r="O113" s="508"/>
      <c r="P113" s="508"/>
      <c r="Q113" s="321"/>
      <c r="R113" s="328"/>
      <c r="S113" s="26"/>
      <c r="T113" s="26"/>
      <c r="U113" s="26"/>
      <c r="V113" s="26"/>
      <c r="W113" s="26"/>
      <c r="X113" s="30"/>
      <c r="Y113" s="431"/>
      <c r="Z113" s="415"/>
      <c r="AA113" s="30"/>
      <c r="AB113" s="26"/>
      <c r="AC113" s="26"/>
      <c r="AD113" s="30"/>
      <c r="AE113" s="415"/>
      <c r="AF113" s="26"/>
      <c r="AG113" s="26"/>
      <c r="AH113" s="26"/>
      <c r="AI113" s="26"/>
      <c r="AJ113" s="26"/>
      <c r="AK113" s="26"/>
      <c r="AL113" s="26"/>
      <c r="AM113" s="26"/>
      <c r="AN113" s="26"/>
      <c r="AO113" s="26"/>
      <c r="AP113" s="26"/>
      <c r="AQ113" s="26"/>
      <c r="AR113" s="26"/>
      <c r="AS113" s="26"/>
      <c r="AT113" s="26"/>
    </row>
  </sheetData>
  <mergeCells count="6">
    <mergeCell ref="B18:C18"/>
    <mergeCell ref="B2:C2"/>
    <mergeCell ref="AF2:AI2"/>
    <mergeCell ref="B15:C15"/>
    <mergeCell ref="C16:D16"/>
    <mergeCell ref="B17:C17"/>
  </mergeCells>
  <pageMargins left="0.25" right="0.25" top="0.75" bottom="0.75" header="0.3" footer="0.3"/>
  <pageSetup scale="66" orientation="landscape"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9306-3E6F-45E6-92E4-EAF1B05A76A1}">
  <dimension ref="A1:I99"/>
  <sheetViews>
    <sheetView topLeftCell="A76" workbookViewId="0">
      <selection activeCell="H91" sqref="H91"/>
    </sheetView>
  </sheetViews>
  <sheetFormatPr defaultRowHeight="15"/>
  <cols>
    <col min="1" max="4" width="2.33203125" customWidth="1"/>
    <col min="5" max="5" width="38.109375" bestFit="1" customWidth="1"/>
    <col min="6" max="6" width="6.5546875" customWidth="1"/>
    <col min="7" max="7" width="13.5546875" bestFit="1" customWidth="1"/>
    <col min="8" max="8" width="11.77734375" bestFit="1" customWidth="1"/>
    <col min="9" max="9" width="9.6640625" bestFit="1" customWidth="1"/>
  </cols>
  <sheetData>
    <row r="1" spans="1:9" ht="16.5" thickBot="1">
      <c r="A1" s="1"/>
      <c r="B1" s="1"/>
      <c r="C1" s="1"/>
      <c r="D1" s="1"/>
      <c r="E1" s="1"/>
      <c r="F1" s="1"/>
      <c r="G1" s="2" t="s">
        <v>17</v>
      </c>
      <c r="H1" s="3"/>
      <c r="I1" s="3"/>
    </row>
    <row r="2" spans="1:9" ht="16.5" thickTop="1">
      <c r="A2" s="4" t="s">
        <v>18</v>
      </c>
      <c r="B2" s="4"/>
      <c r="C2" s="4"/>
      <c r="D2" s="4"/>
      <c r="E2" s="4"/>
      <c r="F2" s="4"/>
      <c r="G2" s="5"/>
      <c r="H2" s="6"/>
      <c r="I2" s="6"/>
    </row>
    <row r="3" spans="1:9" ht="15.75">
      <c r="A3" s="4"/>
      <c r="B3" s="4" t="s">
        <v>19</v>
      </c>
      <c r="C3" s="4"/>
      <c r="D3" s="4"/>
      <c r="E3" s="4"/>
      <c r="F3" s="4"/>
      <c r="G3" s="5"/>
      <c r="H3" s="6"/>
      <c r="I3" s="6"/>
    </row>
    <row r="4" spans="1:9" ht="15.75">
      <c r="A4" s="4"/>
      <c r="B4" s="4"/>
      <c r="C4" s="4" t="s">
        <v>20</v>
      </c>
      <c r="D4" s="4"/>
      <c r="E4" s="4"/>
      <c r="F4" s="4"/>
      <c r="G4" s="5"/>
      <c r="H4" s="6"/>
      <c r="I4" s="6"/>
    </row>
    <row r="5" spans="1:9" ht="15.75">
      <c r="A5" s="4"/>
      <c r="B5" s="4"/>
      <c r="C5" s="4"/>
      <c r="D5" s="4" t="s">
        <v>21</v>
      </c>
      <c r="E5" s="4"/>
      <c r="F5" s="4"/>
      <c r="G5" s="5"/>
      <c r="H5" s="6"/>
      <c r="I5" s="6"/>
    </row>
    <row r="6" spans="1:9" ht="15.75">
      <c r="A6" s="4"/>
      <c r="B6" s="4"/>
      <c r="C6" s="4"/>
      <c r="D6" s="4"/>
      <c r="E6" s="4" t="s">
        <v>22</v>
      </c>
      <c r="F6" s="4"/>
      <c r="G6" s="5">
        <v>379477.38</v>
      </c>
      <c r="H6" s="6"/>
      <c r="I6" s="6"/>
    </row>
    <row r="7" spans="1:9" ht="15.75">
      <c r="A7" s="4"/>
      <c r="B7" s="4"/>
      <c r="C7" s="4"/>
      <c r="D7" s="4"/>
      <c r="E7" s="4" t="s">
        <v>23</v>
      </c>
      <c r="F7" s="4"/>
      <c r="G7" s="5">
        <v>201.18</v>
      </c>
      <c r="H7" s="6"/>
      <c r="I7" s="6"/>
    </row>
    <row r="8" spans="1:9" ht="15.75">
      <c r="A8" s="4"/>
      <c r="B8" s="4"/>
      <c r="C8" s="4"/>
      <c r="D8" s="4"/>
      <c r="E8" s="4" t="s">
        <v>24</v>
      </c>
      <c r="F8" s="4"/>
      <c r="G8" s="5">
        <v>2000</v>
      </c>
      <c r="H8" s="6"/>
      <c r="I8" s="6"/>
    </row>
    <row r="9" spans="1:9" ht="15.75">
      <c r="A9" s="4"/>
      <c r="B9" s="4"/>
      <c r="C9" s="4"/>
      <c r="D9" s="4"/>
      <c r="E9" s="4" t="s">
        <v>25</v>
      </c>
      <c r="F9" s="4"/>
      <c r="G9" s="5">
        <v>67249.91</v>
      </c>
      <c r="H9" s="6"/>
      <c r="I9" s="6"/>
    </row>
    <row r="10" spans="1:9" ht="16.5" thickBot="1">
      <c r="A10" s="4"/>
      <c r="B10" s="4"/>
      <c r="C10" s="4"/>
      <c r="D10" s="4"/>
      <c r="E10" s="4" t="s">
        <v>26</v>
      </c>
      <c r="F10" s="4"/>
      <c r="G10" s="5">
        <v>157806.09</v>
      </c>
      <c r="H10" s="6"/>
      <c r="I10" s="6"/>
    </row>
    <row r="11" spans="1:9" ht="16.5" thickBot="1">
      <c r="A11" s="4"/>
      <c r="B11" s="4"/>
      <c r="C11" s="4"/>
      <c r="D11" s="4" t="s">
        <v>27</v>
      </c>
      <c r="E11" s="4"/>
      <c r="F11" s="4"/>
      <c r="G11" s="7">
        <f>ROUND(SUM(G5:G10),5)</f>
        <v>606734.56000000006</v>
      </c>
      <c r="H11" s="6"/>
      <c r="I11" s="6"/>
    </row>
    <row r="12" spans="1:9" ht="15.75">
      <c r="A12" s="4"/>
      <c r="B12" s="4"/>
      <c r="C12" s="4" t="s">
        <v>28</v>
      </c>
      <c r="D12" s="4"/>
      <c r="E12" s="4"/>
      <c r="F12" s="4"/>
      <c r="G12" s="5">
        <f>ROUND(G4+G11,5)</f>
        <v>606734.56000000006</v>
      </c>
      <c r="H12" s="6"/>
      <c r="I12" s="6"/>
    </row>
    <row r="13" spans="1:9" ht="15.75">
      <c r="A13" s="4"/>
      <c r="B13" s="4"/>
      <c r="C13" s="4" t="s">
        <v>29</v>
      </c>
      <c r="D13" s="4"/>
      <c r="E13" s="4"/>
      <c r="F13" s="4"/>
      <c r="G13" s="5"/>
      <c r="H13" s="6"/>
      <c r="I13" s="6"/>
    </row>
    <row r="14" spans="1:9" ht="16.5" thickBot="1">
      <c r="A14" s="4"/>
      <c r="B14" s="4"/>
      <c r="C14" s="4"/>
      <c r="D14" s="4" t="s">
        <v>30</v>
      </c>
      <c r="E14" s="4"/>
      <c r="F14" s="4"/>
      <c r="G14" s="8">
        <v>781470</v>
      </c>
      <c r="H14" s="6"/>
      <c r="I14" s="6"/>
    </row>
    <row r="15" spans="1:9" ht="15.75">
      <c r="A15" s="4"/>
      <c r="B15" s="4"/>
      <c r="C15" s="4" t="s">
        <v>31</v>
      </c>
      <c r="D15" s="4"/>
      <c r="E15" s="4"/>
      <c r="F15" s="4"/>
      <c r="G15" s="5">
        <f>ROUND(SUM(G13:G14),5)</f>
        <v>781470</v>
      </c>
      <c r="H15" s="6"/>
      <c r="I15" s="6"/>
    </row>
    <row r="16" spans="1:9" ht="15.75">
      <c r="A16" s="4"/>
      <c r="B16" s="4"/>
      <c r="C16" s="4" t="s">
        <v>32</v>
      </c>
      <c r="D16" s="4"/>
      <c r="E16" s="4"/>
      <c r="F16" s="4"/>
      <c r="G16" s="5"/>
      <c r="H16" s="6"/>
      <c r="I16" s="6"/>
    </row>
    <row r="17" spans="1:9" ht="15.75">
      <c r="A17" s="4"/>
      <c r="B17" s="4"/>
      <c r="C17" s="4"/>
      <c r="D17" s="4" t="s">
        <v>33</v>
      </c>
      <c r="E17" s="4"/>
      <c r="F17" s="4"/>
      <c r="G17" s="5">
        <v>10334.4</v>
      </c>
      <c r="H17" s="6"/>
      <c r="I17" s="6"/>
    </row>
    <row r="18" spans="1:9" ht="15.75">
      <c r="A18" s="4"/>
      <c r="B18" s="4"/>
      <c r="C18" s="4"/>
      <c r="D18" s="4" t="s">
        <v>34</v>
      </c>
      <c r="E18" s="4"/>
      <c r="F18" s="4"/>
      <c r="G18" s="5">
        <v>45307.49</v>
      </c>
      <c r="H18" s="6"/>
      <c r="I18" s="6"/>
    </row>
    <row r="19" spans="1:9" ht="15.75">
      <c r="A19" s="4"/>
      <c r="B19" s="4"/>
      <c r="C19" s="4"/>
      <c r="D19" s="4" t="s">
        <v>35</v>
      </c>
      <c r="E19" s="4"/>
      <c r="F19" s="4"/>
      <c r="G19" s="5">
        <v>70243</v>
      </c>
      <c r="H19" s="6"/>
      <c r="I19" s="6"/>
    </row>
    <row r="20" spans="1:9" ht="15.75">
      <c r="A20" s="4"/>
      <c r="B20" s="4"/>
      <c r="C20" s="4"/>
      <c r="D20" s="4" t="s">
        <v>36</v>
      </c>
      <c r="E20" s="4"/>
      <c r="F20" s="4"/>
      <c r="G20" s="5">
        <v>21768.44</v>
      </c>
      <c r="H20" s="6"/>
      <c r="I20" s="6"/>
    </row>
    <row r="21" spans="1:9" ht="15.75">
      <c r="A21" s="4"/>
      <c r="B21" s="4"/>
      <c r="C21" s="4"/>
      <c r="D21" s="4" t="s">
        <v>37</v>
      </c>
      <c r="E21" s="4"/>
      <c r="F21" s="4"/>
      <c r="G21" s="5">
        <v>1696.21</v>
      </c>
      <c r="H21" s="6"/>
      <c r="I21" s="6"/>
    </row>
    <row r="22" spans="1:9" ht="15.75">
      <c r="A22" s="4"/>
      <c r="B22" s="4"/>
      <c r="C22" s="4"/>
      <c r="D22" s="4" t="s">
        <v>38</v>
      </c>
      <c r="E22" s="4"/>
      <c r="F22" s="4"/>
      <c r="G22" s="5">
        <v>-21803.29</v>
      </c>
      <c r="H22" s="6"/>
      <c r="I22" s="6"/>
    </row>
    <row r="23" spans="1:9" ht="15.75">
      <c r="A23" s="4"/>
      <c r="B23" s="4"/>
      <c r="C23" s="4"/>
      <c r="D23" s="4" t="s">
        <v>39</v>
      </c>
      <c r="E23" s="4"/>
      <c r="F23" s="4"/>
      <c r="G23" s="5">
        <v>-4787.59</v>
      </c>
      <c r="H23" s="6"/>
      <c r="I23" s="6"/>
    </row>
    <row r="24" spans="1:9" ht="15.75">
      <c r="A24" s="4"/>
      <c r="B24" s="4"/>
      <c r="C24" s="4"/>
      <c r="D24" s="4" t="s">
        <v>40</v>
      </c>
      <c r="E24" s="4"/>
      <c r="F24" s="4"/>
      <c r="G24" s="5">
        <v>1400</v>
      </c>
      <c r="H24" s="6"/>
      <c r="I24" s="6"/>
    </row>
    <row r="25" spans="1:9" ht="15.75">
      <c r="A25" s="4"/>
      <c r="B25" s="4"/>
      <c r="C25" s="4"/>
      <c r="D25" s="4" t="s">
        <v>41</v>
      </c>
      <c r="E25" s="4"/>
      <c r="F25" s="4"/>
      <c r="G25" s="5">
        <v>2275</v>
      </c>
      <c r="H25" s="6"/>
      <c r="I25" s="6"/>
    </row>
    <row r="26" spans="1:9" ht="15.75">
      <c r="A26" s="4"/>
      <c r="B26" s="4"/>
      <c r="C26" s="4"/>
      <c r="D26" s="4" t="s">
        <v>42</v>
      </c>
      <c r="E26" s="4"/>
      <c r="F26" s="4"/>
      <c r="G26" s="5">
        <v>1137.5</v>
      </c>
      <c r="H26" s="6"/>
      <c r="I26" s="6"/>
    </row>
    <row r="27" spans="1:9" ht="15.75">
      <c r="A27" s="4"/>
      <c r="B27" s="4"/>
      <c r="C27" s="4"/>
      <c r="D27" s="4" t="s">
        <v>43</v>
      </c>
      <c r="E27" s="4"/>
      <c r="F27" s="4"/>
      <c r="G27" s="5">
        <v>1200</v>
      </c>
      <c r="H27" s="6"/>
      <c r="I27" s="6"/>
    </row>
    <row r="28" spans="1:9" ht="15.75">
      <c r="A28" s="4"/>
      <c r="B28" s="4"/>
      <c r="C28" s="4"/>
      <c r="D28" s="4" t="s">
        <v>44</v>
      </c>
      <c r="E28" s="4"/>
      <c r="F28" s="4"/>
      <c r="G28" s="5"/>
      <c r="H28" s="6"/>
      <c r="I28" s="6"/>
    </row>
    <row r="29" spans="1:9" ht="15.75">
      <c r="A29" s="4"/>
      <c r="B29" s="4"/>
      <c r="C29" s="4"/>
      <c r="D29" s="4"/>
      <c r="E29" s="4" t="s">
        <v>45</v>
      </c>
      <c r="F29" s="4"/>
      <c r="G29" s="5">
        <v>89493.87</v>
      </c>
      <c r="H29" s="6"/>
      <c r="I29" s="6"/>
    </row>
    <row r="30" spans="1:9" ht="16.5" thickBot="1">
      <c r="A30" s="4"/>
      <c r="B30" s="4"/>
      <c r="C30" s="4"/>
      <c r="D30" s="4"/>
      <c r="E30" s="4" t="s">
        <v>46</v>
      </c>
      <c r="F30" s="4"/>
      <c r="G30" s="5">
        <v>37331.5</v>
      </c>
      <c r="H30" s="6"/>
      <c r="I30" s="6"/>
    </row>
    <row r="31" spans="1:9" ht="16.5" thickBot="1">
      <c r="A31" s="4"/>
      <c r="B31" s="4"/>
      <c r="C31" s="4"/>
      <c r="D31" s="4" t="s">
        <v>47</v>
      </c>
      <c r="E31" s="4"/>
      <c r="F31" s="4"/>
      <c r="G31" s="9">
        <f>ROUND(SUM(G28:G30),5)</f>
        <v>126825.37</v>
      </c>
      <c r="H31" s="6"/>
      <c r="I31" s="6"/>
    </row>
    <row r="32" spans="1:9" ht="16.5" thickBot="1">
      <c r="A32" s="4"/>
      <c r="B32" s="4"/>
      <c r="C32" s="4" t="s">
        <v>48</v>
      </c>
      <c r="D32" s="4"/>
      <c r="E32" s="4"/>
      <c r="F32" s="4"/>
      <c r="G32" s="7">
        <f>ROUND(SUM(G16:G27)+G31,5)</f>
        <v>255596.53</v>
      </c>
      <c r="H32" s="6"/>
      <c r="I32" s="6"/>
    </row>
    <row r="33" spans="1:9" ht="15.75">
      <c r="A33" s="4"/>
      <c r="B33" s="4" t="s">
        <v>49</v>
      </c>
      <c r="C33" s="4"/>
      <c r="D33" s="4"/>
      <c r="E33" s="4"/>
      <c r="F33" s="4"/>
      <c r="G33" s="5">
        <f>ROUND(G3+G12+G15+G32,5)</f>
        <v>1643801.09</v>
      </c>
      <c r="H33" s="6"/>
      <c r="I33" s="6"/>
    </row>
    <row r="34" spans="1:9" ht="15.75">
      <c r="A34" s="4"/>
      <c r="B34" s="4" t="s">
        <v>50</v>
      </c>
      <c r="C34" s="4"/>
      <c r="D34" s="4"/>
      <c r="E34" s="4"/>
      <c r="F34" s="4"/>
      <c r="G34" s="5"/>
      <c r="H34" s="6"/>
      <c r="I34" s="6"/>
    </row>
    <row r="35" spans="1:9" ht="15.75">
      <c r="A35" s="4"/>
      <c r="B35" s="4"/>
      <c r="C35" s="4" t="s">
        <v>51</v>
      </c>
      <c r="D35" s="4"/>
      <c r="E35" s="4"/>
      <c r="F35" s="4"/>
      <c r="G35" s="5"/>
      <c r="H35" s="6"/>
      <c r="I35" s="6"/>
    </row>
    <row r="36" spans="1:9" ht="15.75">
      <c r="A36" s="4"/>
      <c r="B36" s="4"/>
      <c r="C36" s="4"/>
      <c r="D36" s="4" t="s">
        <v>52</v>
      </c>
      <c r="E36" s="4"/>
      <c r="F36" s="4"/>
      <c r="G36" s="5">
        <v>5641355.2400000002</v>
      </c>
      <c r="H36" s="6"/>
      <c r="I36" s="6"/>
    </row>
    <row r="37" spans="1:9" ht="15.75">
      <c r="A37" s="4"/>
      <c r="B37" s="4"/>
      <c r="C37" s="4"/>
      <c r="D37" s="4" t="s">
        <v>53</v>
      </c>
      <c r="E37" s="4"/>
      <c r="F37" s="4"/>
      <c r="G37" s="5">
        <v>231397.68</v>
      </c>
      <c r="H37" s="6"/>
      <c r="I37" s="6"/>
    </row>
    <row r="38" spans="1:9" ht="15.75">
      <c r="A38" s="4"/>
      <c r="B38" s="4"/>
      <c r="C38" s="4"/>
      <c r="D38" s="4" t="s">
        <v>54</v>
      </c>
      <c r="E38" s="4"/>
      <c r="F38" s="4"/>
      <c r="G38" s="5">
        <v>59862.49</v>
      </c>
      <c r="H38" s="6"/>
      <c r="I38" s="6"/>
    </row>
    <row r="39" spans="1:9" ht="15.75">
      <c r="A39" s="4"/>
      <c r="B39" s="4"/>
      <c r="C39" s="4"/>
      <c r="D39" s="4" t="s">
        <v>55</v>
      </c>
      <c r="E39" s="4"/>
      <c r="F39" s="4"/>
      <c r="G39" s="5">
        <v>54411.17</v>
      </c>
      <c r="H39" s="6"/>
      <c r="I39" s="6"/>
    </row>
    <row r="40" spans="1:9" ht="15.75">
      <c r="A40" s="4"/>
      <c r="B40" s="4"/>
      <c r="C40" s="4"/>
      <c r="D40" s="4" t="s">
        <v>56</v>
      </c>
      <c r="E40" s="4"/>
      <c r="F40" s="4"/>
      <c r="G40" s="5">
        <v>151871</v>
      </c>
      <c r="H40" s="6"/>
      <c r="I40" s="6"/>
    </row>
    <row r="41" spans="1:9" ht="16.5" thickBot="1">
      <c r="A41" s="4"/>
      <c r="B41" s="4"/>
      <c r="C41" s="4"/>
      <c r="D41" s="4" t="s">
        <v>57</v>
      </c>
      <c r="E41" s="4"/>
      <c r="F41" s="4"/>
      <c r="G41" s="8">
        <v>3736184.64</v>
      </c>
      <c r="H41" s="6"/>
      <c r="I41" s="6"/>
    </row>
    <row r="42" spans="1:9" ht="15.75">
      <c r="A42" s="4"/>
      <c r="B42" s="4"/>
      <c r="C42" s="4" t="s">
        <v>58</v>
      </c>
      <c r="D42" s="4"/>
      <c r="E42" s="4"/>
      <c r="F42" s="4"/>
      <c r="G42" s="5">
        <f>ROUND(SUM(G35:G41),5)</f>
        <v>9875082.2200000007</v>
      </c>
      <c r="H42" s="6"/>
      <c r="I42" s="6"/>
    </row>
    <row r="43" spans="1:9" ht="15.75">
      <c r="A43" s="4"/>
      <c r="B43" s="4"/>
      <c r="C43" s="4" t="s">
        <v>59</v>
      </c>
      <c r="D43" s="4"/>
      <c r="E43" s="4"/>
      <c r="F43" s="4"/>
      <c r="G43" s="5"/>
      <c r="H43" s="6"/>
      <c r="I43" s="6"/>
    </row>
    <row r="44" spans="1:9" ht="15.75">
      <c r="A44" s="4"/>
      <c r="B44" s="4"/>
      <c r="C44" s="4"/>
      <c r="D44" s="4" t="s">
        <v>60</v>
      </c>
      <c r="E44" s="4"/>
      <c r="F44" s="4"/>
      <c r="G44" s="5">
        <v>-4998780.24</v>
      </c>
      <c r="H44" s="6"/>
      <c r="I44" s="6"/>
    </row>
    <row r="45" spans="1:9" ht="15.75">
      <c r="A45" s="4"/>
      <c r="B45" s="4"/>
      <c r="C45" s="4"/>
      <c r="D45" s="4" t="s">
        <v>61</v>
      </c>
      <c r="E45" s="4"/>
      <c r="F45" s="4"/>
      <c r="G45" s="5">
        <v>-231397.68</v>
      </c>
      <c r="H45" s="6"/>
      <c r="I45" s="6"/>
    </row>
    <row r="46" spans="1:9" ht="15.75">
      <c r="A46" s="4"/>
      <c r="B46" s="4"/>
      <c r="C46" s="4"/>
      <c r="D46" s="4" t="s">
        <v>62</v>
      </c>
      <c r="E46" s="4"/>
      <c r="F46" s="4"/>
      <c r="G46" s="5">
        <v>-59862.55</v>
      </c>
      <c r="H46" s="6"/>
      <c r="I46" s="6"/>
    </row>
    <row r="47" spans="1:9" ht="15.75">
      <c r="A47" s="4"/>
      <c r="B47" s="4"/>
      <c r="C47" s="4"/>
      <c r="D47" s="4" t="s">
        <v>63</v>
      </c>
      <c r="E47" s="4"/>
      <c r="F47" s="4"/>
      <c r="G47" s="5">
        <v>-54411.16</v>
      </c>
      <c r="H47" s="6"/>
      <c r="I47" s="6"/>
    </row>
    <row r="48" spans="1:9" ht="15.75">
      <c r="A48" s="4"/>
      <c r="B48" s="4"/>
      <c r="C48" s="4"/>
      <c r="D48" s="4" t="s">
        <v>64</v>
      </c>
      <c r="E48" s="4"/>
      <c r="F48" s="4"/>
      <c r="G48" s="5">
        <v>-145426.37</v>
      </c>
      <c r="H48" s="6"/>
      <c r="I48" s="6"/>
    </row>
    <row r="49" spans="1:9" ht="15.75">
      <c r="A49" s="4"/>
      <c r="B49" s="4"/>
      <c r="C49" s="4"/>
      <c r="D49" s="4" t="s">
        <v>65</v>
      </c>
      <c r="E49" s="4"/>
      <c r="F49" s="4"/>
      <c r="G49" s="5">
        <v>-3307254.41</v>
      </c>
      <c r="H49" s="6"/>
      <c r="I49" s="6"/>
    </row>
    <row r="50" spans="1:9" ht="16.5" thickBot="1">
      <c r="A50" s="4"/>
      <c r="B50" s="4"/>
      <c r="C50" s="4"/>
      <c r="D50" s="4" t="s">
        <v>66</v>
      </c>
      <c r="E50" s="4"/>
      <c r="F50" s="4"/>
      <c r="G50" s="8">
        <v>-37617.839999999997</v>
      </c>
      <c r="H50" s="6"/>
      <c r="I50" s="6"/>
    </row>
    <row r="51" spans="1:9" ht="15.75">
      <c r="A51" s="4"/>
      <c r="B51" s="4"/>
      <c r="C51" s="4" t="s">
        <v>67</v>
      </c>
      <c r="D51" s="4"/>
      <c r="E51" s="4"/>
      <c r="F51" s="4"/>
      <c r="G51" s="5">
        <f>ROUND(SUM(G43:G50),5)</f>
        <v>-8834750.25</v>
      </c>
      <c r="H51" s="6"/>
      <c r="I51" s="6"/>
    </row>
    <row r="52" spans="1:9" ht="15.75">
      <c r="A52" s="4"/>
      <c r="B52" s="4"/>
      <c r="C52" s="4" t="s">
        <v>68</v>
      </c>
      <c r="D52" s="4"/>
      <c r="E52" s="4"/>
      <c r="F52" s="4"/>
      <c r="G52" s="5">
        <v>-10171.89</v>
      </c>
      <c r="H52" s="6"/>
      <c r="I52" s="6"/>
    </row>
    <row r="53" spans="1:9" ht="16.5" thickBot="1">
      <c r="A53" s="4"/>
      <c r="B53" s="4"/>
      <c r="C53" s="4" t="s">
        <v>69</v>
      </c>
      <c r="D53" s="4"/>
      <c r="E53" s="4"/>
      <c r="F53" s="4"/>
      <c r="G53" s="8">
        <v>10171.89</v>
      </c>
      <c r="H53" s="6"/>
      <c r="I53" s="6"/>
    </row>
    <row r="54" spans="1:9" ht="15.75">
      <c r="A54" s="4"/>
      <c r="B54" s="4" t="s">
        <v>70</v>
      </c>
      <c r="C54" s="4"/>
      <c r="D54" s="4"/>
      <c r="E54" s="4"/>
      <c r="F54" s="4"/>
      <c r="G54" s="5">
        <f>ROUND(G34+G42+SUM(G51:G53),5)</f>
        <v>1040331.97</v>
      </c>
      <c r="H54" s="6"/>
      <c r="I54" s="6"/>
    </row>
    <row r="55" spans="1:9" ht="15.75">
      <c r="A55" s="4"/>
      <c r="B55" s="4" t="s">
        <v>71</v>
      </c>
      <c r="C55" s="4"/>
      <c r="D55" s="4"/>
      <c r="E55" s="4"/>
      <c r="F55" s="4"/>
      <c r="G55" s="5"/>
      <c r="H55" s="6"/>
      <c r="I55" s="6"/>
    </row>
    <row r="56" spans="1:9" ht="15.75">
      <c r="A56" s="4"/>
      <c r="B56" s="4"/>
      <c r="C56" s="4" t="s">
        <v>72</v>
      </c>
      <c r="D56" s="4"/>
      <c r="E56" s="4"/>
      <c r="F56" s="4"/>
      <c r="G56" s="5">
        <v>22000</v>
      </c>
      <c r="H56" s="6"/>
      <c r="I56" s="6"/>
    </row>
    <row r="57" spans="1:9" ht="16.5" thickBot="1">
      <c r="A57" s="4"/>
      <c r="B57" s="4"/>
      <c r="C57" s="4" t="s">
        <v>73</v>
      </c>
      <c r="D57" s="4"/>
      <c r="E57" s="4"/>
      <c r="F57" s="4"/>
      <c r="G57" s="5">
        <v>46285.34</v>
      </c>
      <c r="H57" s="6"/>
      <c r="I57" s="6"/>
    </row>
    <row r="58" spans="1:9" ht="16.5" thickBot="1">
      <c r="A58" s="4"/>
      <c r="B58" s="4" t="s">
        <v>74</v>
      </c>
      <c r="C58" s="4"/>
      <c r="D58" s="4"/>
      <c r="E58" s="4"/>
      <c r="F58" s="4"/>
      <c r="G58" s="9">
        <f>ROUND(SUM(G55:G57),5)</f>
        <v>68285.34</v>
      </c>
      <c r="H58" s="6"/>
      <c r="I58" s="6"/>
    </row>
    <row r="59" spans="1:9" ht="16.5" thickBot="1">
      <c r="A59" s="4" t="s">
        <v>75</v>
      </c>
      <c r="B59" s="4"/>
      <c r="C59" s="4"/>
      <c r="D59" s="4"/>
      <c r="E59" s="4"/>
      <c r="F59" s="4"/>
      <c r="G59" s="10">
        <f>ROUND(G2+G33+G54+G58,5)</f>
        <v>2752418.4</v>
      </c>
      <c r="H59" s="11"/>
      <c r="I59" s="11"/>
    </row>
    <row r="60" spans="1:9" ht="16.5" thickTop="1">
      <c r="A60" s="4" t="s">
        <v>76</v>
      </c>
      <c r="B60" s="4"/>
      <c r="C60" s="4"/>
      <c r="D60" s="4"/>
      <c r="E60" s="4"/>
      <c r="F60" s="4"/>
      <c r="G60" s="5"/>
      <c r="H60" s="6"/>
      <c r="I60" s="6"/>
    </row>
    <row r="61" spans="1:9" ht="15.75">
      <c r="A61" s="4"/>
      <c r="B61" s="4" t="s">
        <v>77</v>
      </c>
      <c r="C61" s="4"/>
      <c r="D61" s="4"/>
      <c r="E61" s="4"/>
      <c r="F61" s="4"/>
      <c r="G61" s="5"/>
      <c r="H61" s="6"/>
      <c r="I61" s="6"/>
    </row>
    <row r="62" spans="1:9" ht="15.75">
      <c r="A62" s="4"/>
      <c r="B62" s="4"/>
      <c r="C62" s="4" t="s">
        <v>78</v>
      </c>
      <c r="D62" s="4"/>
      <c r="E62" s="4"/>
      <c r="F62" s="4"/>
      <c r="G62" s="5"/>
      <c r="H62" s="6"/>
      <c r="I62" s="6"/>
    </row>
    <row r="63" spans="1:9" ht="15.75">
      <c r="A63" s="4"/>
      <c r="B63" s="4"/>
      <c r="C63" s="4"/>
      <c r="D63" s="4" t="s">
        <v>79</v>
      </c>
      <c r="E63" s="4"/>
      <c r="F63" s="4"/>
      <c r="G63" s="5"/>
      <c r="H63" s="6"/>
      <c r="I63" s="6"/>
    </row>
    <row r="64" spans="1:9" ht="16.5" thickBot="1">
      <c r="A64" s="4"/>
      <c r="B64" s="4"/>
      <c r="C64" s="4"/>
      <c r="D64" s="4"/>
      <c r="E64" s="4" t="s">
        <v>80</v>
      </c>
      <c r="F64" s="4"/>
      <c r="G64" s="8">
        <v>1251204.8600000001</v>
      </c>
      <c r="H64" s="6"/>
      <c r="I64" s="6"/>
    </row>
    <row r="65" spans="1:9" ht="15.75">
      <c r="A65" s="4"/>
      <c r="B65" s="4"/>
      <c r="C65" s="4"/>
      <c r="D65" s="4" t="s">
        <v>81</v>
      </c>
      <c r="E65" s="4"/>
      <c r="F65" s="4"/>
      <c r="G65" s="5">
        <f>ROUND(SUM(G63:G64),5)</f>
        <v>1251204.8600000001</v>
      </c>
      <c r="H65" s="6"/>
      <c r="I65" s="6"/>
    </row>
    <row r="66" spans="1:9" ht="15.75">
      <c r="A66" s="4"/>
      <c r="B66" s="4"/>
      <c r="C66" s="4"/>
      <c r="D66" s="4" t="s">
        <v>82</v>
      </c>
      <c r="E66" s="4"/>
      <c r="F66" s="4"/>
      <c r="G66" s="5"/>
      <c r="H66" s="6"/>
      <c r="I66" s="6"/>
    </row>
    <row r="67" spans="1:9" ht="15.75">
      <c r="A67" s="4"/>
      <c r="B67" s="4"/>
      <c r="C67" s="4"/>
      <c r="D67" s="4"/>
      <c r="E67" s="4" t="s">
        <v>83</v>
      </c>
      <c r="F67" s="4"/>
      <c r="G67" s="5"/>
      <c r="H67" s="6"/>
      <c r="I67" s="6"/>
    </row>
    <row r="68" spans="1:9" ht="15.75">
      <c r="A68" s="4"/>
      <c r="B68" s="4"/>
      <c r="C68" s="4"/>
      <c r="D68" s="4"/>
      <c r="E68" s="4" t="s">
        <v>84</v>
      </c>
      <c r="F68" s="12"/>
      <c r="G68" s="5">
        <v>39.99</v>
      </c>
      <c r="H68" s="6"/>
      <c r="I68" s="6"/>
    </row>
    <row r="69" spans="1:9" ht="15.75">
      <c r="A69" s="4"/>
      <c r="B69" s="4"/>
      <c r="C69" s="4"/>
      <c r="D69" s="4"/>
      <c r="E69" s="4" t="s">
        <v>85</v>
      </c>
      <c r="F69" s="12"/>
      <c r="G69" s="5">
        <v>861.76</v>
      </c>
      <c r="H69" s="6"/>
      <c r="I69" s="6"/>
    </row>
    <row r="70" spans="1:9" ht="16.5" thickBot="1">
      <c r="A70" s="4"/>
      <c r="B70" s="4"/>
      <c r="C70" s="4"/>
      <c r="D70" s="4"/>
      <c r="E70" s="4" t="s">
        <v>86</v>
      </c>
      <c r="F70" s="12"/>
      <c r="G70" s="5">
        <v>3878.83</v>
      </c>
      <c r="H70" s="6"/>
      <c r="I70" s="6"/>
    </row>
    <row r="71" spans="1:9" ht="16.5" thickBot="1">
      <c r="A71" s="4"/>
      <c r="B71" s="4"/>
      <c r="C71" s="4"/>
      <c r="D71" s="4"/>
      <c r="E71" s="4" t="s">
        <v>87</v>
      </c>
      <c r="F71" s="4"/>
      <c r="G71" s="7">
        <f>ROUND(SUM(G67:G70),5)</f>
        <v>4780.58</v>
      </c>
      <c r="H71" s="6"/>
      <c r="I71" s="6"/>
    </row>
    <row r="72" spans="1:9" ht="15.75">
      <c r="A72" s="4"/>
      <c r="B72" s="4"/>
      <c r="C72" s="4"/>
      <c r="D72" s="4" t="s">
        <v>88</v>
      </c>
      <c r="E72" s="4"/>
      <c r="F72" s="4"/>
      <c r="G72" s="5">
        <f>ROUND(G66+G71,5)</f>
        <v>4780.58</v>
      </c>
      <c r="H72" s="6"/>
      <c r="I72" s="6"/>
    </row>
    <row r="73" spans="1:9" ht="15.75">
      <c r="A73" s="4"/>
      <c r="B73" s="4"/>
      <c r="C73" s="4"/>
      <c r="D73" s="4" t="s">
        <v>89</v>
      </c>
      <c r="E73" s="4"/>
      <c r="F73" s="4"/>
      <c r="G73" s="5"/>
      <c r="H73" s="6"/>
      <c r="I73" s="6"/>
    </row>
    <row r="74" spans="1:9" ht="15.75">
      <c r="A74" s="4"/>
      <c r="B74" s="4"/>
      <c r="C74" s="4"/>
      <c r="D74" s="4"/>
      <c r="E74" s="4" t="s">
        <v>90</v>
      </c>
      <c r="F74" s="4"/>
      <c r="G74" s="5"/>
      <c r="H74" s="6"/>
      <c r="I74" s="6"/>
    </row>
    <row r="75" spans="1:9" ht="15.75">
      <c r="A75" s="4"/>
      <c r="B75" s="4"/>
      <c r="C75" s="4"/>
      <c r="D75" s="4"/>
      <c r="E75" s="4" t="s">
        <v>91</v>
      </c>
      <c r="F75" s="12"/>
      <c r="G75" s="5">
        <v>359.32</v>
      </c>
      <c r="H75" s="6"/>
      <c r="I75" s="6"/>
    </row>
    <row r="76" spans="1:9" ht="16.5" thickBot="1">
      <c r="A76" s="4"/>
      <c r="B76" s="4"/>
      <c r="C76" s="4"/>
      <c r="D76" s="4"/>
      <c r="E76" s="4" t="s">
        <v>92</v>
      </c>
      <c r="F76" s="12"/>
      <c r="G76" s="8">
        <v>27</v>
      </c>
      <c r="H76" s="6"/>
      <c r="I76" s="6"/>
    </row>
    <row r="77" spans="1:9" ht="15.75">
      <c r="A77" s="4"/>
      <c r="B77" s="4"/>
      <c r="C77" s="4"/>
      <c r="D77" s="4"/>
      <c r="E77" s="4" t="s">
        <v>93</v>
      </c>
      <c r="F77" s="4"/>
      <c r="G77" s="5">
        <f>ROUND(SUM(G74:G76),5)</f>
        <v>386.32</v>
      </c>
      <c r="H77" s="6"/>
      <c r="I77" s="6"/>
    </row>
    <row r="78" spans="1:9" ht="15.75">
      <c r="A78" s="4"/>
      <c r="B78" s="4"/>
      <c r="C78" s="4"/>
      <c r="D78" s="4"/>
      <c r="E78" s="4" t="s">
        <v>94</v>
      </c>
      <c r="F78" s="4"/>
      <c r="G78" s="5">
        <v>41722.71</v>
      </c>
      <c r="H78" s="6"/>
      <c r="I78" s="6"/>
    </row>
    <row r="79" spans="1:9" ht="15.75">
      <c r="A79" s="4"/>
      <c r="B79" s="4"/>
      <c r="C79" s="4"/>
      <c r="D79" s="4"/>
      <c r="E79" s="4" t="s">
        <v>95</v>
      </c>
      <c r="F79" s="4"/>
      <c r="G79" s="5">
        <v>110962.14</v>
      </c>
      <c r="H79" s="6"/>
      <c r="I79" s="6"/>
    </row>
    <row r="80" spans="1:9" ht="15.75">
      <c r="A80" s="4"/>
      <c r="B80" s="4"/>
      <c r="C80" s="4"/>
      <c r="D80" s="4"/>
      <c r="E80" s="4" t="s">
        <v>96</v>
      </c>
      <c r="F80" s="4"/>
      <c r="G80" s="5">
        <v>93050.98</v>
      </c>
      <c r="H80" s="6"/>
      <c r="I80" s="6"/>
    </row>
    <row r="81" spans="1:9" ht="15.75">
      <c r="A81" s="4"/>
      <c r="B81" s="4"/>
      <c r="C81" s="4"/>
      <c r="D81" s="4"/>
      <c r="E81" s="4" t="s">
        <v>97</v>
      </c>
      <c r="F81" s="4"/>
      <c r="G81" s="5">
        <v>3142</v>
      </c>
      <c r="H81" s="6"/>
      <c r="I81" s="6"/>
    </row>
    <row r="82" spans="1:9" ht="15.75">
      <c r="A82" s="4"/>
      <c r="B82" s="4"/>
      <c r="C82" s="4"/>
      <c r="D82" s="4"/>
      <c r="E82" s="4" t="s">
        <v>98</v>
      </c>
      <c r="F82" s="4"/>
      <c r="G82" s="5">
        <v>58243.08</v>
      </c>
      <c r="H82" s="6"/>
      <c r="I82" s="6"/>
    </row>
    <row r="83" spans="1:9" ht="15.75">
      <c r="A83" s="4"/>
      <c r="B83" s="4"/>
      <c r="C83" s="4"/>
      <c r="D83" s="4"/>
      <c r="E83" s="4" t="s">
        <v>99</v>
      </c>
      <c r="F83" s="4"/>
      <c r="G83" s="5">
        <v>79506.259999999995</v>
      </c>
      <c r="H83" s="6"/>
      <c r="I83" s="6"/>
    </row>
    <row r="84" spans="1:9" ht="16.5" thickBot="1">
      <c r="A84" s="4"/>
      <c r="B84" s="4"/>
      <c r="C84" s="4"/>
      <c r="D84" s="4"/>
      <c r="E84" s="4" t="s">
        <v>100</v>
      </c>
      <c r="F84" s="4"/>
      <c r="G84" s="5">
        <v>3359.03</v>
      </c>
      <c r="H84" s="6"/>
      <c r="I84" s="6"/>
    </row>
    <row r="85" spans="1:9" ht="16.5" thickBot="1">
      <c r="A85" s="4"/>
      <c r="B85" s="4"/>
      <c r="C85" s="4"/>
      <c r="D85" s="4" t="s">
        <v>101</v>
      </c>
      <c r="E85" s="4"/>
      <c r="F85" s="4"/>
      <c r="G85" s="7">
        <f>ROUND(G73+SUM(G77:G84),5)</f>
        <v>390372.52</v>
      </c>
      <c r="H85" s="6"/>
      <c r="I85" s="6"/>
    </row>
    <row r="86" spans="1:9" ht="15.75">
      <c r="A86" s="4"/>
      <c r="B86" s="4"/>
      <c r="C86" s="4" t="s">
        <v>102</v>
      </c>
      <c r="D86" s="4"/>
      <c r="E86" s="4"/>
      <c r="F86" s="4"/>
      <c r="G86" s="5">
        <f>ROUND(G62+G65+G72+G85,5)</f>
        <v>1646357.96</v>
      </c>
      <c r="H86" s="6"/>
      <c r="I86" s="6"/>
    </row>
    <row r="87" spans="1:9" ht="15.75">
      <c r="A87" s="4"/>
      <c r="B87" s="4"/>
      <c r="C87" s="4" t="s">
        <v>103</v>
      </c>
      <c r="D87" s="4"/>
      <c r="E87" s="4"/>
      <c r="F87" s="4"/>
      <c r="G87" s="5"/>
      <c r="H87" s="6"/>
      <c r="I87" s="6"/>
    </row>
    <row r="88" spans="1:9" ht="16.5" thickBot="1">
      <c r="A88" s="4"/>
      <c r="B88" s="4"/>
      <c r="C88" s="4"/>
      <c r="D88" s="4" t="s">
        <v>104</v>
      </c>
      <c r="E88" s="4"/>
      <c r="F88" s="4"/>
      <c r="G88" s="5">
        <v>324177.28999999998</v>
      </c>
      <c r="H88" s="13"/>
      <c r="I88" s="14"/>
    </row>
    <row r="89" spans="1:9" ht="16.5" thickBot="1">
      <c r="A89" s="4"/>
      <c r="B89" s="4"/>
      <c r="C89" s="4" t="s">
        <v>105</v>
      </c>
      <c r="D89" s="4"/>
      <c r="E89" s="4"/>
      <c r="F89" s="4"/>
      <c r="G89" s="7">
        <f>ROUND(SUM(G87:G88),5)</f>
        <v>324177.28999999998</v>
      </c>
      <c r="H89" s="6"/>
      <c r="I89" s="14"/>
    </row>
    <row r="90" spans="1:9" ht="15.75">
      <c r="A90" s="4"/>
      <c r="B90" s="4" t="s">
        <v>106</v>
      </c>
      <c r="C90" s="4"/>
      <c r="D90" s="4"/>
      <c r="E90" s="4"/>
      <c r="F90" s="4"/>
      <c r="G90" s="5">
        <f>ROUND(G61+G86+G89,5)</f>
        <v>1970535.25</v>
      </c>
      <c r="H90" s="13">
        <f>+G88</f>
        <v>324177.28999999998</v>
      </c>
      <c r="I90" s="14">
        <f>+H90/H98</f>
        <v>0.29309184044228181</v>
      </c>
    </row>
    <row r="91" spans="1:9" ht="15.75">
      <c r="A91" s="4"/>
      <c r="B91" s="4" t="s">
        <v>107</v>
      </c>
      <c r="C91" s="4"/>
      <c r="D91" s="4"/>
      <c r="E91" s="4"/>
      <c r="F91" s="4"/>
      <c r="G91" s="5"/>
      <c r="H91" s="6"/>
      <c r="I91" s="14"/>
    </row>
    <row r="92" spans="1:9" ht="15.75">
      <c r="A92" s="4"/>
      <c r="B92" s="4"/>
      <c r="C92" s="4" t="s">
        <v>108</v>
      </c>
      <c r="D92" s="4"/>
      <c r="E92" s="4"/>
      <c r="F92" s="4"/>
      <c r="G92" s="5">
        <v>26000</v>
      </c>
      <c r="H92" s="6"/>
      <c r="I92" s="14"/>
    </row>
    <row r="93" spans="1:9" ht="15.75">
      <c r="A93" s="4"/>
      <c r="B93" s="4"/>
      <c r="C93" s="4" t="s">
        <v>109</v>
      </c>
      <c r="D93" s="4"/>
      <c r="E93" s="4"/>
      <c r="F93" s="4"/>
      <c r="G93" s="5">
        <v>-2053668</v>
      </c>
      <c r="H93" s="6"/>
      <c r="I93" s="14"/>
    </row>
    <row r="94" spans="1:9" ht="15.75">
      <c r="A94" s="4"/>
      <c r="B94" s="4"/>
      <c r="C94" s="4" t="s">
        <v>110</v>
      </c>
      <c r="D94" s="4"/>
      <c r="E94" s="4"/>
      <c r="F94" s="4"/>
      <c r="G94" s="5">
        <v>-192000</v>
      </c>
      <c r="H94" s="6"/>
      <c r="I94" s="14"/>
    </row>
    <row r="95" spans="1:9" ht="15.75">
      <c r="A95" s="4"/>
      <c r="B95" s="4"/>
      <c r="C95" s="4" t="s">
        <v>111</v>
      </c>
      <c r="D95" s="4"/>
      <c r="E95" s="4"/>
      <c r="F95" s="4"/>
      <c r="G95" s="5">
        <v>3113810.87</v>
      </c>
      <c r="H95" s="6"/>
      <c r="I95" s="14"/>
    </row>
    <row r="96" spans="1:9" ht="16.5" thickBot="1">
      <c r="A96" s="4"/>
      <c r="B96" s="4"/>
      <c r="C96" s="4" t="s">
        <v>112</v>
      </c>
      <c r="D96" s="4"/>
      <c r="E96" s="4"/>
      <c r="F96" s="4"/>
      <c r="G96" s="5">
        <v>-112259.72</v>
      </c>
      <c r="H96" s="6"/>
      <c r="I96" s="14"/>
    </row>
    <row r="97" spans="1:9" ht="16.5" thickBot="1">
      <c r="A97" s="4"/>
      <c r="B97" s="4" t="s">
        <v>113</v>
      </c>
      <c r="C97" s="4"/>
      <c r="D97" s="4"/>
      <c r="E97" s="4"/>
      <c r="F97" s="4"/>
      <c r="G97" s="9">
        <f>ROUND(SUM(G91:G96),5)</f>
        <v>781883.15</v>
      </c>
      <c r="H97" s="13">
        <f>+G97</f>
        <v>781883.15</v>
      </c>
      <c r="I97" s="14">
        <f>+H97/H98</f>
        <v>0.70690815955771824</v>
      </c>
    </row>
    <row r="98" spans="1:9" ht="16.5" thickBot="1">
      <c r="A98" s="4" t="s">
        <v>114</v>
      </c>
      <c r="B98" s="4"/>
      <c r="C98" s="4"/>
      <c r="D98" s="4"/>
      <c r="E98" s="4"/>
      <c r="F98" s="4"/>
      <c r="G98" s="10">
        <f>ROUND(G60+G90+G97,5)</f>
        <v>2752418.4</v>
      </c>
      <c r="H98" s="15">
        <f>SUM(H88:H97)</f>
        <v>1106060.44</v>
      </c>
      <c r="I98" s="16"/>
    </row>
    <row r="99" spans="1:9" ht="15.75" thickTop="1"/>
  </sheetData>
  <pageMargins left="0.7" right="0.7" top="0.75" bottom="0.75" header="0.3" footer="0.3"/>
  <pageSetup orientation="portrait" r:id="rId1"/>
  <headerFooter>
    <oddHeader>&amp;L9:44 AM
 03/26/19
 Accrual Basis&amp;C Rubatino Refuse Removal Inc.
 Balance Sheet
 As of December 31, 2018</oddHeader>
    <oddFooter>&amp;L&amp;D&amp;C&amp;A&amp;R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E41D2-1603-406E-92FA-F7740986A520}">
  <dimension ref="A1:AK290"/>
  <sheetViews>
    <sheetView workbookViewId="0">
      <selection activeCell="AD237" sqref="AD237"/>
    </sheetView>
  </sheetViews>
  <sheetFormatPr defaultRowHeight="15"/>
  <cols>
    <col min="1" max="3" width="2.33203125" customWidth="1"/>
    <col min="4" max="4" width="36.6640625" customWidth="1"/>
    <col min="5" max="5" width="8.77734375" bestFit="1" customWidth="1"/>
    <col min="6" max="6" width="1.77734375" customWidth="1"/>
    <col min="7" max="7" width="8.77734375" bestFit="1" customWidth="1"/>
    <col min="8" max="8" width="1.77734375" customWidth="1"/>
    <col min="9" max="9" width="8.77734375" bestFit="1" customWidth="1"/>
    <col min="10" max="10" width="1.77734375" customWidth="1"/>
    <col min="11" max="11" width="8.77734375" bestFit="1" customWidth="1"/>
    <col min="12" max="12" width="1.77734375" customWidth="1"/>
    <col min="13" max="13" width="8.77734375" bestFit="1" customWidth="1"/>
    <col min="14" max="14" width="1.77734375" customWidth="1"/>
    <col min="15" max="15" width="8.77734375" bestFit="1" customWidth="1"/>
    <col min="16" max="16" width="1.77734375" customWidth="1"/>
    <col min="17" max="17" width="8.77734375" bestFit="1" customWidth="1"/>
    <col min="18" max="18" width="1.77734375" customWidth="1"/>
    <col min="19" max="19" width="8.77734375" bestFit="1" customWidth="1"/>
    <col min="20" max="20" width="1.77734375" customWidth="1"/>
    <col min="21" max="21" width="8.77734375" bestFit="1" customWidth="1"/>
    <col min="22" max="22" width="1.77734375" customWidth="1"/>
    <col min="23" max="23" width="8.77734375" bestFit="1" customWidth="1"/>
    <col min="24" max="24" width="1.77734375" customWidth="1"/>
    <col min="25" max="25" width="8.77734375" bestFit="1" customWidth="1"/>
    <col min="26" max="26" width="1.77734375" customWidth="1"/>
    <col min="27" max="27" width="10.109375" customWidth="1"/>
    <col min="28" max="28" width="1.77734375" customWidth="1"/>
    <col min="29" max="29" width="12.21875" customWidth="1"/>
    <col min="30" max="30" width="12.44140625" bestFit="1" customWidth="1"/>
    <col min="32" max="34" width="11.33203125" bestFit="1" customWidth="1"/>
    <col min="35" max="36" width="9.88671875" bestFit="1" customWidth="1"/>
  </cols>
  <sheetData>
    <row r="1" spans="1:37" ht="15.75" thickBot="1">
      <c r="A1" s="673"/>
      <c r="B1" s="673"/>
      <c r="C1" s="673"/>
      <c r="D1" s="673"/>
      <c r="E1" s="674" t="s">
        <v>115</v>
      </c>
      <c r="F1" s="675"/>
      <c r="G1" s="674" t="s">
        <v>116</v>
      </c>
      <c r="H1" s="675"/>
      <c r="I1" s="674" t="s">
        <v>117</v>
      </c>
      <c r="J1" s="675"/>
      <c r="K1" s="674" t="s">
        <v>118</v>
      </c>
      <c r="L1" s="675"/>
      <c r="M1" s="674" t="s">
        <v>119</v>
      </c>
      <c r="N1" s="675"/>
      <c r="O1" s="674" t="s">
        <v>120</v>
      </c>
      <c r="P1" s="675"/>
      <c r="Q1" s="674" t="s">
        <v>121</v>
      </c>
      <c r="R1" s="675"/>
      <c r="S1" s="674" t="s">
        <v>122</v>
      </c>
      <c r="T1" s="675"/>
      <c r="U1" s="674" t="s">
        <v>123</v>
      </c>
      <c r="V1" s="675"/>
      <c r="W1" s="674" t="s">
        <v>124</v>
      </c>
      <c r="X1" s="675"/>
      <c r="Y1" s="674" t="s">
        <v>125</v>
      </c>
      <c r="Z1" s="675"/>
      <c r="AA1" s="674" t="s">
        <v>126</v>
      </c>
      <c r="AB1" s="675"/>
      <c r="AC1" s="674" t="s">
        <v>127</v>
      </c>
      <c r="AD1" s="672"/>
      <c r="AE1" s="672"/>
      <c r="AF1" s="672"/>
      <c r="AG1" s="672"/>
      <c r="AH1" s="672"/>
      <c r="AI1" s="672"/>
      <c r="AJ1" s="672"/>
      <c r="AK1" s="672"/>
    </row>
    <row r="2" spans="1:37" ht="15.75" thickTop="1">
      <c r="A2" s="676" t="s">
        <v>128</v>
      </c>
      <c r="B2" s="676"/>
      <c r="C2" s="676"/>
      <c r="D2" s="676"/>
      <c r="E2" s="677"/>
      <c r="F2" s="678"/>
      <c r="G2" s="677"/>
      <c r="H2" s="678"/>
      <c r="I2" s="677"/>
      <c r="J2" s="678"/>
      <c r="K2" s="677"/>
      <c r="L2" s="678"/>
      <c r="M2" s="677"/>
      <c r="N2" s="678"/>
      <c r="O2" s="677"/>
      <c r="P2" s="678"/>
      <c r="Q2" s="677"/>
      <c r="R2" s="678"/>
      <c r="S2" s="677"/>
      <c r="T2" s="678"/>
      <c r="U2" s="677"/>
      <c r="V2" s="678"/>
      <c r="W2" s="677"/>
      <c r="X2" s="678"/>
      <c r="Y2" s="677"/>
      <c r="Z2" s="678"/>
      <c r="AA2" s="677"/>
      <c r="AB2" s="678"/>
      <c r="AC2" s="677"/>
      <c r="AD2" s="672"/>
      <c r="AE2" s="672"/>
      <c r="AF2" s="672"/>
      <c r="AG2" s="672"/>
      <c r="AH2" s="672"/>
      <c r="AI2" s="672"/>
      <c r="AJ2" s="672"/>
      <c r="AK2" s="672"/>
    </row>
    <row r="3" spans="1:37">
      <c r="A3" s="676" t="s">
        <v>129</v>
      </c>
      <c r="B3" s="676"/>
      <c r="C3" s="676"/>
      <c r="D3" s="676"/>
      <c r="E3" s="677"/>
      <c r="F3" s="678"/>
      <c r="G3" s="677"/>
      <c r="H3" s="678"/>
      <c r="I3" s="677"/>
      <c r="J3" s="678"/>
      <c r="K3" s="677"/>
      <c r="L3" s="678"/>
      <c r="M3" s="677"/>
      <c r="N3" s="678"/>
      <c r="O3" s="677"/>
      <c r="P3" s="678"/>
      <c r="Q3" s="677"/>
      <c r="R3" s="678"/>
      <c r="S3" s="677"/>
      <c r="T3" s="678"/>
      <c r="U3" s="677"/>
      <c r="V3" s="678"/>
      <c r="W3" s="677"/>
      <c r="X3" s="678"/>
      <c r="Y3" s="677"/>
      <c r="Z3" s="678"/>
      <c r="AA3" s="677"/>
      <c r="AB3" s="678"/>
      <c r="AC3" s="677"/>
      <c r="AD3" s="672"/>
      <c r="AE3" s="672"/>
      <c r="AF3" s="672"/>
      <c r="AG3" s="672"/>
      <c r="AH3" s="672"/>
      <c r="AI3" s="672"/>
      <c r="AJ3" s="672"/>
      <c r="AK3" s="672"/>
    </row>
    <row r="4" spans="1:37">
      <c r="A4" s="676"/>
      <c r="B4" s="676" t="s">
        <v>130</v>
      </c>
      <c r="C4" s="676"/>
      <c r="D4" s="676"/>
      <c r="E4" s="677"/>
      <c r="F4" s="678"/>
      <c r="G4" s="677"/>
      <c r="H4" s="678"/>
      <c r="I4" s="677"/>
      <c r="J4" s="678"/>
      <c r="K4" s="677"/>
      <c r="L4" s="678"/>
      <c r="M4" s="677"/>
      <c r="N4" s="678"/>
      <c r="O4" s="677"/>
      <c r="P4" s="678"/>
      <c r="Q4" s="677"/>
      <c r="R4" s="678"/>
      <c r="S4" s="677"/>
      <c r="T4" s="678"/>
      <c r="U4" s="677"/>
      <c r="V4" s="678"/>
      <c r="W4" s="677"/>
      <c r="X4" s="678"/>
      <c r="Y4" s="677"/>
      <c r="Z4" s="678"/>
      <c r="AA4" s="677"/>
      <c r="AB4" s="678"/>
      <c r="AC4" s="677"/>
      <c r="AD4" s="672"/>
      <c r="AE4" s="672"/>
      <c r="AF4" s="672"/>
      <c r="AG4" s="672"/>
      <c r="AH4" s="672"/>
      <c r="AI4" s="672"/>
      <c r="AJ4" s="672"/>
      <c r="AK4" s="672"/>
    </row>
    <row r="5" spans="1:37">
      <c r="A5" s="676"/>
      <c r="B5" s="676"/>
      <c r="C5" s="676" t="s">
        <v>131</v>
      </c>
      <c r="D5" s="676"/>
      <c r="E5" s="677">
        <v>300135.88</v>
      </c>
      <c r="F5" s="678"/>
      <c r="G5" s="677">
        <v>286701.33</v>
      </c>
      <c r="H5" s="678"/>
      <c r="I5" s="677">
        <v>328606.69</v>
      </c>
      <c r="J5" s="678"/>
      <c r="K5" s="677">
        <v>292679.5</v>
      </c>
      <c r="L5" s="678"/>
      <c r="M5" s="677">
        <v>306490.55</v>
      </c>
      <c r="N5" s="678"/>
      <c r="O5" s="677">
        <v>316511.24</v>
      </c>
      <c r="P5" s="678"/>
      <c r="Q5" s="677">
        <v>384585.71</v>
      </c>
      <c r="R5" s="678"/>
      <c r="S5" s="677">
        <v>428416.48</v>
      </c>
      <c r="T5" s="678"/>
      <c r="U5" s="677">
        <v>402431.24</v>
      </c>
      <c r="V5" s="678"/>
      <c r="W5" s="677">
        <v>472057.29</v>
      </c>
      <c r="X5" s="678"/>
      <c r="Y5" s="677">
        <v>426409.41</v>
      </c>
      <c r="Z5" s="678"/>
      <c r="AA5" s="677">
        <v>411679.55</v>
      </c>
      <c r="AB5" s="678"/>
      <c r="AC5" s="677">
        <f t="shared" ref="AC5:AC14" si="0">ROUND(SUM(E5:AA5),5)</f>
        <v>4356704.87</v>
      </c>
      <c r="AD5" s="672"/>
      <c r="AE5" s="672"/>
      <c r="AF5" s="679"/>
      <c r="AG5" s="672"/>
      <c r="AH5" s="672"/>
      <c r="AI5" s="672"/>
      <c r="AJ5" s="672"/>
      <c r="AK5" s="672"/>
    </row>
    <row r="6" spans="1:37">
      <c r="A6" s="676"/>
      <c r="B6" s="676"/>
      <c r="C6" s="676" t="s">
        <v>132</v>
      </c>
      <c r="D6" s="676"/>
      <c r="E6" s="677">
        <v>622493.48</v>
      </c>
      <c r="F6" s="678"/>
      <c r="G6" s="677">
        <v>509358.19</v>
      </c>
      <c r="H6" s="678"/>
      <c r="I6" s="677">
        <v>609790.81999999995</v>
      </c>
      <c r="J6" s="678"/>
      <c r="K6" s="677">
        <v>589926.14</v>
      </c>
      <c r="L6" s="678"/>
      <c r="M6" s="677">
        <v>605671.44999999995</v>
      </c>
      <c r="N6" s="678"/>
      <c r="O6" s="677">
        <v>562585.92000000004</v>
      </c>
      <c r="P6" s="678"/>
      <c r="Q6" s="677">
        <v>574944.55000000005</v>
      </c>
      <c r="R6" s="678"/>
      <c r="S6" s="677">
        <v>601559.61</v>
      </c>
      <c r="T6" s="678"/>
      <c r="U6" s="677">
        <v>559166.34</v>
      </c>
      <c r="V6" s="678"/>
      <c r="W6" s="677">
        <v>602861.72</v>
      </c>
      <c r="X6" s="678"/>
      <c r="Y6" s="677">
        <v>533214.56999999995</v>
      </c>
      <c r="Z6" s="678"/>
      <c r="AA6" s="677">
        <v>538843.30000000005</v>
      </c>
      <c r="AB6" s="678"/>
      <c r="AC6" s="677">
        <f t="shared" si="0"/>
        <v>6910416.0899999999</v>
      </c>
      <c r="AD6" s="672"/>
      <c r="AE6" s="672"/>
      <c r="AF6" s="679"/>
      <c r="AG6" s="672"/>
      <c r="AH6" s="672"/>
      <c r="AI6" s="672"/>
      <c r="AJ6" s="672"/>
      <c r="AK6" s="672"/>
    </row>
    <row r="7" spans="1:37">
      <c r="A7" s="676"/>
      <c r="B7" s="676"/>
      <c r="C7" s="676" t="s">
        <v>133</v>
      </c>
      <c r="D7" s="676"/>
      <c r="E7" s="677">
        <v>490476.96</v>
      </c>
      <c r="F7" s="678"/>
      <c r="G7" s="677">
        <v>451366.34</v>
      </c>
      <c r="H7" s="678"/>
      <c r="I7" s="677">
        <v>467349.91</v>
      </c>
      <c r="J7" s="678"/>
      <c r="K7" s="677">
        <v>511704.58</v>
      </c>
      <c r="L7" s="678"/>
      <c r="M7" s="677">
        <v>472719.14</v>
      </c>
      <c r="N7" s="678"/>
      <c r="O7" s="677">
        <v>502599.6</v>
      </c>
      <c r="P7" s="678"/>
      <c r="Q7" s="677">
        <v>503830.48</v>
      </c>
      <c r="R7" s="678"/>
      <c r="S7" s="677">
        <v>525375.56999999995</v>
      </c>
      <c r="T7" s="678"/>
      <c r="U7" s="677">
        <v>517976.01</v>
      </c>
      <c r="V7" s="678"/>
      <c r="W7" s="677">
        <v>540262.68999999994</v>
      </c>
      <c r="X7" s="678"/>
      <c r="Y7" s="677">
        <v>553696.02</v>
      </c>
      <c r="Z7" s="678"/>
      <c r="AA7" s="677">
        <v>420576.49</v>
      </c>
      <c r="AB7" s="678"/>
      <c r="AC7" s="677">
        <f t="shared" si="0"/>
        <v>5957933.79</v>
      </c>
      <c r="AD7" s="672"/>
      <c r="AE7" s="672"/>
      <c r="AF7" s="679"/>
      <c r="AG7" s="672"/>
      <c r="AH7" s="672"/>
      <c r="AI7" s="672"/>
      <c r="AJ7" s="672"/>
      <c r="AK7" s="672"/>
    </row>
    <row r="8" spans="1:37">
      <c r="A8" s="676"/>
      <c r="B8" s="676"/>
      <c r="C8" s="676" t="s">
        <v>134</v>
      </c>
      <c r="D8" s="676"/>
      <c r="E8" s="677">
        <v>120379.95</v>
      </c>
      <c r="F8" s="678"/>
      <c r="G8" s="677">
        <v>93409.96</v>
      </c>
      <c r="H8" s="678"/>
      <c r="I8" s="677">
        <v>110385.21</v>
      </c>
      <c r="J8" s="678"/>
      <c r="K8" s="677">
        <v>102962.4</v>
      </c>
      <c r="L8" s="678"/>
      <c r="M8" s="677">
        <v>110472.81</v>
      </c>
      <c r="N8" s="678"/>
      <c r="O8" s="677">
        <v>110886.01</v>
      </c>
      <c r="P8" s="678"/>
      <c r="Q8" s="677">
        <v>80959.600000000006</v>
      </c>
      <c r="R8" s="678"/>
      <c r="S8" s="677">
        <v>90820.27</v>
      </c>
      <c r="T8" s="678"/>
      <c r="U8" s="677">
        <v>84656.63</v>
      </c>
      <c r="V8" s="678"/>
      <c r="W8" s="677">
        <v>99461.33</v>
      </c>
      <c r="X8" s="678"/>
      <c r="Y8" s="677">
        <v>88365.43</v>
      </c>
      <c r="Z8" s="678"/>
      <c r="AA8" s="677">
        <v>88468.32</v>
      </c>
      <c r="AB8" s="678"/>
      <c r="AC8" s="677">
        <f t="shared" si="0"/>
        <v>1181227.92</v>
      </c>
      <c r="AD8" s="672"/>
      <c r="AE8" s="672"/>
      <c r="AF8" s="672"/>
      <c r="AG8" s="672"/>
      <c r="AH8" s="679"/>
      <c r="AI8" s="672"/>
      <c r="AJ8" s="672"/>
      <c r="AK8" s="672"/>
    </row>
    <row r="9" spans="1:37">
      <c r="A9" s="676"/>
      <c r="B9" s="676"/>
      <c r="C9" s="676" t="s">
        <v>135</v>
      </c>
      <c r="D9" s="676"/>
      <c r="E9" s="677">
        <v>27314.75</v>
      </c>
      <c r="F9" s="678"/>
      <c r="G9" s="677">
        <v>22742.26</v>
      </c>
      <c r="H9" s="678"/>
      <c r="I9" s="677">
        <v>27838.01</v>
      </c>
      <c r="J9" s="678"/>
      <c r="K9" s="677">
        <v>35608.29</v>
      </c>
      <c r="L9" s="678"/>
      <c r="M9" s="677">
        <v>28489.360000000001</v>
      </c>
      <c r="N9" s="678"/>
      <c r="O9" s="677">
        <v>26552.57</v>
      </c>
      <c r="P9" s="678"/>
      <c r="Q9" s="677">
        <v>50779.66</v>
      </c>
      <c r="R9" s="678"/>
      <c r="S9" s="677">
        <v>51292.51</v>
      </c>
      <c r="T9" s="678"/>
      <c r="U9" s="677">
        <v>48617.64</v>
      </c>
      <c r="V9" s="678"/>
      <c r="W9" s="677">
        <v>49745.01</v>
      </c>
      <c r="X9" s="678"/>
      <c r="Y9" s="677">
        <v>61084.99</v>
      </c>
      <c r="Z9" s="678"/>
      <c r="AA9" s="677">
        <v>62455.99</v>
      </c>
      <c r="AB9" s="678"/>
      <c r="AC9" s="677">
        <f t="shared" si="0"/>
        <v>492521.04</v>
      </c>
      <c r="AD9" s="672"/>
      <c r="AE9" s="672"/>
      <c r="AF9" s="672"/>
      <c r="AG9" s="672"/>
      <c r="AH9" s="672"/>
      <c r="AI9" s="672"/>
      <c r="AJ9" s="679"/>
      <c r="AK9" s="672"/>
    </row>
    <row r="10" spans="1:37">
      <c r="A10" s="676"/>
      <c r="B10" s="676"/>
      <c r="C10" s="676" t="s">
        <v>136</v>
      </c>
      <c r="D10" s="676"/>
      <c r="E10" s="677">
        <v>9973.51</v>
      </c>
      <c r="F10" s="678"/>
      <c r="G10" s="677">
        <v>9203.43</v>
      </c>
      <c r="H10" s="678"/>
      <c r="I10" s="677">
        <v>9025.67</v>
      </c>
      <c r="J10" s="678"/>
      <c r="K10" s="677">
        <v>8933.7800000000007</v>
      </c>
      <c r="L10" s="678"/>
      <c r="M10" s="677">
        <v>8926.5400000000009</v>
      </c>
      <c r="N10" s="678"/>
      <c r="O10" s="677">
        <v>9113.9599999999991</v>
      </c>
      <c r="P10" s="678"/>
      <c r="Q10" s="677">
        <v>9031.73</v>
      </c>
      <c r="R10" s="678"/>
      <c r="S10" s="677">
        <v>8800.15</v>
      </c>
      <c r="T10" s="678"/>
      <c r="U10" s="677">
        <v>9169.64</v>
      </c>
      <c r="V10" s="678"/>
      <c r="W10" s="677">
        <v>9188.11</v>
      </c>
      <c r="X10" s="678"/>
      <c r="Y10" s="677">
        <v>9169.7999999999993</v>
      </c>
      <c r="Z10" s="678"/>
      <c r="AA10" s="677">
        <v>5505.27</v>
      </c>
      <c r="AB10" s="678"/>
      <c r="AC10" s="677">
        <f t="shared" si="0"/>
        <v>106041.59</v>
      </c>
      <c r="AD10" s="672"/>
      <c r="AE10" s="672"/>
      <c r="AF10" s="672"/>
      <c r="AG10" s="672"/>
      <c r="AH10" s="672"/>
      <c r="AI10" s="679"/>
      <c r="AJ10" s="672"/>
      <c r="AK10" s="672"/>
    </row>
    <row r="11" spans="1:37">
      <c r="A11" s="676"/>
      <c r="B11" s="676"/>
      <c r="C11" s="676" t="s">
        <v>137</v>
      </c>
      <c r="D11" s="676"/>
      <c r="E11" s="677">
        <v>94475.96</v>
      </c>
      <c r="F11" s="678"/>
      <c r="G11" s="677">
        <v>94285.3</v>
      </c>
      <c r="H11" s="678"/>
      <c r="I11" s="677">
        <v>93339.73</v>
      </c>
      <c r="J11" s="678"/>
      <c r="K11" s="677">
        <v>96229.3</v>
      </c>
      <c r="L11" s="678"/>
      <c r="M11" s="677">
        <v>97870.42</v>
      </c>
      <c r="N11" s="678"/>
      <c r="O11" s="677">
        <v>99185.63</v>
      </c>
      <c r="P11" s="678"/>
      <c r="Q11" s="677">
        <v>100184.13</v>
      </c>
      <c r="R11" s="678"/>
      <c r="S11" s="677">
        <v>101960.58</v>
      </c>
      <c r="T11" s="678"/>
      <c r="U11" s="677">
        <v>100192.02</v>
      </c>
      <c r="V11" s="678"/>
      <c r="W11" s="677">
        <v>100336.51</v>
      </c>
      <c r="X11" s="678"/>
      <c r="Y11" s="677">
        <v>98633.22</v>
      </c>
      <c r="Z11" s="678"/>
      <c r="AA11" s="677">
        <v>97820.55</v>
      </c>
      <c r="AB11" s="678"/>
      <c r="AC11" s="677">
        <f t="shared" si="0"/>
        <v>1174513.3500000001</v>
      </c>
      <c r="AD11" s="672"/>
      <c r="AE11" s="672"/>
      <c r="AF11" s="672"/>
      <c r="AG11" s="679"/>
      <c r="AH11" s="672"/>
      <c r="AI11" s="672"/>
      <c r="AJ11" s="672"/>
      <c r="AK11" s="672"/>
    </row>
    <row r="12" spans="1:37">
      <c r="A12" s="676"/>
      <c r="B12" s="676"/>
      <c r="C12" s="676" t="s">
        <v>138</v>
      </c>
      <c r="D12" s="676"/>
      <c r="E12" s="677">
        <v>0</v>
      </c>
      <c r="F12" s="678"/>
      <c r="G12" s="677">
        <v>0</v>
      </c>
      <c r="H12" s="678"/>
      <c r="I12" s="677">
        <v>230</v>
      </c>
      <c r="J12" s="678"/>
      <c r="K12" s="677">
        <v>150</v>
      </c>
      <c r="L12" s="678"/>
      <c r="M12" s="677">
        <v>0</v>
      </c>
      <c r="N12" s="678"/>
      <c r="O12" s="677">
        <v>0</v>
      </c>
      <c r="P12" s="678"/>
      <c r="Q12" s="677">
        <v>0</v>
      </c>
      <c r="R12" s="678"/>
      <c r="S12" s="677">
        <v>0</v>
      </c>
      <c r="T12" s="678"/>
      <c r="U12" s="677">
        <v>160</v>
      </c>
      <c r="V12" s="678"/>
      <c r="W12" s="677">
        <v>0</v>
      </c>
      <c r="X12" s="678"/>
      <c r="Y12" s="677">
        <v>0</v>
      </c>
      <c r="Z12" s="678"/>
      <c r="AA12" s="677">
        <v>0</v>
      </c>
      <c r="AB12" s="678"/>
      <c r="AC12" s="677">
        <f t="shared" si="0"/>
        <v>540</v>
      </c>
      <c r="AD12" s="672"/>
      <c r="AE12" s="672"/>
      <c r="AF12" s="672"/>
      <c r="AG12" s="672"/>
      <c r="AH12" s="672"/>
      <c r="AI12" s="672"/>
      <c r="AJ12" s="672"/>
      <c r="AK12" s="679"/>
    </row>
    <row r="13" spans="1:37">
      <c r="A13" s="676"/>
      <c r="B13" s="676"/>
      <c r="C13" s="676" t="s">
        <v>139</v>
      </c>
      <c r="D13" s="676"/>
      <c r="E13" s="677">
        <v>92266.61</v>
      </c>
      <c r="F13" s="678"/>
      <c r="G13" s="677">
        <v>77360.12</v>
      </c>
      <c r="H13" s="678"/>
      <c r="I13" s="677">
        <v>53952.07</v>
      </c>
      <c r="J13" s="678"/>
      <c r="K13" s="677">
        <v>45489.9</v>
      </c>
      <c r="L13" s="678"/>
      <c r="M13" s="677">
        <v>59159.6</v>
      </c>
      <c r="N13" s="678"/>
      <c r="O13" s="677">
        <v>103386.35</v>
      </c>
      <c r="P13" s="678"/>
      <c r="Q13" s="677">
        <v>54105.57</v>
      </c>
      <c r="R13" s="678"/>
      <c r="S13" s="677">
        <v>105674.87</v>
      </c>
      <c r="T13" s="678"/>
      <c r="U13" s="677">
        <v>76161.2</v>
      </c>
      <c r="V13" s="678"/>
      <c r="W13" s="677">
        <v>79262.460000000006</v>
      </c>
      <c r="X13" s="678"/>
      <c r="Y13" s="677">
        <v>92567.42</v>
      </c>
      <c r="Z13" s="678"/>
      <c r="AA13" s="677">
        <v>73923.34</v>
      </c>
      <c r="AB13" s="678"/>
      <c r="AC13" s="677">
        <f t="shared" si="0"/>
        <v>913309.51</v>
      </c>
      <c r="AD13" s="672"/>
      <c r="AE13" s="672"/>
      <c r="AF13" s="672"/>
      <c r="AG13" s="672"/>
      <c r="AH13" s="672"/>
      <c r="AI13" s="672"/>
      <c r="AJ13" s="679"/>
      <c r="AK13" s="672"/>
    </row>
    <row r="14" spans="1:37" ht="15.75" thickBot="1">
      <c r="A14" s="676"/>
      <c r="B14" s="676"/>
      <c r="C14" s="676" t="s">
        <v>140</v>
      </c>
      <c r="D14" s="676"/>
      <c r="E14" s="680">
        <v>1597.22</v>
      </c>
      <c r="F14" s="678"/>
      <c r="G14" s="680">
        <v>1074.6400000000001</v>
      </c>
      <c r="H14" s="678"/>
      <c r="I14" s="680">
        <v>1867.76</v>
      </c>
      <c r="J14" s="678"/>
      <c r="K14" s="680">
        <v>815.3</v>
      </c>
      <c r="L14" s="678"/>
      <c r="M14" s="680">
        <v>2129.5</v>
      </c>
      <c r="N14" s="678"/>
      <c r="O14" s="680">
        <v>1052.8900000000001</v>
      </c>
      <c r="P14" s="678"/>
      <c r="Q14" s="680">
        <v>1865.02</v>
      </c>
      <c r="R14" s="678"/>
      <c r="S14" s="680">
        <v>1556.6</v>
      </c>
      <c r="T14" s="678"/>
      <c r="U14" s="680">
        <v>1427.55</v>
      </c>
      <c r="V14" s="678"/>
      <c r="W14" s="680">
        <v>1294.1400000000001</v>
      </c>
      <c r="X14" s="678"/>
      <c r="Y14" s="680">
        <v>1002.61</v>
      </c>
      <c r="Z14" s="678"/>
      <c r="AA14" s="680">
        <v>1231.8</v>
      </c>
      <c r="AB14" s="678"/>
      <c r="AC14" s="680">
        <f t="shared" si="0"/>
        <v>16915.03</v>
      </c>
      <c r="AD14" s="672"/>
      <c r="AE14" s="672"/>
      <c r="AF14" s="672"/>
      <c r="AG14" s="672"/>
      <c r="AH14" s="672"/>
      <c r="AI14" s="672"/>
      <c r="AJ14" s="672"/>
      <c r="AK14" s="679"/>
    </row>
    <row r="15" spans="1:37">
      <c r="A15" s="676"/>
      <c r="B15" s="676" t="s">
        <v>141</v>
      </c>
      <c r="C15" s="676"/>
      <c r="D15" s="676"/>
      <c r="E15" s="677">
        <f>ROUND(SUM(E4:E14),5)</f>
        <v>1759114.32</v>
      </c>
      <c r="F15" s="678"/>
      <c r="G15" s="677">
        <f>ROUND(SUM(G4:G14),5)</f>
        <v>1545501.57</v>
      </c>
      <c r="H15" s="678"/>
      <c r="I15" s="677">
        <f>ROUND(SUM(I4:I14),5)</f>
        <v>1702385.87</v>
      </c>
      <c r="J15" s="678"/>
      <c r="K15" s="677">
        <f>ROUND(SUM(K4:K14),5)</f>
        <v>1684499.19</v>
      </c>
      <c r="L15" s="678"/>
      <c r="M15" s="677">
        <f>ROUND(SUM(M4:M14),5)</f>
        <v>1691929.37</v>
      </c>
      <c r="N15" s="678"/>
      <c r="O15" s="677">
        <f>ROUND(SUM(O4:O14),5)</f>
        <v>1731874.17</v>
      </c>
      <c r="P15" s="678"/>
      <c r="Q15" s="677">
        <f>ROUND(SUM(Q4:Q14),5)</f>
        <v>1760286.45</v>
      </c>
      <c r="R15" s="678"/>
      <c r="S15" s="677">
        <f>ROUND(SUM(S4:S14),5)</f>
        <v>1915456.64</v>
      </c>
      <c r="T15" s="678"/>
      <c r="U15" s="677">
        <f>ROUND(SUM(U4:U14),5)</f>
        <v>1799958.27</v>
      </c>
      <c r="V15" s="678"/>
      <c r="W15" s="677">
        <f>ROUND(SUM(W4:W14),5)</f>
        <v>1954469.26</v>
      </c>
      <c r="X15" s="678"/>
      <c r="Y15" s="677">
        <f>ROUND(SUM(Y4:Y14),5)</f>
        <v>1864143.47</v>
      </c>
      <c r="Z15" s="678"/>
      <c r="AA15" s="677">
        <f>ROUND(SUM(AA4:AA14),5)</f>
        <v>1700504.61</v>
      </c>
      <c r="AB15" s="678"/>
      <c r="AC15" s="677">
        <f>SUM(AC5:AC14)</f>
        <v>21110123.190000005</v>
      </c>
      <c r="AD15" s="679"/>
      <c r="AE15" s="681"/>
      <c r="AF15" s="672"/>
      <c r="AG15" s="672"/>
      <c r="AH15" s="672"/>
      <c r="AI15" s="672"/>
      <c r="AJ15" s="672"/>
      <c r="AK15" s="672"/>
    </row>
    <row r="16" spans="1:37">
      <c r="A16" s="676"/>
      <c r="B16" s="676" t="s">
        <v>142</v>
      </c>
      <c r="C16" s="676"/>
      <c r="D16" s="676"/>
      <c r="E16" s="677"/>
      <c r="F16" s="678"/>
      <c r="G16" s="677"/>
      <c r="H16" s="678"/>
      <c r="I16" s="677"/>
      <c r="J16" s="678"/>
      <c r="K16" s="677"/>
      <c r="L16" s="678"/>
      <c r="M16" s="677"/>
      <c r="N16" s="678"/>
      <c r="O16" s="677"/>
      <c r="P16" s="678"/>
      <c r="Q16" s="677"/>
      <c r="R16" s="678"/>
      <c r="S16" s="677"/>
      <c r="T16" s="678"/>
      <c r="U16" s="677"/>
      <c r="V16" s="678"/>
      <c r="W16" s="677"/>
      <c r="X16" s="678"/>
      <c r="Y16" s="677"/>
      <c r="Z16" s="678"/>
      <c r="AA16" s="677"/>
      <c r="AB16" s="678"/>
      <c r="AC16" s="677"/>
      <c r="AD16" s="672"/>
      <c r="AE16" s="672"/>
      <c r="AF16" s="672"/>
      <c r="AG16" s="672"/>
      <c r="AH16" s="672"/>
      <c r="AI16" s="672"/>
      <c r="AJ16" s="672"/>
      <c r="AK16" s="672"/>
    </row>
    <row r="17" spans="1:37">
      <c r="A17" s="676"/>
      <c r="B17" s="676"/>
      <c r="C17" s="676" t="s">
        <v>143</v>
      </c>
      <c r="D17" s="676"/>
      <c r="E17" s="677">
        <v>9007.43</v>
      </c>
      <c r="F17" s="678"/>
      <c r="G17" s="677">
        <v>0</v>
      </c>
      <c r="H17" s="678"/>
      <c r="I17" s="677">
        <v>0</v>
      </c>
      <c r="J17" s="678"/>
      <c r="K17" s="677">
        <v>16160.54</v>
      </c>
      <c r="L17" s="678"/>
      <c r="M17" s="677">
        <v>0</v>
      </c>
      <c r="N17" s="678"/>
      <c r="O17" s="677">
        <v>0</v>
      </c>
      <c r="P17" s="678"/>
      <c r="Q17" s="677">
        <v>20278.75</v>
      </c>
      <c r="R17" s="678"/>
      <c r="S17" s="677">
        <v>0</v>
      </c>
      <c r="T17" s="678"/>
      <c r="U17" s="677">
        <v>0</v>
      </c>
      <c r="V17" s="678"/>
      <c r="W17" s="677">
        <v>11109.81</v>
      </c>
      <c r="X17" s="678"/>
      <c r="Y17" s="677">
        <v>0</v>
      </c>
      <c r="Z17" s="678"/>
      <c r="AA17" s="677">
        <v>7699.13</v>
      </c>
      <c r="AB17" s="678"/>
      <c r="AC17" s="677">
        <f>ROUND(SUM(E17:AA17),5)</f>
        <v>64255.66</v>
      </c>
      <c r="AD17" s="679"/>
      <c r="AE17" s="681"/>
      <c r="AF17" s="672"/>
      <c r="AG17" s="672"/>
      <c r="AH17" s="672"/>
      <c r="AI17" s="672"/>
      <c r="AJ17" s="672"/>
      <c r="AK17" s="672"/>
    </row>
    <row r="18" spans="1:37">
      <c r="A18" s="676"/>
      <c r="B18" s="676"/>
      <c r="C18" s="676" t="s">
        <v>144</v>
      </c>
      <c r="D18" s="676"/>
      <c r="E18" s="677">
        <v>1910.3</v>
      </c>
      <c r="F18" s="678"/>
      <c r="G18" s="677">
        <v>0</v>
      </c>
      <c r="H18" s="678"/>
      <c r="I18" s="677">
        <v>0</v>
      </c>
      <c r="J18" s="678"/>
      <c r="K18" s="677">
        <v>3427.34</v>
      </c>
      <c r="L18" s="678"/>
      <c r="M18" s="677">
        <v>0</v>
      </c>
      <c r="N18" s="678"/>
      <c r="O18" s="677">
        <v>0</v>
      </c>
      <c r="P18" s="678"/>
      <c r="Q18" s="677">
        <v>4300.7299999999996</v>
      </c>
      <c r="R18" s="678"/>
      <c r="S18" s="677">
        <v>0</v>
      </c>
      <c r="T18" s="678"/>
      <c r="U18" s="677">
        <v>0</v>
      </c>
      <c r="V18" s="678"/>
      <c r="W18" s="677">
        <v>2356.17</v>
      </c>
      <c r="X18" s="678"/>
      <c r="Y18" s="677">
        <v>0</v>
      </c>
      <c r="Z18" s="678"/>
      <c r="AA18" s="677">
        <v>1632.83</v>
      </c>
      <c r="AB18" s="678"/>
      <c r="AC18" s="677">
        <f>ROUND(SUM(E18:AA18),5)</f>
        <v>13627.37</v>
      </c>
      <c r="AD18" s="679"/>
      <c r="AE18" s="681"/>
      <c r="AF18" s="672"/>
      <c r="AG18" s="672"/>
      <c r="AH18" s="672"/>
      <c r="AI18" s="672"/>
      <c r="AJ18" s="672"/>
      <c r="AK18" s="672"/>
    </row>
    <row r="19" spans="1:37" ht="15.75" thickBot="1">
      <c r="A19" s="676"/>
      <c r="B19" s="676"/>
      <c r="C19" s="676" t="s">
        <v>145</v>
      </c>
      <c r="D19" s="676"/>
      <c r="E19" s="682">
        <v>1172.78</v>
      </c>
      <c r="F19" s="678"/>
      <c r="G19" s="682">
        <v>0</v>
      </c>
      <c r="H19" s="678"/>
      <c r="I19" s="682">
        <v>0</v>
      </c>
      <c r="J19" s="678"/>
      <c r="K19" s="682">
        <v>2104.12</v>
      </c>
      <c r="L19" s="678"/>
      <c r="M19" s="682">
        <v>0</v>
      </c>
      <c r="N19" s="678"/>
      <c r="O19" s="682">
        <v>0</v>
      </c>
      <c r="P19" s="678"/>
      <c r="Q19" s="682">
        <v>2640.32</v>
      </c>
      <c r="R19" s="678"/>
      <c r="S19" s="682">
        <v>0</v>
      </c>
      <c r="T19" s="678"/>
      <c r="U19" s="682">
        <v>0</v>
      </c>
      <c r="V19" s="678"/>
      <c r="W19" s="682">
        <v>1446.51</v>
      </c>
      <c r="X19" s="678"/>
      <c r="Y19" s="682">
        <v>0</v>
      </c>
      <c r="Z19" s="678"/>
      <c r="AA19" s="682">
        <v>1002.44</v>
      </c>
      <c r="AB19" s="678"/>
      <c r="AC19" s="682">
        <f>ROUND(SUM(E19:AA19),5)</f>
        <v>8366.17</v>
      </c>
      <c r="AD19" s="679"/>
      <c r="AE19" s="681"/>
      <c r="AF19" s="672"/>
      <c r="AG19" s="672"/>
      <c r="AH19" s="672"/>
      <c r="AI19" s="672"/>
      <c r="AJ19" s="672"/>
      <c r="AK19" s="672"/>
    </row>
    <row r="20" spans="1:37" ht="15.75" thickBot="1">
      <c r="A20" s="676"/>
      <c r="B20" s="676" t="s">
        <v>146</v>
      </c>
      <c r="C20" s="676"/>
      <c r="D20" s="676"/>
      <c r="E20" s="683">
        <f>ROUND(SUM(E16:E19),5)</f>
        <v>12090.51</v>
      </c>
      <c r="F20" s="678"/>
      <c r="G20" s="683">
        <f>ROUND(SUM(G16:G19),5)</f>
        <v>0</v>
      </c>
      <c r="H20" s="678"/>
      <c r="I20" s="683">
        <f>ROUND(SUM(I16:I19),5)</f>
        <v>0</v>
      </c>
      <c r="J20" s="678"/>
      <c r="K20" s="683">
        <f>ROUND(SUM(K16:K19),5)</f>
        <v>21692</v>
      </c>
      <c r="L20" s="678"/>
      <c r="M20" s="683">
        <f>ROUND(SUM(M16:M19),5)</f>
        <v>0</v>
      </c>
      <c r="N20" s="678"/>
      <c r="O20" s="683">
        <f>ROUND(SUM(O16:O19),5)</f>
        <v>0</v>
      </c>
      <c r="P20" s="678"/>
      <c r="Q20" s="683">
        <f>ROUND(SUM(Q16:Q19),5)</f>
        <v>27219.8</v>
      </c>
      <c r="R20" s="678"/>
      <c r="S20" s="683">
        <f>ROUND(SUM(S16:S19),5)</f>
        <v>0</v>
      </c>
      <c r="T20" s="678"/>
      <c r="U20" s="683">
        <f>ROUND(SUM(U16:U19),5)</f>
        <v>0</v>
      </c>
      <c r="V20" s="678"/>
      <c r="W20" s="683">
        <f>ROUND(SUM(W16:W19),5)</f>
        <v>14912.49</v>
      </c>
      <c r="X20" s="678"/>
      <c r="Y20" s="683">
        <f>ROUND(SUM(Y16:Y19),5)</f>
        <v>0</v>
      </c>
      <c r="Z20" s="678"/>
      <c r="AA20" s="683">
        <f>ROUND(SUM(AA16:AA19),5)</f>
        <v>10334.4</v>
      </c>
      <c r="AB20" s="678"/>
      <c r="AC20" s="683">
        <f>SUM(AC17:AC19)</f>
        <v>86249.2</v>
      </c>
      <c r="AD20" s="679"/>
      <c r="AE20" s="681"/>
      <c r="AF20" s="672"/>
      <c r="AG20" s="672"/>
      <c r="AH20" s="672"/>
      <c r="AI20" s="672"/>
      <c r="AJ20" s="672"/>
      <c r="AK20" s="672"/>
    </row>
    <row r="21" spans="1:37">
      <c r="A21" s="676" t="s">
        <v>147</v>
      </c>
      <c r="B21" s="676"/>
      <c r="C21" s="676"/>
      <c r="D21" s="676"/>
      <c r="E21" s="677">
        <f>ROUND(E3+E15+E20,5)</f>
        <v>1771204.83</v>
      </c>
      <c r="F21" s="678"/>
      <c r="G21" s="677">
        <f>ROUND(G3+G15+G20,5)</f>
        <v>1545501.57</v>
      </c>
      <c r="H21" s="678"/>
      <c r="I21" s="677">
        <f>ROUND(I3+I15+I20,5)</f>
        <v>1702385.87</v>
      </c>
      <c r="J21" s="678"/>
      <c r="K21" s="677">
        <f>ROUND(K3+K15+K20,5)</f>
        <v>1706191.19</v>
      </c>
      <c r="L21" s="678"/>
      <c r="M21" s="677">
        <f>ROUND(M3+M15+M20,5)</f>
        <v>1691929.37</v>
      </c>
      <c r="N21" s="678"/>
      <c r="O21" s="677">
        <f>ROUND(O3+O15+O20,5)</f>
        <v>1731874.17</v>
      </c>
      <c r="P21" s="678"/>
      <c r="Q21" s="677">
        <f>ROUND(Q3+Q15+Q20,5)</f>
        <v>1787506.25</v>
      </c>
      <c r="R21" s="678"/>
      <c r="S21" s="677">
        <f>ROUND(S3+S15+S20,5)</f>
        <v>1915456.64</v>
      </c>
      <c r="T21" s="678"/>
      <c r="U21" s="677">
        <f>ROUND(U3+U15+U20,5)</f>
        <v>1799958.27</v>
      </c>
      <c r="V21" s="678"/>
      <c r="W21" s="677">
        <f>ROUND(W3+W15+W20,5)</f>
        <v>1969381.75</v>
      </c>
      <c r="X21" s="678"/>
      <c r="Y21" s="677">
        <f>ROUND(Y3+Y15+Y20,5)</f>
        <v>1864143.47</v>
      </c>
      <c r="Z21" s="678"/>
      <c r="AA21" s="677">
        <f>ROUND(AA3+AA15+AA20,5)</f>
        <v>1710839.01</v>
      </c>
      <c r="AB21" s="678"/>
      <c r="AC21" s="677">
        <f>ROUND(SUM(E21:AA21),5)</f>
        <v>21196372.390000001</v>
      </c>
      <c r="AD21" s="679"/>
      <c r="AE21" s="681"/>
      <c r="AF21" s="672"/>
      <c r="AG21" s="672"/>
      <c r="AH21" s="672"/>
      <c r="AI21" s="672"/>
      <c r="AJ21" s="672"/>
      <c r="AK21" s="672"/>
    </row>
    <row r="22" spans="1:37">
      <c r="A22" s="676" t="s">
        <v>148</v>
      </c>
      <c r="B22" s="676"/>
      <c r="C22" s="676"/>
      <c r="D22" s="676"/>
      <c r="E22" s="677"/>
      <c r="F22" s="678"/>
      <c r="G22" s="677"/>
      <c r="H22" s="678"/>
      <c r="I22" s="677"/>
      <c r="J22" s="678"/>
      <c r="K22" s="677"/>
      <c r="L22" s="678"/>
      <c r="M22" s="677"/>
      <c r="N22" s="678"/>
      <c r="O22" s="677"/>
      <c r="P22" s="678"/>
      <c r="Q22" s="677"/>
      <c r="R22" s="678"/>
      <c r="S22" s="677"/>
      <c r="T22" s="678"/>
      <c r="U22" s="677"/>
      <c r="V22" s="678"/>
      <c r="W22" s="677"/>
      <c r="X22" s="678"/>
      <c r="Y22" s="677"/>
      <c r="Z22" s="678"/>
      <c r="AA22" s="677"/>
      <c r="AB22" s="678"/>
      <c r="AC22" s="677"/>
      <c r="AD22" s="672"/>
      <c r="AE22" s="672"/>
      <c r="AF22" s="672"/>
      <c r="AG22" s="672"/>
      <c r="AH22" s="672"/>
      <c r="AI22" s="672"/>
      <c r="AJ22" s="672"/>
      <c r="AK22" s="672"/>
    </row>
    <row r="23" spans="1:37" ht="15.75" thickBot="1">
      <c r="A23" s="676"/>
      <c r="B23" s="676" t="s">
        <v>149</v>
      </c>
      <c r="C23" s="676"/>
      <c r="D23" s="676"/>
      <c r="E23" s="682">
        <v>0</v>
      </c>
      <c r="F23" s="678"/>
      <c r="G23" s="682">
        <v>0</v>
      </c>
      <c r="H23" s="678"/>
      <c r="I23" s="682">
        <v>0</v>
      </c>
      <c r="J23" s="678"/>
      <c r="K23" s="682">
        <v>0</v>
      </c>
      <c r="L23" s="678"/>
      <c r="M23" s="682">
        <v>0</v>
      </c>
      <c r="N23" s="678"/>
      <c r="O23" s="682">
        <v>0</v>
      </c>
      <c r="P23" s="678"/>
      <c r="Q23" s="682">
        <v>0</v>
      </c>
      <c r="R23" s="678"/>
      <c r="S23" s="682">
        <v>0</v>
      </c>
      <c r="T23" s="678"/>
      <c r="U23" s="682">
        <v>0</v>
      </c>
      <c r="V23" s="678"/>
      <c r="W23" s="682">
        <v>0</v>
      </c>
      <c r="X23" s="678"/>
      <c r="Y23" s="682">
        <v>0</v>
      </c>
      <c r="Z23" s="678"/>
      <c r="AA23" s="682">
        <v>0</v>
      </c>
      <c r="AB23" s="678"/>
      <c r="AC23" s="682">
        <f>ROUND(SUM(E23:AA23),5)</f>
        <v>0</v>
      </c>
      <c r="AD23" s="672"/>
      <c r="AE23" s="672"/>
      <c r="AF23" s="672"/>
      <c r="AG23" s="672"/>
      <c r="AH23" s="672"/>
      <c r="AI23" s="672"/>
      <c r="AJ23" s="672"/>
      <c r="AK23" s="672"/>
    </row>
    <row r="24" spans="1:37" ht="15.75" thickBot="1">
      <c r="A24" s="676" t="s">
        <v>150</v>
      </c>
      <c r="B24" s="676"/>
      <c r="C24" s="676"/>
      <c r="D24" s="676"/>
      <c r="E24" s="683">
        <f>ROUND(SUM(E22:E23),5)</f>
        <v>0</v>
      </c>
      <c r="F24" s="678"/>
      <c r="G24" s="683">
        <f>ROUND(SUM(G22:G23),5)</f>
        <v>0</v>
      </c>
      <c r="H24" s="678"/>
      <c r="I24" s="683">
        <f>ROUND(SUM(I22:I23),5)</f>
        <v>0</v>
      </c>
      <c r="J24" s="678"/>
      <c r="K24" s="683">
        <f>ROUND(SUM(K22:K23),5)</f>
        <v>0</v>
      </c>
      <c r="L24" s="678"/>
      <c r="M24" s="683">
        <f>ROUND(SUM(M22:M23),5)</f>
        <v>0</v>
      </c>
      <c r="N24" s="678"/>
      <c r="O24" s="683">
        <f>ROUND(SUM(O22:O23),5)</f>
        <v>0</v>
      </c>
      <c r="P24" s="678"/>
      <c r="Q24" s="683">
        <f>ROUND(SUM(Q22:Q23),5)</f>
        <v>0</v>
      </c>
      <c r="R24" s="678"/>
      <c r="S24" s="683">
        <f>ROUND(SUM(S22:S23),5)</f>
        <v>0</v>
      </c>
      <c r="T24" s="678"/>
      <c r="U24" s="683">
        <f>ROUND(SUM(U22:U23),5)</f>
        <v>0</v>
      </c>
      <c r="V24" s="678"/>
      <c r="W24" s="683">
        <f>ROUND(SUM(W22:W23),5)</f>
        <v>0</v>
      </c>
      <c r="X24" s="678"/>
      <c r="Y24" s="683">
        <f>ROUND(SUM(Y22:Y23),5)</f>
        <v>0</v>
      </c>
      <c r="Z24" s="678"/>
      <c r="AA24" s="683">
        <f>ROUND(SUM(AA22:AA23),5)</f>
        <v>0</v>
      </c>
      <c r="AB24" s="678"/>
      <c r="AC24" s="683">
        <f>ROUND(SUM(E24:AA24),5)</f>
        <v>0</v>
      </c>
      <c r="AD24" s="672"/>
      <c r="AE24" s="672"/>
      <c r="AF24" s="672"/>
      <c r="AG24" s="672"/>
      <c r="AH24" s="672"/>
      <c r="AI24" s="672"/>
      <c r="AJ24" s="672"/>
      <c r="AK24" s="672"/>
    </row>
    <row r="25" spans="1:37">
      <c r="A25" s="676" t="s">
        <v>151</v>
      </c>
      <c r="B25" s="676"/>
      <c r="C25" s="676"/>
      <c r="D25" s="676"/>
      <c r="E25" s="677">
        <f>ROUND(E21-E24,5)</f>
        <v>1771204.83</v>
      </c>
      <c r="F25" s="678"/>
      <c r="G25" s="677">
        <f>ROUND(G21-G24,5)</f>
        <v>1545501.57</v>
      </c>
      <c r="H25" s="678"/>
      <c r="I25" s="677">
        <f>ROUND(I21-I24,5)</f>
        <v>1702385.87</v>
      </c>
      <c r="J25" s="678"/>
      <c r="K25" s="677">
        <f>ROUND(K21-K24,5)</f>
        <v>1706191.19</v>
      </c>
      <c r="L25" s="678"/>
      <c r="M25" s="677">
        <f>ROUND(M21-M24,5)</f>
        <v>1691929.37</v>
      </c>
      <c r="N25" s="678"/>
      <c r="O25" s="677">
        <f>ROUND(O21-O24,5)</f>
        <v>1731874.17</v>
      </c>
      <c r="P25" s="678"/>
      <c r="Q25" s="677">
        <f>ROUND(Q21-Q24,5)</f>
        <v>1787506.25</v>
      </c>
      <c r="R25" s="678"/>
      <c r="S25" s="677">
        <f>ROUND(S21-S24,5)</f>
        <v>1915456.64</v>
      </c>
      <c r="T25" s="678"/>
      <c r="U25" s="677">
        <f>ROUND(U21-U24,5)</f>
        <v>1799958.27</v>
      </c>
      <c r="V25" s="678"/>
      <c r="W25" s="677">
        <f>ROUND(W21-W24,5)</f>
        <v>1969381.75</v>
      </c>
      <c r="X25" s="678"/>
      <c r="Y25" s="677">
        <f>ROUND(Y21-Y24,5)</f>
        <v>1864143.47</v>
      </c>
      <c r="Z25" s="678"/>
      <c r="AA25" s="677">
        <f>ROUND(AA21-AA24,5)</f>
        <v>1710839.01</v>
      </c>
      <c r="AB25" s="678"/>
      <c r="AC25" s="677">
        <f>ROUND(SUM(E25:AA25),5)</f>
        <v>21196372.390000001</v>
      </c>
      <c r="AD25" s="672"/>
      <c r="AE25" s="672"/>
      <c r="AF25" s="672"/>
      <c r="AG25" s="672"/>
      <c r="AH25" s="672"/>
      <c r="AI25" s="672"/>
      <c r="AJ25" s="672"/>
      <c r="AK25" s="672"/>
    </row>
    <row r="26" spans="1:37">
      <c r="A26" s="676" t="s">
        <v>152</v>
      </c>
      <c r="B26" s="676"/>
      <c r="C26" s="676"/>
      <c r="D26" s="676"/>
      <c r="E26" s="677"/>
      <c r="F26" s="678"/>
      <c r="G26" s="677"/>
      <c r="H26" s="678"/>
      <c r="I26" s="677"/>
      <c r="J26" s="678"/>
      <c r="K26" s="677"/>
      <c r="L26" s="678"/>
      <c r="M26" s="677"/>
      <c r="N26" s="678"/>
      <c r="O26" s="677"/>
      <c r="P26" s="678"/>
      <c r="Q26" s="677"/>
      <c r="R26" s="678"/>
      <c r="S26" s="677"/>
      <c r="T26" s="678"/>
      <c r="U26" s="677"/>
      <c r="V26" s="678"/>
      <c r="W26" s="677"/>
      <c r="X26" s="678"/>
      <c r="Y26" s="677"/>
      <c r="Z26" s="678"/>
      <c r="AA26" s="677"/>
      <c r="AB26" s="678"/>
      <c r="AC26" s="677"/>
      <c r="AD26" s="672"/>
      <c r="AE26" s="672"/>
      <c r="AF26" s="672"/>
      <c r="AG26" s="672"/>
      <c r="AH26" s="672"/>
      <c r="AI26" s="672"/>
      <c r="AJ26" s="672"/>
      <c r="AK26" s="672"/>
    </row>
    <row r="27" spans="1:37">
      <c r="A27" s="676"/>
      <c r="B27" s="676" t="s">
        <v>153</v>
      </c>
      <c r="C27" s="676"/>
      <c r="D27" s="676"/>
      <c r="E27" s="677">
        <v>1234.75</v>
      </c>
      <c r="F27" s="678"/>
      <c r="G27" s="677">
        <v>0</v>
      </c>
      <c r="H27" s="678"/>
      <c r="I27" s="677">
        <v>1005.76</v>
      </c>
      <c r="J27" s="678"/>
      <c r="K27" s="677">
        <v>0</v>
      </c>
      <c r="L27" s="678"/>
      <c r="M27" s="677">
        <v>0</v>
      </c>
      <c r="N27" s="678"/>
      <c r="O27" s="677">
        <v>0</v>
      </c>
      <c r="P27" s="678"/>
      <c r="Q27" s="677">
        <v>0</v>
      </c>
      <c r="R27" s="678"/>
      <c r="S27" s="677">
        <v>1028.0999999999999</v>
      </c>
      <c r="T27" s="678"/>
      <c r="U27" s="677">
        <v>0</v>
      </c>
      <c r="V27" s="678"/>
      <c r="W27" s="677">
        <v>90.07</v>
      </c>
      <c r="X27" s="678"/>
      <c r="Y27" s="677">
        <v>0</v>
      </c>
      <c r="Z27" s="678"/>
      <c r="AA27" s="677">
        <v>0</v>
      </c>
      <c r="AB27" s="678"/>
      <c r="AC27" s="677">
        <f>ROUND(SUM(E27:AA27),5)</f>
        <v>3358.68</v>
      </c>
      <c r="AD27" s="684"/>
      <c r="AE27" s="672"/>
      <c r="AF27" s="685">
        <f>+AC27/$AC$25</f>
        <v>1.5845541577598222E-4</v>
      </c>
      <c r="AG27" s="672"/>
      <c r="AH27" s="672"/>
      <c r="AI27" s="672"/>
      <c r="AJ27" s="672"/>
      <c r="AK27" s="672"/>
    </row>
    <row r="28" spans="1:37">
      <c r="A28" s="676"/>
      <c r="B28" s="676" t="s">
        <v>154</v>
      </c>
      <c r="C28" s="676"/>
      <c r="D28" s="676"/>
      <c r="E28" s="677">
        <v>0</v>
      </c>
      <c r="F28" s="678"/>
      <c r="G28" s="677">
        <v>0</v>
      </c>
      <c r="H28" s="678"/>
      <c r="I28" s="677">
        <v>0</v>
      </c>
      <c r="J28" s="678"/>
      <c r="K28" s="677">
        <v>0</v>
      </c>
      <c r="L28" s="678"/>
      <c r="M28" s="677">
        <v>16.940000000000001</v>
      </c>
      <c r="N28" s="678"/>
      <c r="O28" s="677">
        <v>0</v>
      </c>
      <c r="P28" s="678"/>
      <c r="Q28" s="677">
        <v>0</v>
      </c>
      <c r="R28" s="678"/>
      <c r="S28" s="677">
        <v>0</v>
      </c>
      <c r="T28" s="678"/>
      <c r="U28" s="677">
        <v>0</v>
      </c>
      <c r="V28" s="678"/>
      <c r="W28" s="677">
        <v>0</v>
      </c>
      <c r="X28" s="678"/>
      <c r="Y28" s="677">
        <v>0</v>
      </c>
      <c r="Z28" s="678"/>
      <c r="AA28" s="677">
        <v>0</v>
      </c>
      <c r="AB28" s="678"/>
      <c r="AC28" s="677">
        <f>ROUND(SUM(E28:AA28),5)</f>
        <v>16.940000000000001</v>
      </c>
      <c r="AD28" s="684"/>
      <c r="AE28" s="672"/>
      <c r="AF28" s="685">
        <f t="shared" ref="AF28:AF40" si="1">+AC28/$AC$25</f>
        <v>7.9919335668927639E-7</v>
      </c>
      <c r="AG28" s="672"/>
      <c r="AH28" s="672"/>
      <c r="AI28" s="672"/>
      <c r="AJ28" s="672"/>
      <c r="AK28" s="672"/>
    </row>
    <row r="29" spans="1:37">
      <c r="A29" s="676"/>
      <c r="B29" s="676" t="s">
        <v>155</v>
      </c>
      <c r="C29" s="676"/>
      <c r="D29" s="676"/>
      <c r="E29" s="677">
        <v>1250.58</v>
      </c>
      <c r="F29" s="678"/>
      <c r="G29" s="677">
        <v>0</v>
      </c>
      <c r="H29" s="678"/>
      <c r="I29" s="677">
        <v>0</v>
      </c>
      <c r="J29" s="678"/>
      <c r="K29" s="677">
        <v>0</v>
      </c>
      <c r="L29" s="678"/>
      <c r="M29" s="677">
        <v>0</v>
      </c>
      <c r="N29" s="678"/>
      <c r="O29" s="677">
        <v>0</v>
      </c>
      <c r="P29" s="678"/>
      <c r="Q29" s="677">
        <v>0</v>
      </c>
      <c r="R29" s="678"/>
      <c r="S29" s="677">
        <v>0</v>
      </c>
      <c r="T29" s="678"/>
      <c r="U29" s="677">
        <v>0</v>
      </c>
      <c r="V29" s="678"/>
      <c r="W29" s="677">
        <v>0</v>
      </c>
      <c r="X29" s="678"/>
      <c r="Y29" s="677">
        <v>0</v>
      </c>
      <c r="Z29" s="678"/>
      <c r="AA29" s="677">
        <v>0</v>
      </c>
      <c r="AB29" s="678"/>
      <c r="AC29" s="677">
        <f>ROUND(SUM(E29:AA29),5)</f>
        <v>1250.58</v>
      </c>
      <c r="AD29" s="684"/>
      <c r="AE29" s="672"/>
      <c r="AF29" s="685">
        <f t="shared" si="1"/>
        <v>5.8999718300382243E-5</v>
      </c>
      <c r="AG29" s="672"/>
      <c r="AH29" s="672"/>
      <c r="AI29" s="672"/>
      <c r="AJ29" s="672"/>
      <c r="AK29" s="672"/>
    </row>
    <row r="30" spans="1:37">
      <c r="A30" s="676"/>
      <c r="B30" s="676" t="s">
        <v>156</v>
      </c>
      <c r="C30" s="676"/>
      <c r="D30" s="676"/>
      <c r="E30" s="677"/>
      <c r="F30" s="678"/>
      <c r="G30" s="677"/>
      <c r="H30" s="678"/>
      <c r="I30" s="677"/>
      <c r="J30" s="678"/>
      <c r="K30" s="677"/>
      <c r="L30" s="678"/>
      <c r="M30" s="677"/>
      <c r="N30" s="678"/>
      <c r="O30" s="677"/>
      <c r="P30" s="678"/>
      <c r="Q30" s="677"/>
      <c r="R30" s="678"/>
      <c r="S30" s="677"/>
      <c r="T30" s="678"/>
      <c r="U30" s="677"/>
      <c r="V30" s="678"/>
      <c r="W30" s="677"/>
      <c r="X30" s="678"/>
      <c r="Y30" s="677"/>
      <c r="Z30" s="678"/>
      <c r="AA30" s="677"/>
      <c r="AB30" s="678"/>
      <c r="AC30" s="677"/>
      <c r="AD30" s="684"/>
      <c r="AE30" s="672"/>
      <c r="AF30" s="685">
        <f t="shared" si="1"/>
        <v>0</v>
      </c>
      <c r="AG30" s="672"/>
      <c r="AH30" s="672"/>
      <c r="AI30" s="672"/>
      <c r="AJ30" s="672"/>
      <c r="AK30" s="672"/>
    </row>
    <row r="31" spans="1:37">
      <c r="A31" s="676"/>
      <c r="B31" s="676"/>
      <c r="C31" s="676" t="s">
        <v>157</v>
      </c>
      <c r="D31" s="676"/>
      <c r="E31" s="677">
        <v>64442.38</v>
      </c>
      <c r="F31" s="678"/>
      <c r="G31" s="677">
        <v>62046.67</v>
      </c>
      <c r="H31" s="678"/>
      <c r="I31" s="677">
        <v>50584.45</v>
      </c>
      <c r="J31" s="678"/>
      <c r="K31" s="677">
        <v>54189.54</v>
      </c>
      <c r="L31" s="678"/>
      <c r="M31" s="677">
        <v>49383.98</v>
      </c>
      <c r="N31" s="678"/>
      <c r="O31" s="677">
        <v>37412.82</v>
      </c>
      <c r="P31" s="678"/>
      <c r="Q31" s="677">
        <v>75328.78</v>
      </c>
      <c r="R31" s="678"/>
      <c r="S31" s="677">
        <v>68208.23</v>
      </c>
      <c r="T31" s="678"/>
      <c r="U31" s="677">
        <v>103543.94</v>
      </c>
      <c r="V31" s="678"/>
      <c r="W31" s="677">
        <v>73786.929999999993</v>
      </c>
      <c r="X31" s="678"/>
      <c r="Y31" s="677">
        <v>116070.67</v>
      </c>
      <c r="Z31" s="678"/>
      <c r="AA31" s="677">
        <v>24936.23</v>
      </c>
      <c r="AB31" s="678"/>
      <c r="AC31" s="677">
        <f t="shared" ref="AC31:AC41" si="2">ROUND(SUM(E31:AA31),5)</f>
        <v>779934.62</v>
      </c>
      <c r="AD31" s="684"/>
      <c r="AE31" s="672"/>
      <c r="AF31" s="685">
        <f t="shared" si="1"/>
        <v>3.6795665109561698E-2</v>
      </c>
      <c r="AG31" s="672"/>
      <c r="AH31" s="672"/>
      <c r="AI31" s="672"/>
      <c r="AJ31" s="672"/>
      <c r="AK31" s="672"/>
    </row>
    <row r="32" spans="1:37">
      <c r="A32" s="676"/>
      <c r="B32" s="676"/>
      <c r="C32" s="676" t="s">
        <v>158</v>
      </c>
      <c r="D32" s="676"/>
      <c r="E32" s="677">
        <v>54998.99</v>
      </c>
      <c r="F32" s="678"/>
      <c r="G32" s="677">
        <v>49069.04</v>
      </c>
      <c r="H32" s="678"/>
      <c r="I32" s="677">
        <v>86373.17</v>
      </c>
      <c r="J32" s="678"/>
      <c r="K32" s="677">
        <v>22217.32</v>
      </c>
      <c r="L32" s="678"/>
      <c r="M32" s="677">
        <v>53032.06</v>
      </c>
      <c r="N32" s="678"/>
      <c r="O32" s="677">
        <v>50351.9</v>
      </c>
      <c r="P32" s="678"/>
      <c r="Q32" s="677">
        <v>62440.47</v>
      </c>
      <c r="R32" s="678"/>
      <c r="S32" s="677">
        <v>43666.879999999997</v>
      </c>
      <c r="T32" s="678"/>
      <c r="U32" s="677">
        <v>8923.48</v>
      </c>
      <c r="V32" s="678"/>
      <c r="W32" s="677">
        <v>62009.96</v>
      </c>
      <c r="X32" s="678"/>
      <c r="Y32" s="677">
        <v>15065.5</v>
      </c>
      <c r="Z32" s="678"/>
      <c r="AA32" s="677">
        <v>12182.82</v>
      </c>
      <c r="AB32" s="678"/>
      <c r="AC32" s="677">
        <f t="shared" si="2"/>
        <v>520331.59</v>
      </c>
      <c r="AD32" s="684"/>
      <c r="AE32" s="672"/>
      <c r="AF32" s="685">
        <f t="shared" si="1"/>
        <v>2.4548143447672276E-2</v>
      </c>
      <c r="AG32" s="672"/>
      <c r="AH32" s="672"/>
      <c r="AI32" s="672"/>
      <c r="AJ32" s="672"/>
      <c r="AK32" s="672"/>
    </row>
    <row r="33" spans="1:37">
      <c r="A33" s="676"/>
      <c r="B33" s="676"/>
      <c r="C33" s="676" t="s">
        <v>159</v>
      </c>
      <c r="D33" s="676"/>
      <c r="E33" s="677">
        <v>87611.11</v>
      </c>
      <c r="F33" s="678"/>
      <c r="G33" s="677">
        <v>56589.51</v>
      </c>
      <c r="H33" s="678"/>
      <c r="I33" s="677">
        <v>43084.62</v>
      </c>
      <c r="J33" s="678"/>
      <c r="K33" s="677">
        <v>36606.81</v>
      </c>
      <c r="L33" s="678"/>
      <c r="M33" s="677">
        <v>35028.879999999997</v>
      </c>
      <c r="N33" s="678"/>
      <c r="O33" s="677">
        <v>34968.69</v>
      </c>
      <c r="P33" s="678"/>
      <c r="Q33" s="677">
        <v>41715.760000000002</v>
      </c>
      <c r="R33" s="678"/>
      <c r="S33" s="677">
        <v>39980.21</v>
      </c>
      <c r="T33" s="678"/>
      <c r="U33" s="677">
        <v>33286.18</v>
      </c>
      <c r="V33" s="678"/>
      <c r="W33" s="677">
        <v>47575.53</v>
      </c>
      <c r="X33" s="678"/>
      <c r="Y33" s="677">
        <v>41068.67</v>
      </c>
      <c r="Z33" s="678"/>
      <c r="AA33" s="677">
        <v>20171.75</v>
      </c>
      <c r="AB33" s="678"/>
      <c r="AC33" s="677">
        <f t="shared" si="2"/>
        <v>517687.72</v>
      </c>
      <c r="AD33" s="684"/>
      <c r="AE33" s="672"/>
      <c r="AF33" s="685">
        <f t="shared" si="1"/>
        <v>2.44234112552313E-2</v>
      </c>
      <c r="AG33" s="672"/>
      <c r="AH33" s="672"/>
      <c r="AI33" s="672"/>
      <c r="AJ33" s="672"/>
      <c r="AK33" s="672"/>
    </row>
    <row r="34" spans="1:37">
      <c r="A34" s="676"/>
      <c r="B34" s="676"/>
      <c r="C34" s="676" t="s">
        <v>160</v>
      </c>
      <c r="D34" s="676"/>
      <c r="E34" s="677">
        <v>15241.92</v>
      </c>
      <c r="F34" s="678"/>
      <c r="G34" s="677">
        <v>7367.82</v>
      </c>
      <c r="H34" s="678"/>
      <c r="I34" s="677">
        <v>9653.32</v>
      </c>
      <c r="J34" s="678"/>
      <c r="K34" s="677">
        <v>9115.59</v>
      </c>
      <c r="L34" s="678"/>
      <c r="M34" s="677">
        <v>23967.24</v>
      </c>
      <c r="N34" s="678"/>
      <c r="O34" s="677">
        <v>7077.31</v>
      </c>
      <c r="P34" s="678"/>
      <c r="Q34" s="677">
        <v>13158.29</v>
      </c>
      <c r="R34" s="678"/>
      <c r="S34" s="677">
        <v>5979.87</v>
      </c>
      <c r="T34" s="678"/>
      <c r="U34" s="677">
        <v>6325.35</v>
      </c>
      <c r="V34" s="678"/>
      <c r="W34" s="677">
        <v>11900.04</v>
      </c>
      <c r="X34" s="678"/>
      <c r="Y34" s="677">
        <v>12256.63</v>
      </c>
      <c r="Z34" s="678"/>
      <c r="AA34" s="677">
        <v>4250.43</v>
      </c>
      <c r="AB34" s="678"/>
      <c r="AC34" s="677">
        <f t="shared" si="2"/>
        <v>126293.81</v>
      </c>
      <c r="AD34" s="684"/>
      <c r="AE34" s="672"/>
      <c r="AF34" s="685">
        <f t="shared" si="1"/>
        <v>5.9582747309904188E-3</v>
      </c>
      <c r="AG34" s="672"/>
      <c r="AH34" s="672"/>
      <c r="AI34" s="672"/>
      <c r="AJ34" s="672"/>
      <c r="AK34" s="672"/>
    </row>
    <row r="35" spans="1:37">
      <c r="A35" s="676"/>
      <c r="B35" s="676"/>
      <c r="C35" s="676" t="s">
        <v>161</v>
      </c>
      <c r="D35" s="676"/>
      <c r="E35" s="677">
        <v>21411.15</v>
      </c>
      <c r="F35" s="678"/>
      <c r="G35" s="677">
        <v>16743.45</v>
      </c>
      <c r="H35" s="678"/>
      <c r="I35" s="677">
        <v>8711.9599999999991</v>
      </c>
      <c r="J35" s="678"/>
      <c r="K35" s="677">
        <v>68801.16</v>
      </c>
      <c r="L35" s="678"/>
      <c r="M35" s="677">
        <v>12041.71</v>
      </c>
      <c r="N35" s="678"/>
      <c r="O35" s="677">
        <v>18319.91</v>
      </c>
      <c r="P35" s="678"/>
      <c r="Q35" s="677">
        <v>730.61</v>
      </c>
      <c r="R35" s="678"/>
      <c r="S35" s="677">
        <v>8221.58</v>
      </c>
      <c r="T35" s="678"/>
      <c r="U35" s="677">
        <v>8921.76</v>
      </c>
      <c r="V35" s="678"/>
      <c r="W35" s="677">
        <v>6130.14</v>
      </c>
      <c r="X35" s="678"/>
      <c r="Y35" s="677">
        <v>1915.5</v>
      </c>
      <c r="Z35" s="678"/>
      <c r="AA35" s="677">
        <v>3177.29</v>
      </c>
      <c r="AB35" s="678"/>
      <c r="AC35" s="677">
        <f t="shared" si="2"/>
        <v>175126.22</v>
      </c>
      <c r="AD35" s="684"/>
      <c r="AE35" s="672"/>
      <c r="AF35" s="685">
        <f t="shared" si="1"/>
        <v>8.262084510395791E-3</v>
      </c>
      <c r="AG35" s="672"/>
      <c r="AH35" s="672"/>
      <c r="AI35" s="672"/>
      <c r="AJ35" s="672"/>
      <c r="AK35" s="672"/>
    </row>
    <row r="36" spans="1:37">
      <c r="A36" s="676"/>
      <c r="B36" s="676"/>
      <c r="C36" s="676" t="s">
        <v>162</v>
      </c>
      <c r="D36" s="676"/>
      <c r="E36" s="677">
        <v>2877.5</v>
      </c>
      <c r="F36" s="678"/>
      <c r="G36" s="677">
        <v>4438.57</v>
      </c>
      <c r="H36" s="678"/>
      <c r="I36" s="677">
        <v>1407.95</v>
      </c>
      <c r="J36" s="678"/>
      <c r="K36" s="677">
        <v>7416.48</v>
      </c>
      <c r="L36" s="678"/>
      <c r="M36" s="677">
        <v>0</v>
      </c>
      <c r="N36" s="678"/>
      <c r="O36" s="677">
        <v>2829.25</v>
      </c>
      <c r="P36" s="678"/>
      <c r="Q36" s="677">
        <v>1012.74</v>
      </c>
      <c r="R36" s="678"/>
      <c r="S36" s="677">
        <v>6729.2</v>
      </c>
      <c r="T36" s="678"/>
      <c r="U36" s="677">
        <v>0</v>
      </c>
      <c r="V36" s="678"/>
      <c r="W36" s="677">
        <v>0</v>
      </c>
      <c r="X36" s="678"/>
      <c r="Y36" s="677">
        <v>2466.61</v>
      </c>
      <c r="Z36" s="678"/>
      <c r="AA36" s="677">
        <v>21613.9</v>
      </c>
      <c r="AB36" s="678"/>
      <c r="AC36" s="677">
        <f t="shared" si="2"/>
        <v>50792.2</v>
      </c>
      <c r="AD36" s="684"/>
      <c r="AE36" s="672"/>
      <c r="AF36" s="685">
        <f t="shared" si="1"/>
        <v>2.3962685248897909E-3</v>
      </c>
      <c r="AG36" s="672"/>
      <c r="AH36" s="672"/>
      <c r="AI36" s="672"/>
      <c r="AJ36" s="672"/>
      <c r="AK36" s="672"/>
    </row>
    <row r="37" spans="1:37">
      <c r="A37" s="676"/>
      <c r="B37" s="676"/>
      <c r="C37" s="676" t="s">
        <v>163</v>
      </c>
      <c r="D37" s="676"/>
      <c r="E37" s="677">
        <v>13838.56</v>
      </c>
      <c r="F37" s="678"/>
      <c r="G37" s="677">
        <v>12800.68</v>
      </c>
      <c r="H37" s="678"/>
      <c r="I37" s="677">
        <v>12414.37</v>
      </c>
      <c r="J37" s="678"/>
      <c r="K37" s="677">
        <v>9025.69</v>
      </c>
      <c r="L37" s="678"/>
      <c r="M37" s="677">
        <v>25642.9</v>
      </c>
      <c r="N37" s="678"/>
      <c r="O37" s="677">
        <v>33845.089999999997</v>
      </c>
      <c r="P37" s="678"/>
      <c r="Q37" s="677">
        <v>60539.98</v>
      </c>
      <c r="R37" s="678"/>
      <c r="S37" s="677">
        <v>33235.760000000002</v>
      </c>
      <c r="T37" s="678"/>
      <c r="U37" s="677">
        <v>30644.799999999999</v>
      </c>
      <c r="V37" s="678"/>
      <c r="W37" s="677">
        <v>25386.94</v>
      </c>
      <c r="X37" s="678"/>
      <c r="Y37" s="677">
        <v>27010.68</v>
      </c>
      <c r="Z37" s="678"/>
      <c r="AA37" s="677">
        <v>8898.94</v>
      </c>
      <c r="AB37" s="678"/>
      <c r="AC37" s="677">
        <f t="shared" si="2"/>
        <v>293284.39</v>
      </c>
      <c r="AD37" s="684"/>
      <c r="AE37" s="672"/>
      <c r="AF37" s="685">
        <f t="shared" si="1"/>
        <v>1.3836536960369943E-2</v>
      </c>
      <c r="AG37" s="672"/>
      <c r="AH37" s="672"/>
      <c r="AI37" s="672"/>
      <c r="AJ37" s="672"/>
      <c r="AK37" s="672"/>
    </row>
    <row r="38" spans="1:37">
      <c r="A38" s="676"/>
      <c r="B38" s="676"/>
      <c r="C38" s="676" t="s">
        <v>164</v>
      </c>
      <c r="D38" s="676"/>
      <c r="E38" s="677">
        <v>2599.0300000000002</v>
      </c>
      <c r="F38" s="678"/>
      <c r="G38" s="677">
        <v>2848.34</v>
      </c>
      <c r="H38" s="678"/>
      <c r="I38" s="677">
        <v>786.67</v>
      </c>
      <c r="J38" s="678"/>
      <c r="K38" s="677">
        <v>184.05</v>
      </c>
      <c r="L38" s="678"/>
      <c r="M38" s="677">
        <v>1061.8900000000001</v>
      </c>
      <c r="N38" s="678"/>
      <c r="O38" s="677">
        <v>5693.67</v>
      </c>
      <c r="P38" s="678"/>
      <c r="Q38" s="677">
        <v>0</v>
      </c>
      <c r="R38" s="678"/>
      <c r="S38" s="677">
        <v>0</v>
      </c>
      <c r="T38" s="678"/>
      <c r="U38" s="677">
        <v>11079.02</v>
      </c>
      <c r="V38" s="678"/>
      <c r="W38" s="677">
        <v>1700.24</v>
      </c>
      <c r="X38" s="678"/>
      <c r="Y38" s="677">
        <v>158.31</v>
      </c>
      <c r="Z38" s="678"/>
      <c r="AA38" s="677">
        <v>391.34</v>
      </c>
      <c r="AB38" s="678"/>
      <c r="AC38" s="677">
        <f t="shared" si="2"/>
        <v>26502.560000000001</v>
      </c>
      <c r="AD38" s="684"/>
      <c r="AE38" s="672"/>
      <c r="AF38" s="685">
        <f t="shared" si="1"/>
        <v>1.2503347040884857E-3</v>
      </c>
      <c r="AG38" s="672"/>
      <c r="AH38" s="672"/>
      <c r="AI38" s="672"/>
      <c r="AJ38" s="672"/>
      <c r="AK38" s="672"/>
    </row>
    <row r="39" spans="1:37">
      <c r="A39" s="676"/>
      <c r="B39" s="676"/>
      <c r="C39" s="676" t="s">
        <v>165</v>
      </c>
      <c r="D39" s="676"/>
      <c r="E39" s="677">
        <v>0</v>
      </c>
      <c r="F39" s="678"/>
      <c r="G39" s="677">
        <v>0</v>
      </c>
      <c r="H39" s="678"/>
      <c r="I39" s="677">
        <v>0</v>
      </c>
      <c r="J39" s="678"/>
      <c r="K39" s="677">
        <v>0</v>
      </c>
      <c r="L39" s="678"/>
      <c r="M39" s="677">
        <v>830.51</v>
      </c>
      <c r="N39" s="678"/>
      <c r="O39" s="677">
        <v>343.71</v>
      </c>
      <c r="P39" s="678"/>
      <c r="Q39" s="677">
        <v>1491.45</v>
      </c>
      <c r="R39" s="678"/>
      <c r="S39" s="677">
        <v>0</v>
      </c>
      <c r="T39" s="678"/>
      <c r="U39" s="677">
        <v>0</v>
      </c>
      <c r="V39" s="678"/>
      <c r="W39" s="677">
        <v>0</v>
      </c>
      <c r="X39" s="678"/>
      <c r="Y39" s="677">
        <v>0</v>
      </c>
      <c r="Z39" s="678"/>
      <c r="AA39" s="677">
        <v>1452.38</v>
      </c>
      <c r="AB39" s="678"/>
      <c r="AC39" s="677">
        <f t="shared" si="2"/>
        <v>4118.05</v>
      </c>
      <c r="AD39" s="684"/>
      <c r="AE39" s="672"/>
      <c r="AF39" s="685">
        <f t="shared" si="1"/>
        <v>1.9428088562658055E-4</v>
      </c>
      <c r="AG39" s="672"/>
      <c r="AH39" s="672"/>
      <c r="AI39" s="672"/>
      <c r="AJ39" s="672"/>
      <c r="AK39" s="672"/>
    </row>
    <row r="40" spans="1:37" ht="15.75" thickBot="1">
      <c r="A40" s="676"/>
      <c r="B40" s="676"/>
      <c r="C40" s="676" t="s">
        <v>166</v>
      </c>
      <c r="D40" s="676"/>
      <c r="E40" s="680">
        <v>2839</v>
      </c>
      <c r="F40" s="678"/>
      <c r="G40" s="680">
        <v>0</v>
      </c>
      <c r="H40" s="678"/>
      <c r="I40" s="680">
        <v>-2839</v>
      </c>
      <c r="J40" s="678"/>
      <c r="K40" s="680">
        <v>4169.25</v>
      </c>
      <c r="L40" s="678"/>
      <c r="M40" s="680">
        <v>-3294.39</v>
      </c>
      <c r="N40" s="678"/>
      <c r="O40" s="680">
        <v>3294.39</v>
      </c>
      <c r="P40" s="678"/>
      <c r="Q40" s="680">
        <v>0</v>
      </c>
      <c r="R40" s="678"/>
      <c r="S40" s="680">
        <v>0</v>
      </c>
      <c r="T40" s="678"/>
      <c r="U40" s="680">
        <v>0</v>
      </c>
      <c r="V40" s="678"/>
      <c r="W40" s="680">
        <v>463.6</v>
      </c>
      <c r="X40" s="678"/>
      <c r="Y40" s="680">
        <v>20502.27</v>
      </c>
      <c r="Z40" s="678"/>
      <c r="AA40" s="680">
        <v>103852.47</v>
      </c>
      <c r="AB40" s="678"/>
      <c r="AC40" s="680">
        <f t="shared" si="2"/>
        <v>128987.59</v>
      </c>
      <c r="AD40" s="684"/>
      <c r="AE40" s="672"/>
      <c r="AF40" s="685">
        <f t="shared" si="1"/>
        <v>6.0853615716269264E-3</v>
      </c>
      <c r="AG40" s="672"/>
      <c r="AH40" s="672"/>
      <c r="AI40" s="672"/>
      <c r="AJ40" s="672"/>
      <c r="AK40" s="672"/>
    </row>
    <row r="41" spans="1:37">
      <c r="A41" s="676"/>
      <c r="B41" s="676" t="s">
        <v>167</v>
      </c>
      <c r="C41" s="676"/>
      <c r="D41" s="676"/>
      <c r="E41" s="677">
        <f>ROUND(SUM(E30:E40),5)</f>
        <v>265859.64</v>
      </c>
      <c r="F41" s="678"/>
      <c r="G41" s="677">
        <f>ROUND(SUM(G30:G40),5)</f>
        <v>211904.08</v>
      </c>
      <c r="H41" s="678"/>
      <c r="I41" s="677">
        <f>ROUND(SUM(I30:I40),5)</f>
        <v>210177.51</v>
      </c>
      <c r="J41" s="678"/>
      <c r="K41" s="677">
        <f>ROUND(SUM(K30:K40),5)</f>
        <v>211725.89</v>
      </c>
      <c r="L41" s="678"/>
      <c r="M41" s="677">
        <f>ROUND(SUM(M30:M40),5)</f>
        <v>197694.78</v>
      </c>
      <c r="N41" s="678"/>
      <c r="O41" s="677">
        <f>ROUND(SUM(O30:O40),5)</f>
        <v>194136.74</v>
      </c>
      <c r="P41" s="678"/>
      <c r="Q41" s="677">
        <f>ROUND(SUM(Q30:Q40),5)</f>
        <v>256418.08</v>
      </c>
      <c r="R41" s="678"/>
      <c r="S41" s="677">
        <f>ROUND(SUM(S30:S40),5)</f>
        <v>206021.73</v>
      </c>
      <c r="T41" s="678"/>
      <c r="U41" s="677">
        <f>ROUND(SUM(U30:U40),5)</f>
        <v>202724.53</v>
      </c>
      <c r="V41" s="678"/>
      <c r="W41" s="677">
        <f>ROUND(SUM(W30:W40),5)</f>
        <v>228953.38</v>
      </c>
      <c r="X41" s="678"/>
      <c r="Y41" s="677">
        <f>ROUND(SUM(Y30:Y40),5)</f>
        <v>236514.84</v>
      </c>
      <c r="Z41" s="678"/>
      <c r="AA41" s="677">
        <f>ROUND(SUM(AA30:AA40),5)</f>
        <v>200927.55</v>
      </c>
      <c r="AB41" s="678"/>
      <c r="AC41" s="677">
        <f t="shared" si="2"/>
        <v>2623058.75</v>
      </c>
      <c r="AD41" s="684"/>
      <c r="AE41" s="672"/>
      <c r="AF41" s="672"/>
      <c r="AG41" s="672"/>
      <c r="AH41" s="672"/>
      <c r="AI41" s="672"/>
      <c r="AJ41" s="672"/>
      <c r="AK41" s="672"/>
    </row>
    <row r="42" spans="1:37">
      <c r="A42" s="676"/>
      <c r="B42" s="676" t="s">
        <v>168</v>
      </c>
      <c r="C42" s="676"/>
      <c r="D42" s="676"/>
      <c r="E42" s="677"/>
      <c r="F42" s="678"/>
      <c r="G42" s="677"/>
      <c r="H42" s="678"/>
      <c r="I42" s="677"/>
      <c r="J42" s="678"/>
      <c r="K42" s="677"/>
      <c r="L42" s="678"/>
      <c r="M42" s="677"/>
      <c r="N42" s="678"/>
      <c r="O42" s="677"/>
      <c r="P42" s="678"/>
      <c r="Q42" s="677"/>
      <c r="R42" s="678"/>
      <c r="S42" s="677"/>
      <c r="T42" s="678"/>
      <c r="U42" s="677"/>
      <c r="V42" s="678"/>
      <c r="W42" s="677"/>
      <c r="X42" s="678"/>
      <c r="Y42" s="677"/>
      <c r="Z42" s="678"/>
      <c r="AA42" s="677"/>
      <c r="AB42" s="678"/>
      <c r="AC42" s="677"/>
      <c r="AD42" s="672"/>
      <c r="AE42" s="672"/>
      <c r="AF42" s="672"/>
      <c r="AG42" s="672"/>
      <c r="AH42" s="672"/>
      <c r="AI42" s="672"/>
      <c r="AJ42" s="672"/>
      <c r="AK42" s="672"/>
    </row>
    <row r="43" spans="1:37">
      <c r="A43" s="676"/>
      <c r="B43" s="676"/>
      <c r="C43" s="676" t="s">
        <v>169</v>
      </c>
      <c r="D43" s="676"/>
      <c r="E43" s="677">
        <v>4165.8599999999997</v>
      </c>
      <c r="F43" s="678"/>
      <c r="G43" s="677">
        <v>2559.0700000000002</v>
      </c>
      <c r="H43" s="678"/>
      <c r="I43" s="677">
        <v>0</v>
      </c>
      <c r="J43" s="678"/>
      <c r="K43" s="677">
        <v>3745.13</v>
      </c>
      <c r="L43" s="678"/>
      <c r="M43" s="677">
        <v>7158.01</v>
      </c>
      <c r="N43" s="678"/>
      <c r="O43" s="677">
        <v>3972.48</v>
      </c>
      <c r="P43" s="678"/>
      <c r="Q43" s="677">
        <v>5844.07</v>
      </c>
      <c r="R43" s="678"/>
      <c r="S43" s="677">
        <v>3598.29</v>
      </c>
      <c r="T43" s="678"/>
      <c r="U43" s="677">
        <v>10091.49</v>
      </c>
      <c r="V43" s="678"/>
      <c r="W43" s="677">
        <v>1978.89</v>
      </c>
      <c r="X43" s="678"/>
      <c r="Y43" s="677">
        <v>0</v>
      </c>
      <c r="Z43" s="678"/>
      <c r="AA43" s="677">
        <v>194.17</v>
      </c>
      <c r="AB43" s="678"/>
      <c r="AC43" s="677">
        <f t="shared" ref="AC43:AC51" si="3">ROUND(SUM(E43:AA43),5)</f>
        <v>43307.46</v>
      </c>
      <c r="AD43" s="684"/>
      <c r="AE43" s="672"/>
      <c r="AF43" s="685">
        <f t="shared" ref="AF43:AF50" si="4">+AC43/$AC$25</f>
        <v>2.0431543286355707E-3</v>
      </c>
      <c r="AG43" s="672"/>
      <c r="AH43" s="672"/>
      <c r="AI43" s="672"/>
      <c r="AJ43" s="672"/>
      <c r="AK43" s="672"/>
    </row>
    <row r="44" spans="1:37">
      <c r="A44" s="676"/>
      <c r="B44" s="676"/>
      <c r="C44" s="676" t="s">
        <v>170</v>
      </c>
      <c r="D44" s="676"/>
      <c r="E44" s="677">
        <v>166.2</v>
      </c>
      <c r="F44" s="678"/>
      <c r="G44" s="677">
        <v>2674.63</v>
      </c>
      <c r="H44" s="678"/>
      <c r="I44" s="677">
        <v>2713.03</v>
      </c>
      <c r="J44" s="678"/>
      <c r="K44" s="677">
        <v>73.45</v>
      </c>
      <c r="L44" s="678"/>
      <c r="M44" s="677">
        <v>5678.91</v>
      </c>
      <c r="N44" s="678"/>
      <c r="O44" s="677">
        <v>735.26</v>
      </c>
      <c r="P44" s="678"/>
      <c r="Q44" s="677">
        <v>6063.21</v>
      </c>
      <c r="R44" s="678"/>
      <c r="S44" s="677">
        <v>4191.05</v>
      </c>
      <c r="T44" s="678"/>
      <c r="U44" s="677">
        <v>0</v>
      </c>
      <c r="V44" s="678"/>
      <c r="W44" s="677">
        <v>4991.43</v>
      </c>
      <c r="X44" s="678"/>
      <c r="Y44" s="677">
        <v>128.9</v>
      </c>
      <c r="Z44" s="678"/>
      <c r="AA44" s="677">
        <v>0</v>
      </c>
      <c r="AB44" s="678"/>
      <c r="AC44" s="677">
        <f t="shared" si="3"/>
        <v>27416.07</v>
      </c>
      <c r="AD44" s="684"/>
      <c r="AE44" s="672"/>
      <c r="AF44" s="685">
        <f t="shared" si="4"/>
        <v>1.2934321729945791E-3</v>
      </c>
      <c r="AG44" s="672"/>
      <c r="AH44" s="672"/>
      <c r="AI44" s="672"/>
      <c r="AJ44" s="672"/>
      <c r="AK44" s="672"/>
    </row>
    <row r="45" spans="1:37">
      <c r="A45" s="676"/>
      <c r="B45" s="676"/>
      <c r="C45" s="676" t="s">
        <v>171</v>
      </c>
      <c r="D45" s="676"/>
      <c r="E45" s="677">
        <v>1835.02</v>
      </c>
      <c r="F45" s="678"/>
      <c r="G45" s="677">
        <v>1456.38</v>
      </c>
      <c r="H45" s="678"/>
      <c r="I45" s="677">
        <v>4047.65</v>
      </c>
      <c r="J45" s="678"/>
      <c r="K45" s="677">
        <v>1082.6300000000001</v>
      </c>
      <c r="L45" s="678"/>
      <c r="M45" s="677">
        <v>456.91</v>
      </c>
      <c r="N45" s="678"/>
      <c r="O45" s="677">
        <v>0</v>
      </c>
      <c r="P45" s="678"/>
      <c r="Q45" s="677">
        <v>3355.21</v>
      </c>
      <c r="R45" s="678"/>
      <c r="S45" s="677">
        <v>6550.68</v>
      </c>
      <c r="T45" s="678"/>
      <c r="U45" s="677">
        <v>1063.1500000000001</v>
      </c>
      <c r="V45" s="678"/>
      <c r="W45" s="677">
        <v>1996.1</v>
      </c>
      <c r="X45" s="678"/>
      <c r="Y45" s="677">
        <v>381.21</v>
      </c>
      <c r="Z45" s="678"/>
      <c r="AA45" s="677">
        <v>0</v>
      </c>
      <c r="AB45" s="678"/>
      <c r="AC45" s="677">
        <f t="shared" si="3"/>
        <v>22224.94</v>
      </c>
      <c r="AD45" s="684"/>
      <c r="AE45" s="672"/>
      <c r="AF45" s="685">
        <f t="shared" si="4"/>
        <v>1.0485256434957359E-3</v>
      </c>
      <c r="AG45" s="672"/>
      <c r="AH45" s="672"/>
      <c r="AI45" s="672"/>
      <c r="AJ45" s="672"/>
      <c r="AK45" s="672"/>
    </row>
    <row r="46" spans="1:37">
      <c r="A46" s="676"/>
      <c r="B46" s="676"/>
      <c r="C46" s="676" t="s">
        <v>172</v>
      </c>
      <c r="D46" s="676"/>
      <c r="E46" s="677">
        <v>0</v>
      </c>
      <c r="F46" s="678"/>
      <c r="G46" s="677">
        <v>0</v>
      </c>
      <c r="H46" s="678"/>
      <c r="I46" s="677">
        <v>175.52</v>
      </c>
      <c r="J46" s="678"/>
      <c r="K46" s="677">
        <v>389.47</v>
      </c>
      <c r="L46" s="678"/>
      <c r="M46" s="677">
        <v>1115.06</v>
      </c>
      <c r="N46" s="678"/>
      <c r="O46" s="677">
        <v>0</v>
      </c>
      <c r="P46" s="678"/>
      <c r="Q46" s="677">
        <v>982.88</v>
      </c>
      <c r="R46" s="678"/>
      <c r="S46" s="677">
        <v>666.22</v>
      </c>
      <c r="T46" s="678"/>
      <c r="U46" s="677">
        <v>166.65</v>
      </c>
      <c r="V46" s="678"/>
      <c r="W46" s="677">
        <v>1665.59</v>
      </c>
      <c r="X46" s="678"/>
      <c r="Y46" s="677">
        <v>0</v>
      </c>
      <c r="Z46" s="678"/>
      <c r="AA46" s="677">
        <v>0</v>
      </c>
      <c r="AB46" s="678"/>
      <c r="AC46" s="677">
        <f t="shared" si="3"/>
        <v>5161.3900000000003</v>
      </c>
      <c r="AD46" s="684"/>
      <c r="AE46" s="672"/>
      <c r="AF46" s="685">
        <f t="shared" si="4"/>
        <v>2.4350345922564726E-4</v>
      </c>
      <c r="AG46" s="672"/>
      <c r="AH46" s="672"/>
      <c r="AI46" s="672"/>
      <c r="AJ46" s="672"/>
      <c r="AK46" s="672"/>
    </row>
    <row r="47" spans="1:37">
      <c r="A47" s="676"/>
      <c r="B47" s="676"/>
      <c r="C47" s="676" t="s">
        <v>173</v>
      </c>
      <c r="D47" s="676"/>
      <c r="E47" s="677">
        <v>0</v>
      </c>
      <c r="F47" s="678"/>
      <c r="G47" s="677">
        <v>1192.71</v>
      </c>
      <c r="H47" s="678"/>
      <c r="I47" s="677">
        <v>3784.39</v>
      </c>
      <c r="J47" s="678"/>
      <c r="K47" s="677">
        <v>0</v>
      </c>
      <c r="L47" s="678"/>
      <c r="M47" s="677">
        <v>1486.97</v>
      </c>
      <c r="N47" s="678"/>
      <c r="O47" s="677">
        <v>1486.97</v>
      </c>
      <c r="P47" s="678"/>
      <c r="Q47" s="677">
        <v>1642.75</v>
      </c>
      <c r="R47" s="678"/>
      <c r="S47" s="677">
        <v>1869.17</v>
      </c>
      <c r="T47" s="678"/>
      <c r="U47" s="677">
        <v>66.319999999999993</v>
      </c>
      <c r="V47" s="678"/>
      <c r="W47" s="677">
        <v>1357.8</v>
      </c>
      <c r="X47" s="678"/>
      <c r="Y47" s="677">
        <v>0</v>
      </c>
      <c r="Z47" s="678"/>
      <c r="AA47" s="677">
        <v>0</v>
      </c>
      <c r="AB47" s="678"/>
      <c r="AC47" s="677">
        <f t="shared" si="3"/>
        <v>12887.08</v>
      </c>
      <c r="AD47" s="684"/>
      <c r="AE47" s="672"/>
      <c r="AF47" s="685">
        <f t="shared" si="4"/>
        <v>6.079851666542644E-4</v>
      </c>
      <c r="AG47" s="672"/>
      <c r="AH47" s="672"/>
      <c r="AI47" s="672"/>
      <c r="AJ47" s="672"/>
      <c r="AK47" s="672"/>
    </row>
    <row r="48" spans="1:37">
      <c r="A48" s="676"/>
      <c r="B48" s="676"/>
      <c r="C48" s="676" t="s">
        <v>174</v>
      </c>
      <c r="D48" s="676"/>
      <c r="E48" s="677">
        <v>0</v>
      </c>
      <c r="F48" s="678"/>
      <c r="G48" s="677">
        <v>0</v>
      </c>
      <c r="H48" s="678"/>
      <c r="I48" s="677">
        <v>0</v>
      </c>
      <c r="J48" s="678"/>
      <c r="K48" s="677">
        <v>0</v>
      </c>
      <c r="L48" s="678"/>
      <c r="M48" s="677">
        <v>0</v>
      </c>
      <c r="N48" s="678"/>
      <c r="O48" s="677">
        <v>0</v>
      </c>
      <c r="P48" s="678"/>
      <c r="Q48" s="677">
        <v>182.11</v>
      </c>
      <c r="R48" s="678"/>
      <c r="S48" s="677">
        <v>0</v>
      </c>
      <c r="T48" s="678"/>
      <c r="U48" s="677">
        <v>0</v>
      </c>
      <c r="V48" s="678"/>
      <c r="W48" s="677">
        <v>0</v>
      </c>
      <c r="X48" s="678"/>
      <c r="Y48" s="677">
        <v>0</v>
      </c>
      <c r="Z48" s="678"/>
      <c r="AA48" s="677">
        <v>0</v>
      </c>
      <c r="AB48" s="678"/>
      <c r="AC48" s="677">
        <f t="shared" si="3"/>
        <v>182.11</v>
      </c>
      <c r="AD48" s="684"/>
      <c r="AE48" s="672"/>
      <c r="AF48" s="685">
        <f t="shared" si="4"/>
        <v>8.5915644738302314E-6</v>
      </c>
      <c r="AG48" s="672"/>
      <c r="AH48" s="672"/>
      <c r="AI48" s="672"/>
      <c r="AJ48" s="672"/>
      <c r="AK48" s="672"/>
    </row>
    <row r="49" spans="1:37">
      <c r="A49" s="676"/>
      <c r="B49" s="676"/>
      <c r="C49" s="676" t="s">
        <v>175</v>
      </c>
      <c r="D49" s="676"/>
      <c r="E49" s="677">
        <v>1258.1300000000001</v>
      </c>
      <c r="F49" s="678"/>
      <c r="G49" s="677">
        <v>0</v>
      </c>
      <c r="H49" s="678"/>
      <c r="I49" s="677">
        <v>1486.97</v>
      </c>
      <c r="J49" s="678"/>
      <c r="K49" s="677">
        <v>122.9</v>
      </c>
      <c r="L49" s="678"/>
      <c r="M49" s="677">
        <v>743.49</v>
      </c>
      <c r="N49" s="678"/>
      <c r="O49" s="677">
        <v>0</v>
      </c>
      <c r="P49" s="678"/>
      <c r="Q49" s="677">
        <v>1403.52</v>
      </c>
      <c r="R49" s="678"/>
      <c r="S49" s="677">
        <v>5124.8100000000004</v>
      </c>
      <c r="T49" s="678"/>
      <c r="U49" s="677">
        <v>83.54</v>
      </c>
      <c r="V49" s="678"/>
      <c r="W49" s="677">
        <v>81.349999999999994</v>
      </c>
      <c r="X49" s="678"/>
      <c r="Y49" s="677">
        <v>0</v>
      </c>
      <c r="Z49" s="678"/>
      <c r="AA49" s="677">
        <v>0</v>
      </c>
      <c r="AB49" s="678"/>
      <c r="AC49" s="677">
        <f t="shared" si="3"/>
        <v>10304.709999999999</v>
      </c>
      <c r="AD49" s="684"/>
      <c r="AE49" s="672"/>
      <c r="AF49" s="685">
        <f t="shared" si="4"/>
        <v>4.861544140855698E-4</v>
      </c>
      <c r="AG49" s="672"/>
      <c r="AH49" s="672"/>
      <c r="AI49" s="672"/>
      <c r="AJ49" s="672"/>
      <c r="AK49" s="672"/>
    </row>
    <row r="50" spans="1:37" ht="15.75" thickBot="1">
      <c r="A50" s="676"/>
      <c r="B50" s="676"/>
      <c r="C50" s="676" t="s">
        <v>176</v>
      </c>
      <c r="D50" s="676"/>
      <c r="E50" s="680">
        <v>0</v>
      </c>
      <c r="F50" s="678"/>
      <c r="G50" s="680">
        <v>0</v>
      </c>
      <c r="H50" s="678"/>
      <c r="I50" s="680">
        <v>0</v>
      </c>
      <c r="J50" s="678"/>
      <c r="K50" s="680">
        <v>0</v>
      </c>
      <c r="L50" s="678"/>
      <c r="M50" s="680">
        <v>0</v>
      </c>
      <c r="N50" s="678"/>
      <c r="O50" s="680">
        <v>0</v>
      </c>
      <c r="P50" s="678"/>
      <c r="Q50" s="680">
        <v>0</v>
      </c>
      <c r="R50" s="678"/>
      <c r="S50" s="680">
        <v>701.97</v>
      </c>
      <c r="T50" s="678"/>
      <c r="U50" s="680">
        <v>527.12</v>
      </c>
      <c r="V50" s="678"/>
      <c r="W50" s="680">
        <v>274.38</v>
      </c>
      <c r="X50" s="678"/>
      <c r="Y50" s="680">
        <v>1853.63</v>
      </c>
      <c r="Z50" s="678"/>
      <c r="AA50" s="680">
        <v>0</v>
      </c>
      <c r="AB50" s="678"/>
      <c r="AC50" s="680">
        <f t="shared" si="3"/>
        <v>3357.1</v>
      </c>
      <c r="AD50" s="684"/>
      <c r="AE50" s="672"/>
      <c r="AF50" s="685">
        <f t="shared" si="4"/>
        <v>1.5838087471910093E-4</v>
      </c>
      <c r="AG50" s="672"/>
      <c r="AH50" s="672"/>
      <c r="AI50" s="672"/>
      <c r="AJ50" s="672"/>
      <c r="AK50" s="672"/>
    </row>
    <row r="51" spans="1:37">
      <c r="A51" s="676"/>
      <c r="B51" s="676" t="s">
        <v>177</v>
      </c>
      <c r="C51" s="676"/>
      <c r="D51" s="676"/>
      <c r="E51" s="677">
        <f>ROUND(SUM(E42:E50),5)</f>
        <v>7425.21</v>
      </c>
      <c r="F51" s="678"/>
      <c r="G51" s="677">
        <f>ROUND(SUM(G42:G50),5)</f>
        <v>7882.79</v>
      </c>
      <c r="H51" s="678"/>
      <c r="I51" s="677">
        <f>ROUND(SUM(I42:I50),5)</f>
        <v>12207.56</v>
      </c>
      <c r="J51" s="678"/>
      <c r="K51" s="677">
        <f>ROUND(SUM(K42:K50),5)</f>
        <v>5413.58</v>
      </c>
      <c r="L51" s="678"/>
      <c r="M51" s="677">
        <f>ROUND(SUM(M42:M50),5)</f>
        <v>16639.349999999999</v>
      </c>
      <c r="N51" s="678"/>
      <c r="O51" s="677">
        <f>ROUND(SUM(O42:O50),5)</f>
        <v>6194.71</v>
      </c>
      <c r="P51" s="678"/>
      <c r="Q51" s="677">
        <f>ROUND(SUM(Q42:Q50),5)</f>
        <v>19473.75</v>
      </c>
      <c r="R51" s="678"/>
      <c r="S51" s="677">
        <f>ROUND(SUM(S42:S50),5)</f>
        <v>22702.19</v>
      </c>
      <c r="T51" s="678"/>
      <c r="U51" s="677">
        <f>ROUND(SUM(U42:U50),5)</f>
        <v>11998.27</v>
      </c>
      <c r="V51" s="678"/>
      <c r="W51" s="677">
        <f>ROUND(SUM(W42:W50),5)</f>
        <v>12345.54</v>
      </c>
      <c r="X51" s="678"/>
      <c r="Y51" s="677">
        <f>ROUND(SUM(Y42:Y50),5)</f>
        <v>2363.7399999999998</v>
      </c>
      <c r="Z51" s="678"/>
      <c r="AA51" s="677">
        <f>ROUND(SUM(AA42:AA50),5)</f>
        <v>194.17</v>
      </c>
      <c r="AB51" s="678"/>
      <c r="AC51" s="677">
        <f t="shared" si="3"/>
        <v>124840.86</v>
      </c>
      <c r="AD51" s="684"/>
      <c r="AE51" s="672"/>
      <c r="AF51" s="672"/>
      <c r="AG51" s="672"/>
      <c r="AH51" s="672"/>
      <c r="AI51" s="672"/>
      <c r="AJ51" s="672"/>
      <c r="AK51" s="672"/>
    </row>
    <row r="52" spans="1:37">
      <c r="A52" s="676"/>
      <c r="B52" s="676" t="s">
        <v>178</v>
      </c>
      <c r="C52" s="676"/>
      <c r="D52" s="676"/>
      <c r="E52" s="677"/>
      <c r="F52" s="678"/>
      <c r="G52" s="677"/>
      <c r="H52" s="678"/>
      <c r="I52" s="677"/>
      <c r="J52" s="678"/>
      <c r="K52" s="677"/>
      <c r="L52" s="678"/>
      <c r="M52" s="677"/>
      <c r="N52" s="678"/>
      <c r="O52" s="677"/>
      <c r="P52" s="678"/>
      <c r="Q52" s="677"/>
      <c r="R52" s="678"/>
      <c r="S52" s="677"/>
      <c r="T52" s="678"/>
      <c r="U52" s="677"/>
      <c r="V52" s="678"/>
      <c r="W52" s="677"/>
      <c r="X52" s="678"/>
      <c r="Y52" s="677"/>
      <c r="Z52" s="678"/>
      <c r="AA52" s="677"/>
      <c r="AB52" s="678"/>
      <c r="AC52" s="677"/>
      <c r="AD52" s="672"/>
      <c r="AE52" s="672"/>
      <c r="AF52" s="672"/>
      <c r="AG52" s="672"/>
      <c r="AH52" s="672"/>
      <c r="AI52" s="672"/>
      <c r="AJ52" s="672"/>
      <c r="AK52" s="672"/>
    </row>
    <row r="53" spans="1:37">
      <c r="A53" s="676"/>
      <c r="B53" s="676"/>
      <c r="C53" s="676" t="s">
        <v>179</v>
      </c>
      <c r="D53" s="676"/>
      <c r="E53" s="677"/>
      <c r="F53" s="678"/>
      <c r="G53" s="677"/>
      <c r="H53" s="678"/>
      <c r="I53" s="677"/>
      <c r="J53" s="678"/>
      <c r="K53" s="677"/>
      <c r="L53" s="678"/>
      <c r="M53" s="677"/>
      <c r="N53" s="678"/>
      <c r="O53" s="677"/>
      <c r="P53" s="678"/>
      <c r="Q53" s="677"/>
      <c r="R53" s="678"/>
      <c r="S53" s="677"/>
      <c r="T53" s="678"/>
      <c r="U53" s="677"/>
      <c r="V53" s="678"/>
      <c r="W53" s="677"/>
      <c r="X53" s="678"/>
      <c r="Y53" s="677"/>
      <c r="Z53" s="678"/>
      <c r="AA53" s="677"/>
      <c r="AB53" s="678"/>
      <c r="AC53" s="677"/>
      <c r="AD53" s="672"/>
      <c r="AE53" s="672"/>
      <c r="AF53" s="672"/>
      <c r="AG53" s="672"/>
      <c r="AH53" s="672"/>
      <c r="AI53" s="672"/>
      <c r="AJ53" s="672"/>
      <c r="AK53" s="672"/>
    </row>
    <row r="54" spans="1:37">
      <c r="A54" s="676"/>
      <c r="B54" s="676"/>
      <c r="C54" s="676"/>
      <c r="D54" s="676" t="s">
        <v>180</v>
      </c>
      <c r="E54" s="677">
        <v>99406.14</v>
      </c>
      <c r="F54" s="678"/>
      <c r="G54" s="677">
        <v>77705.91</v>
      </c>
      <c r="H54" s="678"/>
      <c r="I54" s="677">
        <v>66726.62</v>
      </c>
      <c r="J54" s="678"/>
      <c r="K54" s="677">
        <v>69004.33</v>
      </c>
      <c r="L54" s="678"/>
      <c r="M54" s="677">
        <v>91793.03</v>
      </c>
      <c r="N54" s="678"/>
      <c r="O54" s="677">
        <v>80530.899999999994</v>
      </c>
      <c r="P54" s="678"/>
      <c r="Q54" s="677">
        <v>99472.29</v>
      </c>
      <c r="R54" s="678"/>
      <c r="S54" s="677">
        <v>74795.33</v>
      </c>
      <c r="T54" s="678"/>
      <c r="U54" s="677">
        <v>98570.28</v>
      </c>
      <c r="V54" s="678"/>
      <c r="W54" s="677">
        <v>83535.17</v>
      </c>
      <c r="X54" s="678"/>
      <c r="Y54" s="677">
        <v>79495.03</v>
      </c>
      <c r="Z54" s="678"/>
      <c r="AA54" s="677">
        <v>75835.48</v>
      </c>
      <c r="AB54" s="678"/>
      <c r="AC54" s="677">
        <f t="shared" ref="AC54:AC62" si="5">ROUND(SUM(E54:AA54),5)</f>
        <v>996870.51</v>
      </c>
      <c r="AD54" s="684"/>
      <c r="AE54" s="672"/>
      <c r="AF54" s="685">
        <f t="shared" ref="AF54:AF61" si="6">+AC54/$AC$25</f>
        <v>4.7030241385563804E-2</v>
      </c>
      <c r="AG54" s="672"/>
      <c r="AH54" s="672"/>
      <c r="AI54" s="672"/>
      <c r="AJ54" s="672"/>
      <c r="AK54" s="672"/>
    </row>
    <row r="55" spans="1:37">
      <c r="A55" s="676"/>
      <c r="B55" s="676"/>
      <c r="C55" s="676"/>
      <c r="D55" s="676" t="s">
        <v>181</v>
      </c>
      <c r="E55" s="677">
        <v>27399.24</v>
      </c>
      <c r="F55" s="678"/>
      <c r="G55" s="677">
        <v>18995.900000000001</v>
      </c>
      <c r="H55" s="678"/>
      <c r="I55" s="677">
        <v>19742.8</v>
      </c>
      <c r="J55" s="678"/>
      <c r="K55" s="677">
        <v>23408</v>
      </c>
      <c r="L55" s="678"/>
      <c r="M55" s="677">
        <v>26257.040000000001</v>
      </c>
      <c r="N55" s="678"/>
      <c r="O55" s="677">
        <v>20643.7</v>
      </c>
      <c r="P55" s="678"/>
      <c r="Q55" s="677">
        <v>30068.5</v>
      </c>
      <c r="R55" s="678"/>
      <c r="S55" s="677">
        <v>20657.84</v>
      </c>
      <c r="T55" s="678"/>
      <c r="U55" s="677">
        <v>20633.71</v>
      </c>
      <c r="V55" s="678"/>
      <c r="W55" s="677">
        <v>26825.41</v>
      </c>
      <c r="X55" s="678"/>
      <c r="Y55" s="677">
        <v>20318.21</v>
      </c>
      <c r="Z55" s="678"/>
      <c r="AA55" s="677">
        <v>25736.92</v>
      </c>
      <c r="AB55" s="678"/>
      <c r="AC55" s="677">
        <f t="shared" si="5"/>
        <v>280687.27</v>
      </c>
      <c r="AD55" s="684"/>
      <c r="AE55" s="672"/>
      <c r="AF55" s="685">
        <f t="shared" si="6"/>
        <v>1.324223149298992E-2</v>
      </c>
      <c r="AG55" s="672"/>
      <c r="AH55" s="672"/>
      <c r="AI55" s="672"/>
      <c r="AJ55" s="672"/>
      <c r="AK55" s="672"/>
    </row>
    <row r="56" spans="1:37">
      <c r="A56" s="676"/>
      <c r="B56" s="676"/>
      <c r="C56" s="676"/>
      <c r="D56" s="676" t="s">
        <v>182</v>
      </c>
      <c r="E56" s="677">
        <v>38541.1</v>
      </c>
      <c r="F56" s="678"/>
      <c r="G56" s="677">
        <v>29052.1</v>
      </c>
      <c r="H56" s="678"/>
      <c r="I56" s="677">
        <v>29837.5</v>
      </c>
      <c r="J56" s="678"/>
      <c r="K56" s="677">
        <v>32085.9</v>
      </c>
      <c r="L56" s="678"/>
      <c r="M56" s="677">
        <v>41349</v>
      </c>
      <c r="N56" s="678"/>
      <c r="O56" s="677">
        <v>35905.1</v>
      </c>
      <c r="P56" s="678"/>
      <c r="Q56" s="677">
        <v>47185.599999999999</v>
      </c>
      <c r="R56" s="678"/>
      <c r="S56" s="677">
        <v>38097.589999999997</v>
      </c>
      <c r="T56" s="678"/>
      <c r="U56" s="677">
        <v>34563.03</v>
      </c>
      <c r="V56" s="678"/>
      <c r="W56" s="677">
        <v>44280.44</v>
      </c>
      <c r="X56" s="678"/>
      <c r="Y56" s="677">
        <v>45585.66</v>
      </c>
      <c r="Z56" s="678"/>
      <c r="AA56" s="677">
        <v>33253.71</v>
      </c>
      <c r="AB56" s="678"/>
      <c r="AC56" s="677">
        <f t="shared" si="5"/>
        <v>449736.73</v>
      </c>
      <c r="AD56" s="684"/>
      <c r="AE56" s="672"/>
      <c r="AF56" s="685">
        <f t="shared" si="6"/>
        <v>2.1217627324389539E-2</v>
      </c>
      <c r="AG56" s="672"/>
      <c r="AH56" s="672"/>
      <c r="AI56" s="672"/>
      <c r="AJ56" s="672"/>
      <c r="AK56" s="672"/>
    </row>
    <row r="57" spans="1:37">
      <c r="A57" s="676"/>
      <c r="B57" s="676"/>
      <c r="C57" s="676"/>
      <c r="D57" s="676" t="s">
        <v>183</v>
      </c>
      <c r="E57" s="677">
        <v>37073.589999999997</v>
      </c>
      <c r="F57" s="678"/>
      <c r="G57" s="677">
        <v>23110.85</v>
      </c>
      <c r="H57" s="678"/>
      <c r="I57" s="677">
        <v>23147.49</v>
      </c>
      <c r="J57" s="678"/>
      <c r="K57" s="677">
        <v>26417.3</v>
      </c>
      <c r="L57" s="678"/>
      <c r="M57" s="677">
        <v>32149.77</v>
      </c>
      <c r="N57" s="678"/>
      <c r="O57" s="677">
        <v>26887.919999999998</v>
      </c>
      <c r="P57" s="678"/>
      <c r="Q57" s="677">
        <v>34192.58</v>
      </c>
      <c r="R57" s="678"/>
      <c r="S57" s="677">
        <v>25065.42</v>
      </c>
      <c r="T57" s="678"/>
      <c r="U57" s="677">
        <v>23047.05</v>
      </c>
      <c r="V57" s="678"/>
      <c r="W57" s="677">
        <v>45763.19</v>
      </c>
      <c r="X57" s="678"/>
      <c r="Y57" s="677">
        <v>29688.61</v>
      </c>
      <c r="Z57" s="678"/>
      <c r="AA57" s="677">
        <v>27316.85</v>
      </c>
      <c r="AB57" s="678"/>
      <c r="AC57" s="677">
        <f t="shared" si="5"/>
        <v>353860.62</v>
      </c>
      <c r="AD57" s="684"/>
      <c r="AE57" s="672"/>
      <c r="AF57" s="685">
        <f t="shared" si="6"/>
        <v>1.6694395318651033E-2</v>
      </c>
      <c r="AG57" s="672"/>
      <c r="AH57" s="672"/>
      <c r="AI57" s="672"/>
      <c r="AJ57" s="672"/>
      <c r="AK57" s="672"/>
    </row>
    <row r="58" spans="1:37">
      <c r="A58" s="676"/>
      <c r="B58" s="676"/>
      <c r="C58" s="676"/>
      <c r="D58" s="676" t="s">
        <v>184</v>
      </c>
      <c r="E58" s="677">
        <v>13466.72</v>
      </c>
      <c r="F58" s="678"/>
      <c r="G58" s="677">
        <v>11052.78</v>
      </c>
      <c r="H58" s="678"/>
      <c r="I58" s="677">
        <v>9917.94</v>
      </c>
      <c r="J58" s="678"/>
      <c r="K58" s="677">
        <v>10810.32</v>
      </c>
      <c r="L58" s="678"/>
      <c r="M58" s="677">
        <v>13569.96</v>
      </c>
      <c r="N58" s="678"/>
      <c r="O58" s="677">
        <v>10520.87</v>
      </c>
      <c r="P58" s="678"/>
      <c r="Q58" s="677">
        <v>15081.33</v>
      </c>
      <c r="R58" s="678"/>
      <c r="S58" s="677">
        <v>8383.82</v>
      </c>
      <c r="T58" s="678"/>
      <c r="U58" s="677">
        <v>3637.28</v>
      </c>
      <c r="V58" s="678"/>
      <c r="W58" s="677">
        <v>5355.56</v>
      </c>
      <c r="X58" s="678"/>
      <c r="Y58" s="677">
        <v>3868.52</v>
      </c>
      <c r="Z58" s="678"/>
      <c r="AA58" s="677">
        <v>4435.6000000000004</v>
      </c>
      <c r="AB58" s="678"/>
      <c r="AC58" s="677">
        <f t="shared" si="5"/>
        <v>110100.7</v>
      </c>
      <c r="AD58" s="684"/>
      <c r="AE58" s="672"/>
      <c r="AF58" s="685">
        <f t="shared" si="6"/>
        <v>5.1943180641581465E-3</v>
      </c>
      <c r="AG58" s="672"/>
      <c r="AH58" s="672"/>
      <c r="AI58" s="672"/>
      <c r="AJ58" s="672"/>
      <c r="AK58" s="672"/>
    </row>
    <row r="59" spans="1:37">
      <c r="A59" s="676"/>
      <c r="B59" s="676"/>
      <c r="C59" s="676"/>
      <c r="D59" s="676" t="s">
        <v>185</v>
      </c>
      <c r="E59" s="677">
        <v>5771.46</v>
      </c>
      <c r="F59" s="678"/>
      <c r="G59" s="677">
        <v>4736.91</v>
      </c>
      <c r="H59" s="678"/>
      <c r="I59" s="677">
        <v>4250.55</v>
      </c>
      <c r="J59" s="678"/>
      <c r="K59" s="677">
        <v>4632.99</v>
      </c>
      <c r="L59" s="678"/>
      <c r="M59" s="677">
        <v>5815.69</v>
      </c>
      <c r="N59" s="678"/>
      <c r="O59" s="677">
        <v>4383.84</v>
      </c>
      <c r="P59" s="678"/>
      <c r="Q59" s="677">
        <v>6463.44</v>
      </c>
      <c r="R59" s="678"/>
      <c r="S59" s="677">
        <v>8302.75</v>
      </c>
      <c r="T59" s="678"/>
      <c r="U59" s="677">
        <v>8487.01</v>
      </c>
      <c r="V59" s="678"/>
      <c r="W59" s="677">
        <v>12496.32</v>
      </c>
      <c r="X59" s="678"/>
      <c r="Y59" s="677">
        <v>9026.5499999999993</v>
      </c>
      <c r="Z59" s="678"/>
      <c r="AA59" s="677">
        <v>10349.709999999999</v>
      </c>
      <c r="AB59" s="678"/>
      <c r="AC59" s="677">
        <f t="shared" si="5"/>
        <v>84717.22</v>
      </c>
      <c r="AD59" s="684"/>
      <c r="AE59" s="672"/>
      <c r="AF59" s="685">
        <f t="shared" si="6"/>
        <v>3.99677918661062E-3</v>
      </c>
      <c r="AG59" s="672"/>
      <c r="AH59" s="672"/>
      <c r="AI59" s="672"/>
      <c r="AJ59" s="672"/>
      <c r="AK59" s="672"/>
    </row>
    <row r="60" spans="1:37">
      <c r="A60" s="676"/>
      <c r="B60" s="676"/>
      <c r="C60" s="676"/>
      <c r="D60" s="676" t="s">
        <v>186</v>
      </c>
      <c r="E60" s="677">
        <v>13088.94</v>
      </c>
      <c r="F60" s="678"/>
      <c r="G60" s="677">
        <v>10377.52</v>
      </c>
      <c r="H60" s="678"/>
      <c r="I60" s="677">
        <v>8803.84</v>
      </c>
      <c r="J60" s="678"/>
      <c r="K60" s="677">
        <v>10272.64</v>
      </c>
      <c r="L60" s="678"/>
      <c r="M60" s="677">
        <v>16773.37</v>
      </c>
      <c r="N60" s="678"/>
      <c r="O60" s="677">
        <v>14422.96</v>
      </c>
      <c r="P60" s="678"/>
      <c r="Q60" s="677">
        <v>18372.12</v>
      </c>
      <c r="R60" s="678"/>
      <c r="S60" s="677">
        <v>12892.25</v>
      </c>
      <c r="T60" s="678"/>
      <c r="U60" s="677">
        <v>10985.23</v>
      </c>
      <c r="V60" s="678"/>
      <c r="W60" s="677">
        <v>12422.8</v>
      </c>
      <c r="X60" s="678"/>
      <c r="Y60" s="677">
        <v>13753.67</v>
      </c>
      <c r="Z60" s="678"/>
      <c r="AA60" s="677">
        <v>13196.48</v>
      </c>
      <c r="AB60" s="678"/>
      <c r="AC60" s="677">
        <f t="shared" si="5"/>
        <v>155361.82</v>
      </c>
      <c r="AD60" s="684"/>
      <c r="AE60" s="672"/>
      <c r="AF60" s="685">
        <f t="shared" si="6"/>
        <v>7.3296419378485926E-3</v>
      </c>
      <c r="AG60" s="672"/>
      <c r="AH60" s="672"/>
      <c r="AI60" s="672"/>
      <c r="AJ60" s="672"/>
      <c r="AK60" s="672"/>
    </row>
    <row r="61" spans="1:37" ht="15.75" thickBot="1">
      <c r="A61" s="676"/>
      <c r="B61" s="676"/>
      <c r="C61" s="676"/>
      <c r="D61" s="676" t="s">
        <v>187</v>
      </c>
      <c r="E61" s="680">
        <v>19323.18</v>
      </c>
      <c r="F61" s="678"/>
      <c r="G61" s="680">
        <v>12384.31</v>
      </c>
      <c r="H61" s="678"/>
      <c r="I61" s="680">
        <v>13570.83</v>
      </c>
      <c r="J61" s="678"/>
      <c r="K61" s="680">
        <v>13047.4</v>
      </c>
      <c r="L61" s="678"/>
      <c r="M61" s="680">
        <v>17249.41</v>
      </c>
      <c r="N61" s="678"/>
      <c r="O61" s="680">
        <v>15304.2</v>
      </c>
      <c r="P61" s="678"/>
      <c r="Q61" s="680">
        <v>18494.13</v>
      </c>
      <c r="R61" s="678"/>
      <c r="S61" s="680">
        <v>15868.6</v>
      </c>
      <c r="T61" s="678"/>
      <c r="U61" s="680">
        <v>22178.89</v>
      </c>
      <c r="V61" s="678"/>
      <c r="W61" s="680">
        <v>14844.45</v>
      </c>
      <c r="X61" s="678"/>
      <c r="Y61" s="680">
        <v>11056.09</v>
      </c>
      <c r="Z61" s="678"/>
      <c r="AA61" s="680">
        <v>10043.89</v>
      </c>
      <c r="AB61" s="678"/>
      <c r="AC61" s="680">
        <f t="shared" si="5"/>
        <v>183365.38</v>
      </c>
      <c r="AD61" s="684"/>
      <c r="AE61" s="672"/>
      <c r="AF61" s="685">
        <f t="shared" si="6"/>
        <v>8.6507906459743038E-3</v>
      </c>
      <c r="AG61" s="672"/>
      <c r="AH61" s="672"/>
      <c r="AI61" s="672"/>
      <c r="AJ61" s="672"/>
      <c r="AK61" s="672"/>
    </row>
    <row r="62" spans="1:37">
      <c r="A62" s="676"/>
      <c r="B62" s="676"/>
      <c r="C62" s="676" t="s">
        <v>188</v>
      </c>
      <c r="D62" s="676"/>
      <c r="E62" s="677">
        <f>ROUND(SUM(E53:E61),5)</f>
        <v>254070.37</v>
      </c>
      <c r="F62" s="678"/>
      <c r="G62" s="677">
        <f>ROUND(SUM(G53:G61),5)</f>
        <v>187416.28</v>
      </c>
      <c r="H62" s="678"/>
      <c r="I62" s="677">
        <f>ROUND(SUM(I53:I61),5)</f>
        <v>175997.57</v>
      </c>
      <c r="J62" s="678"/>
      <c r="K62" s="677">
        <f>ROUND(SUM(K53:K61),5)</f>
        <v>189678.88</v>
      </c>
      <c r="L62" s="678"/>
      <c r="M62" s="677">
        <f>ROUND(SUM(M53:M61),5)</f>
        <v>244957.27</v>
      </c>
      <c r="N62" s="678"/>
      <c r="O62" s="677">
        <f>ROUND(SUM(O53:O61),5)</f>
        <v>208599.49</v>
      </c>
      <c r="P62" s="678"/>
      <c r="Q62" s="677">
        <f>ROUND(SUM(Q53:Q61),5)</f>
        <v>269329.99</v>
      </c>
      <c r="R62" s="678"/>
      <c r="S62" s="677">
        <f>ROUND(SUM(S53:S61),5)</f>
        <v>204063.6</v>
      </c>
      <c r="T62" s="678"/>
      <c r="U62" s="677">
        <f>ROUND(SUM(U53:U61),5)</f>
        <v>222102.48</v>
      </c>
      <c r="V62" s="678"/>
      <c r="W62" s="677">
        <f>ROUND(SUM(W53:W61),5)</f>
        <v>245523.34</v>
      </c>
      <c r="X62" s="678"/>
      <c r="Y62" s="677">
        <f>ROUND(SUM(Y53:Y61),5)</f>
        <v>212792.34</v>
      </c>
      <c r="Z62" s="678"/>
      <c r="AA62" s="677">
        <f>ROUND(SUM(AA53:AA61),5)</f>
        <v>200168.64</v>
      </c>
      <c r="AB62" s="678"/>
      <c r="AC62" s="677">
        <f t="shared" si="5"/>
        <v>2614700.25</v>
      </c>
      <c r="AD62" s="684"/>
      <c r="AE62" s="672"/>
      <c r="AF62" s="672"/>
      <c r="AG62" s="672"/>
      <c r="AH62" s="672"/>
      <c r="AI62" s="672"/>
      <c r="AJ62" s="672"/>
      <c r="AK62" s="672"/>
    </row>
    <row r="63" spans="1:37">
      <c r="A63" s="676"/>
      <c r="B63" s="676"/>
      <c r="C63" s="676" t="s">
        <v>189</v>
      </c>
      <c r="D63" s="676"/>
      <c r="E63" s="677"/>
      <c r="F63" s="678"/>
      <c r="G63" s="677"/>
      <c r="H63" s="678"/>
      <c r="I63" s="677"/>
      <c r="J63" s="678"/>
      <c r="K63" s="677"/>
      <c r="L63" s="678"/>
      <c r="M63" s="677"/>
      <c r="N63" s="678"/>
      <c r="O63" s="677"/>
      <c r="P63" s="678"/>
      <c r="Q63" s="677"/>
      <c r="R63" s="678"/>
      <c r="S63" s="677"/>
      <c r="T63" s="678"/>
      <c r="U63" s="677"/>
      <c r="V63" s="678"/>
      <c r="W63" s="677"/>
      <c r="X63" s="678"/>
      <c r="Y63" s="677"/>
      <c r="Z63" s="678"/>
      <c r="AA63" s="677"/>
      <c r="AB63" s="678"/>
      <c r="AC63" s="677"/>
      <c r="AD63" s="672"/>
      <c r="AE63" s="672"/>
      <c r="AF63" s="672"/>
      <c r="AG63" s="672"/>
      <c r="AH63" s="672"/>
      <c r="AI63" s="672"/>
      <c r="AJ63" s="672"/>
      <c r="AK63" s="672"/>
    </row>
    <row r="64" spans="1:37">
      <c r="A64" s="676"/>
      <c r="B64" s="676"/>
      <c r="C64" s="676"/>
      <c r="D64" s="676" t="s">
        <v>190</v>
      </c>
      <c r="E64" s="677">
        <v>-818.39</v>
      </c>
      <c r="F64" s="678"/>
      <c r="G64" s="677">
        <v>-648.16999999999996</v>
      </c>
      <c r="H64" s="678"/>
      <c r="I64" s="677">
        <v>8840.19</v>
      </c>
      <c r="J64" s="678"/>
      <c r="K64" s="677">
        <v>-629.59</v>
      </c>
      <c r="L64" s="678"/>
      <c r="M64" s="677">
        <v>-862.06</v>
      </c>
      <c r="N64" s="678"/>
      <c r="O64" s="677">
        <v>9310.7800000000007</v>
      </c>
      <c r="P64" s="678"/>
      <c r="Q64" s="677">
        <v>-9479.0400000000009</v>
      </c>
      <c r="R64" s="678"/>
      <c r="S64" s="677">
        <v>-692.54</v>
      </c>
      <c r="T64" s="678"/>
      <c r="U64" s="677">
        <v>13187.93</v>
      </c>
      <c r="V64" s="678"/>
      <c r="W64" s="677">
        <v>-825.34</v>
      </c>
      <c r="X64" s="678"/>
      <c r="Y64" s="677">
        <v>-735.17</v>
      </c>
      <c r="Z64" s="678"/>
      <c r="AA64" s="677">
        <v>13377.21</v>
      </c>
      <c r="AB64" s="678"/>
      <c r="AC64" s="677">
        <f t="shared" ref="AC64:AC74" si="7">ROUND(SUM(E64:AA64),5)</f>
        <v>30025.81</v>
      </c>
      <c r="AD64" s="684"/>
      <c r="AE64" s="672"/>
      <c r="AF64" s="685">
        <f t="shared" ref="AF64:AF72" si="8">+AC64/$AC$25</f>
        <v>1.4165541842511477E-3</v>
      </c>
      <c r="AG64" s="672"/>
      <c r="AH64" s="672"/>
      <c r="AI64" s="672"/>
      <c r="AJ64" s="672"/>
      <c r="AK64" s="672"/>
    </row>
    <row r="65" spans="1:37">
      <c r="A65" s="676"/>
      <c r="B65" s="676"/>
      <c r="C65" s="676"/>
      <c r="D65" s="676" t="s">
        <v>191</v>
      </c>
      <c r="E65" s="677">
        <v>-244.01</v>
      </c>
      <c r="F65" s="678"/>
      <c r="G65" s="677">
        <v>-531.49</v>
      </c>
      <c r="H65" s="678"/>
      <c r="I65" s="677">
        <v>8472.69</v>
      </c>
      <c r="J65" s="678"/>
      <c r="K65" s="677">
        <v>-202.57</v>
      </c>
      <c r="L65" s="678"/>
      <c r="M65" s="677">
        <v>-261.42</v>
      </c>
      <c r="N65" s="678"/>
      <c r="O65" s="677">
        <v>8994.92</v>
      </c>
      <c r="P65" s="678"/>
      <c r="Q65" s="677">
        <v>-2225.23</v>
      </c>
      <c r="R65" s="678"/>
      <c r="S65" s="677">
        <v>-207.87</v>
      </c>
      <c r="T65" s="678"/>
      <c r="U65" s="677">
        <v>2688.52</v>
      </c>
      <c r="V65" s="678"/>
      <c r="W65" s="677">
        <v>-258.02</v>
      </c>
      <c r="X65" s="678"/>
      <c r="Y65" s="677">
        <v>-183.67</v>
      </c>
      <c r="Z65" s="678"/>
      <c r="AA65" s="677">
        <v>2689.54</v>
      </c>
      <c r="AB65" s="678"/>
      <c r="AC65" s="677">
        <f t="shared" si="7"/>
        <v>18731.39</v>
      </c>
      <c r="AD65" s="684"/>
      <c r="AE65" s="672"/>
      <c r="AF65" s="685">
        <f t="shared" si="8"/>
        <v>8.8370734649090581E-4</v>
      </c>
      <c r="AG65" s="672"/>
      <c r="AH65" s="672"/>
      <c r="AI65" s="672"/>
      <c r="AJ65" s="672"/>
      <c r="AK65" s="672"/>
    </row>
    <row r="66" spans="1:37">
      <c r="A66" s="676"/>
      <c r="B66" s="676"/>
      <c r="C66" s="676"/>
      <c r="D66" s="676" t="s">
        <v>192</v>
      </c>
      <c r="E66" s="677">
        <v>-331.95</v>
      </c>
      <c r="F66" s="678"/>
      <c r="G66" s="677">
        <v>-290.7</v>
      </c>
      <c r="H66" s="678"/>
      <c r="I66" s="677">
        <v>7957.48</v>
      </c>
      <c r="J66" s="678"/>
      <c r="K66" s="677">
        <v>-286.27</v>
      </c>
      <c r="L66" s="678"/>
      <c r="M66" s="677">
        <v>-413.11</v>
      </c>
      <c r="N66" s="678"/>
      <c r="O66" s="677">
        <v>8459.99</v>
      </c>
      <c r="P66" s="678"/>
      <c r="Q66" s="677">
        <v>-3703.65</v>
      </c>
      <c r="R66" s="678"/>
      <c r="S66" s="677">
        <v>-342.38</v>
      </c>
      <c r="T66" s="678"/>
      <c r="U66" s="677">
        <v>4506.75</v>
      </c>
      <c r="V66" s="678"/>
      <c r="W66" s="677">
        <v>-434.96</v>
      </c>
      <c r="X66" s="678"/>
      <c r="Y66" s="677">
        <v>-275.69</v>
      </c>
      <c r="Z66" s="678"/>
      <c r="AA66" s="677">
        <v>4542.8999999999996</v>
      </c>
      <c r="AB66" s="678"/>
      <c r="AC66" s="677">
        <f t="shared" si="7"/>
        <v>19388.41</v>
      </c>
      <c r="AD66" s="684"/>
      <c r="AE66" s="672"/>
      <c r="AF66" s="685">
        <f t="shared" si="8"/>
        <v>9.1470415990365598E-4</v>
      </c>
      <c r="AG66" s="672"/>
      <c r="AH66" s="672"/>
      <c r="AI66" s="672"/>
      <c r="AJ66" s="672"/>
      <c r="AK66" s="672"/>
    </row>
    <row r="67" spans="1:37">
      <c r="A67" s="676"/>
      <c r="B67" s="676"/>
      <c r="C67" s="676"/>
      <c r="D67" s="676" t="s">
        <v>193</v>
      </c>
      <c r="E67" s="677">
        <v>-293.02999999999997</v>
      </c>
      <c r="F67" s="678"/>
      <c r="G67" s="677">
        <v>-234.88</v>
      </c>
      <c r="H67" s="678"/>
      <c r="I67" s="677">
        <v>938.83</v>
      </c>
      <c r="J67" s="678"/>
      <c r="K67" s="677">
        <v>-249.67</v>
      </c>
      <c r="L67" s="678"/>
      <c r="M67" s="677">
        <v>-304.37</v>
      </c>
      <c r="N67" s="678"/>
      <c r="O67" s="677">
        <v>1013.29</v>
      </c>
      <c r="P67" s="678"/>
      <c r="Q67" s="677">
        <v>-6242.68</v>
      </c>
      <c r="R67" s="678"/>
      <c r="S67" s="677">
        <v>-240.37</v>
      </c>
      <c r="T67" s="678"/>
      <c r="U67" s="677">
        <v>6525.5</v>
      </c>
      <c r="V67" s="678"/>
      <c r="W67" s="677">
        <v>-325.17</v>
      </c>
      <c r="X67" s="678"/>
      <c r="Y67" s="677">
        <v>-256.43</v>
      </c>
      <c r="Z67" s="678"/>
      <c r="AA67" s="677">
        <v>6563.25</v>
      </c>
      <c r="AB67" s="678"/>
      <c r="AC67" s="677">
        <f t="shared" si="7"/>
        <v>6894.27</v>
      </c>
      <c r="AD67" s="684"/>
      <c r="AE67" s="672"/>
      <c r="AF67" s="685">
        <f t="shared" si="8"/>
        <v>3.2525707102846384E-4</v>
      </c>
      <c r="AG67" s="672"/>
      <c r="AH67" s="672"/>
      <c r="AI67" s="672"/>
      <c r="AJ67" s="672"/>
      <c r="AK67" s="672"/>
    </row>
    <row r="68" spans="1:37">
      <c r="A68" s="676"/>
      <c r="B68" s="676"/>
      <c r="C68" s="676"/>
      <c r="D68" s="676" t="s">
        <v>194</v>
      </c>
      <c r="E68" s="677">
        <v>-114.72</v>
      </c>
      <c r="F68" s="678"/>
      <c r="G68" s="677">
        <v>-101.35</v>
      </c>
      <c r="H68" s="678"/>
      <c r="I68" s="677">
        <v>4630.34</v>
      </c>
      <c r="J68" s="678"/>
      <c r="K68" s="677">
        <v>-98.76</v>
      </c>
      <c r="L68" s="678"/>
      <c r="M68" s="677">
        <v>-114.47</v>
      </c>
      <c r="N68" s="678"/>
      <c r="O68" s="677">
        <v>4926.9799999999996</v>
      </c>
      <c r="P68" s="678"/>
      <c r="Q68" s="677">
        <v>-1113.54</v>
      </c>
      <c r="R68" s="678"/>
      <c r="S68" s="677">
        <v>-65.75</v>
      </c>
      <c r="T68" s="678"/>
      <c r="U68" s="677">
        <v>4771.09</v>
      </c>
      <c r="V68" s="678"/>
      <c r="W68" s="677">
        <v>-45.62</v>
      </c>
      <c r="X68" s="678"/>
      <c r="Y68" s="677">
        <v>-32.43</v>
      </c>
      <c r="Z68" s="678"/>
      <c r="AA68" s="677">
        <v>4812.13</v>
      </c>
      <c r="AB68" s="678"/>
      <c r="AC68" s="677">
        <f t="shared" si="7"/>
        <v>17453.900000000001</v>
      </c>
      <c r="AD68" s="684"/>
      <c r="AE68" s="672"/>
      <c r="AF68" s="685">
        <f t="shared" si="8"/>
        <v>8.2343807132933666E-4</v>
      </c>
      <c r="AG68" s="672"/>
      <c r="AH68" s="672"/>
      <c r="AI68" s="672"/>
      <c r="AJ68" s="672"/>
      <c r="AK68" s="672"/>
    </row>
    <row r="69" spans="1:37">
      <c r="A69" s="676"/>
      <c r="B69" s="676"/>
      <c r="C69" s="676"/>
      <c r="D69" s="676" t="s">
        <v>195</v>
      </c>
      <c r="E69" s="677">
        <v>-49.18</v>
      </c>
      <c r="F69" s="678"/>
      <c r="G69" s="677">
        <v>-43.44</v>
      </c>
      <c r="H69" s="678"/>
      <c r="I69" s="677">
        <v>1928.18</v>
      </c>
      <c r="J69" s="678"/>
      <c r="K69" s="677">
        <v>-42.34</v>
      </c>
      <c r="L69" s="678"/>
      <c r="M69" s="677">
        <v>-49.06</v>
      </c>
      <c r="N69" s="678"/>
      <c r="O69" s="677">
        <v>2051.91</v>
      </c>
      <c r="P69" s="678"/>
      <c r="Q69" s="677">
        <v>-2361.3200000000002</v>
      </c>
      <c r="R69" s="678"/>
      <c r="S69" s="677">
        <v>-67.48</v>
      </c>
      <c r="T69" s="678"/>
      <c r="U69" s="677">
        <v>2305.04</v>
      </c>
      <c r="V69" s="678"/>
      <c r="W69" s="677">
        <v>-106.43</v>
      </c>
      <c r="X69" s="678"/>
      <c r="Y69" s="677">
        <v>-75.67</v>
      </c>
      <c r="Z69" s="678"/>
      <c r="AA69" s="677">
        <v>2305.21</v>
      </c>
      <c r="AB69" s="678"/>
      <c r="AC69" s="677">
        <f t="shared" si="7"/>
        <v>5795.42</v>
      </c>
      <c r="AD69" s="684"/>
      <c r="AE69" s="672"/>
      <c r="AF69" s="685">
        <f t="shared" si="8"/>
        <v>2.7341565308289055E-4</v>
      </c>
      <c r="AG69" s="672"/>
      <c r="AH69" s="672"/>
      <c r="AI69" s="672"/>
      <c r="AJ69" s="672"/>
      <c r="AK69" s="672"/>
    </row>
    <row r="70" spans="1:37">
      <c r="A70" s="676"/>
      <c r="B70" s="676"/>
      <c r="C70" s="676"/>
      <c r="D70" s="676" t="s">
        <v>196</v>
      </c>
      <c r="E70" s="677">
        <v>-109.46</v>
      </c>
      <c r="F70" s="678"/>
      <c r="G70" s="677">
        <v>-71.87</v>
      </c>
      <c r="H70" s="678"/>
      <c r="I70" s="677">
        <v>2277.9899999999998</v>
      </c>
      <c r="J70" s="678"/>
      <c r="K70" s="677">
        <v>-91.68</v>
      </c>
      <c r="L70" s="678"/>
      <c r="M70" s="677">
        <v>-143.41999999999999</v>
      </c>
      <c r="N70" s="678"/>
      <c r="O70" s="677">
        <v>2380.4699999999998</v>
      </c>
      <c r="P70" s="678"/>
      <c r="Q70" s="677">
        <v>-2114.21</v>
      </c>
      <c r="R70" s="678"/>
      <c r="S70" s="677">
        <v>-105.98</v>
      </c>
      <c r="T70" s="678"/>
      <c r="U70" s="677">
        <v>2788.63</v>
      </c>
      <c r="V70" s="678"/>
      <c r="W70" s="677">
        <v>-105.96</v>
      </c>
      <c r="X70" s="678"/>
      <c r="Y70" s="677">
        <v>-98.22</v>
      </c>
      <c r="Z70" s="678"/>
      <c r="AA70" s="677">
        <v>2802.43</v>
      </c>
      <c r="AB70" s="678"/>
      <c r="AC70" s="677">
        <f t="shared" si="7"/>
        <v>7408.72</v>
      </c>
      <c r="AD70" s="684"/>
      <c r="AE70" s="672"/>
      <c r="AF70" s="685">
        <f t="shared" si="8"/>
        <v>3.4952773350478017E-4</v>
      </c>
      <c r="AG70" s="672"/>
      <c r="AH70" s="672"/>
      <c r="AI70" s="672"/>
      <c r="AJ70" s="672"/>
      <c r="AK70" s="672"/>
    </row>
    <row r="71" spans="1:37">
      <c r="A71" s="676"/>
      <c r="B71" s="676"/>
      <c r="C71" s="676"/>
      <c r="D71" s="676" t="s">
        <v>197</v>
      </c>
      <c r="E71" s="677">
        <v>-185.33</v>
      </c>
      <c r="F71" s="678"/>
      <c r="G71" s="677">
        <v>-145.94</v>
      </c>
      <c r="H71" s="678"/>
      <c r="I71" s="677">
        <v>2223.5100000000002</v>
      </c>
      <c r="J71" s="678"/>
      <c r="K71" s="677">
        <v>-148.84</v>
      </c>
      <c r="L71" s="678"/>
      <c r="M71" s="677">
        <v>-191.47</v>
      </c>
      <c r="N71" s="678"/>
      <c r="O71" s="677">
        <v>2371.37</v>
      </c>
      <c r="P71" s="678"/>
      <c r="Q71" s="677">
        <v>-1513.05</v>
      </c>
      <c r="R71" s="678"/>
      <c r="S71" s="677">
        <v>-159.93</v>
      </c>
      <c r="T71" s="678"/>
      <c r="U71" s="677">
        <v>2753.19</v>
      </c>
      <c r="V71" s="678"/>
      <c r="W71" s="677">
        <v>-168.81</v>
      </c>
      <c r="X71" s="678"/>
      <c r="Y71" s="677">
        <v>-120.37</v>
      </c>
      <c r="Z71" s="678"/>
      <c r="AA71" s="677">
        <v>2796.45</v>
      </c>
      <c r="AB71" s="678"/>
      <c r="AC71" s="677">
        <f t="shared" si="7"/>
        <v>7510.78</v>
      </c>
      <c r="AD71" s="684"/>
      <c r="AE71" s="672"/>
      <c r="AF71" s="685">
        <f t="shared" si="8"/>
        <v>3.5434270835623869E-4</v>
      </c>
      <c r="AG71" s="672"/>
      <c r="AH71" s="672"/>
      <c r="AI71" s="672"/>
      <c r="AJ71" s="672"/>
      <c r="AK71" s="672"/>
    </row>
    <row r="72" spans="1:37" ht="15.75" thickBot="1">
      <c r="A72" s="676"/>
      <c r="B72" s="676"/>
      <c r="C72" s="676"/>
      <c r="D72" s="676" t="s">
        <v>198</v>
      </c>
      <c r="E72" s="680">
        <v>0</v>
      </c>
      <c r="F72" s="678"/>
      <c r="G72" s="680">
        <v>0</v>
      </c>
      <c r="H72" s="678"/>
      <c r="I72" s="680">
        <v>0</v>
      </c>
      <c r="J72" s="678"/>
      <c r="K72" s="680">
        <v>0</v>
      </c>
      <c r="L72" s="678"/>
      <c r="M72" s="680">
        <v>0</v>
      </c>
      <c r="N72" s="678"/>
      <c r="O72" s="680">
        <v>0</v>
      </c>
      <c r="P72" s="678"/>
      <c r="Q72" s="680">
        <v>0</v>
      </c>
      <c r="R72" s="678"/>
      <c r="S72" s="680">
        <v>0</v>
      </c>
      <c r="T72" s="678"/>
      <c r="U72" s="680">
        <v>0</v>
      </c>
      <c r="V72" s="678"/>
      <c r="W72" s="680">
        <v>0</v>
      </c>
      <c r="X72" s="678"/>
      <c r="Y72" s="680">
        <v>0</v>
      </c>
      <c r="Z72" s="678"/>
      <c r="AA72" s="680">
        <v>0</v>
      </c>
      <c r="AB72" s="678"/>
      <c r="AC72" s="680">
        <f t="shared" si="7"/>
        <v>0</v>
      </c>
      <c r="AD72" s="684"/>
      <c r="AE72" s="672"/>
      <c r="AF72" s="685">
        <f t="shared" si="8"/>
        <v>0</v>
      </c>
      <c r="AG72" s="672"/>
      <c r="AH72" s="672"/>
      <c r="AI72" s="672"/>
      <c r="AJ72" s="672"/>
      <c r="AK72" s="672"/>
    </row>
    <row r="73" spans="1:37">
      <c r="A73" s="676"/>
      <c r="B73" s="676"/>
      <c r="C73" s="676" t="s">
        <v>199</v>
      </c>
      <c r="D73" s="676"/>
      <c r="E73" s="677">
        <f>ROUND(SUM(E63:E72),5)</f>
        <v>-2146.0700000000002</v>
      </c>
      <c r="F73" s="678"/>
      <c r="G73" s="677">
        <f>ROUND(SUM(G63:G72),5)</f>
        <v>-2067.84</v>
      </c>
      <c r="H73" s="678"/>
      <c r="I73" s="677">
        <f>ROUND(SUM(I63:I72),5)</f>
        <v>37269.21</v>
      </c>
      <c r="J73" s="678"/>
      <c r="K73" s="677">
        <f>ROUND(SUM(K63:K72),5)</f>
        <v>-1749.72</v>
      </c>
      <c r="L73" s="678"/>
      <c r="M73" s="677">
        <f>ROUND(SUM(M63:M72),5)</f>
        <v>-2339.38</v>
      </c>
      <c r="N73" s="678"/>
      <c r="O73" s="677">
        <f>ROUND(SUM(O63:O72),5)</f>
        <v>39509.71</v>
      </c>
      <c r="P73" s="678"/>
      <c r="Q73" s="677">
        <f>ROUND(SUM(Q63:Q72),5)</f>
        <v>-28752.720000000001</v>
      </c>
      <c r="R73" s="678"/>
      <c r="S73" s="677">
        <f>ROUND(SUM(S63:S72),5)</f>
        <v>-1882.3</v>
      </c>
      <c r="T73" s="678"/>
      <c r="U73" s="677">
        <f>ROUND(SUM(U63:U72),5)</f>
        <v>39526.65</v>
      </c>
      <c r="V73" s="678"/>
      <c r="W73" s="677">
        <f>ROUND(SUM(W63:W72),5)</f>
        <v>-2270.31</v>
      </c>
      <c r="X73" s="678"/>
      <c r="Y73" s="677">
        <f>ROUND(SUM(Y63:Y72),5)</f>
        <v>-1777.65</v>
      </c>
      <c r="Z73" s="678"/>
      <c r="AA73" s="677">
        <f>ROUND(SUM(AA63:AA72),5)</f>
        <v>39889.120000000003</v>
      </c>
      <c r="AB73" s="678"/>
      <c r="AC73" s="677">
        <f t="shared" si="7"/>
        <v>113208.7</v>
      </c>
      <c r="AD73" s="672"/>
      <c r="AE73" s="672"/>
      <c r="AF73" s="672"/>
      <c r="AG73" s="672"/>
      <c r="AH73" s="672"/>
      <c r="AI73" s="672"/>
      <c r="AJ73" s="672"/>
      <c r="AK73" s="672"/>
    </row>
    <row r="74" spans="1:37">
      <c r="A74" s="676"/>
      <c r="B74" s="676"/>
      <c r="C74" s="676" t="s">
        <v>200</v>
      </c>
      <c r="D74" s="676"/>
      <c r="E74" s="677">
        <v>18332</v>
      </c>
      <c r="F74" s="678"/>
      <c r="G74" s="677">
        <v>15665.6</v>
      </c>
      <c r="H74" s="678"/>
      <c r="I74" s="677">
        <v>15665.6</v>
      </c>
      <c r="J74" s="678"/>
      <c r="K74" s="677">
        <v>15665.6</v>
      </c>
      <c r="L74" s="678"/>
      <c r="M74" s="677">
        <v>18332</v>
      </c>
      <c r="N74" s="678"/>
      <c r="O74" s="677">
        <v>15665.6</v>
      </c>
      <c r="P74" s="678"/>
      <c r="Q74" s="677">
        <v>18332</v>
      </c>
      <c r="R74" s="678"/>
      <c r="S74" s="677">
        <v>15875.6</v>
      </c>
      <c r="T74" s="678"/>
      <c r="U74" s="677">
        <v>15921.6</v>
      </c>
      <c r="V74" s="678"/>
      <c r="W74" s="677">
        <v>18652</v>
      </c>
      <c r="X74" s="678"/>
      <c r="Y74" s="677">
        <v>15921.6</v>
      </c>
      <c r="Z74" s="678"/>
      <c r="AA74" s="677">
        <v>15921.6</v>
      </c>
      <c r="AB74" s="678"/>
      <c r="AC74" s="677">
        <f t="shared" si="7"/>
        <v>199950.8</v>
      </c>
      <c r="AD74" s="672"/>
      <c r="AE74" s="672"/>
      <c r="AF74" s="685">
        <f>+AC74/$AC$25</f>
        <v>9.4332556685186638E-3</v>
      </c>
      <c r="AG74" s="672"/>
      <c r="AH74" s="672"/>
      <c r="AI74" s="672"/>
      <c r="AJ74" s="672"/>
      <c r="AK74" s="672"/>
    </row>
    <row r="75" spans="1:37">
      <c r="A75" s="676"/>
      <c r="B75" s="676"/>
      <c r="C75" s="676" t="s">
        <v>201</v>
      </c>
      <c r="D75" s="676"/>
      <c r="E75" s="677"/>
      <c r="F75" s="678"/>
      <c r="G75" s="677"/>
      <c r="H75" s="678"/>
      <c r="I75" s="677"/>
      <c r="J75" s="678"/>
      <c r="K75" s="677"/>
      <c r="L75" s="678"/>
      <c r="M75" s="677"/>
      <c r="N75" s="678"/>
      <c r="O75" s="677"/>
      <c r="P75" s="678"/>
      <c r="Q75" s="677"/>
      <c r="R75" s="678"/>
      <c r="S75" s="677"/>
      <c r="T75" s="678"/>
      <c r="U75" s="677"/>
      <c r="V75" s="678"/>
      <c r="W75" s="677"/>
      <c r="X75" s="678"/>
      <c r="Y75" s="677"/>
      <c r="Z75" s="678"/>
      <c r="AA75" s="677"/>
      <c r="AB75" s="678"/>
      <c r="AC75" s="677"/>
      <c r="AD75" s="672"/>
      <c r="AE75" s="672"/>
      <c r="AF75" s="672"/>
      <c r="AG75" s="672"/>
      <c r="AH75" s="672"/>
      <c r="AI75" s="672"/>
      <c r="AJ75" s="672"/>
      <c r="AK75" s="672"/>
    </row>
    <row r="76" spans="1:37">
      <c r="A76" s="676"/>
      <c r="B76" s="676"/>
      <c r="C76" s="676"/>
      <c r="D76" s="676" t="s">
        <v>202</v>
      </c>
      <c r="E76" s="677">
        <v>21621.82</v>
      </c>
      <c r="F76" s="678"/>
      <c r="G76" s="677">
        <v>21488.04</v>
      </c>
      <c r="H76" s="678"/>
      <c r="I76" s="677">
        <v>21700.44</v>
      </c>
      <c r="J76" s="678"/>
      <c r="K76" s="677">
        <v>21745</v>
      </c>
      <c r="L76" s="678"/>
      <c r="M76" s="677">
        <v>20053.98</v>
      </c>
      <c r="N76" s="678"/>
      <c r="O76" s="677">
        <v>21449.360000000001</v>
      </c>
      <c r="P76" s="678"/>
      <c r="Q76" s="677">
        <v>21298.94</v>
      </c>
      <c r="R76" s="678"/>
      <c r="S76" s="677">
        <v>21889.45</v>
      </c>
      <c r="T76" s="678"/>
      <c r="U76" s="677">
        <v>21540.23</v>
      </c>
      <c r="V76" s="678"/>
      <c r="W76" s="677">
        <v>21524.27</v>
      </c>
      <c r="X76" s="678"/>
      <c r="Y76" s="677">
        <v>19897.98</v>
      </c>
      <c r="Z76" s="678"/>
      <c r="AA76" s="677">
        <v>19984.419999999998</v>
      </c>
      <c r="AB76" s="678"/>
      <c r="AC76" s="677">
        <f t="shared" ref="AC76:AC84" si="9">ROUND(SUM(E76:AA76),5)</f>
        <v>254193.93</v>
      </c>
      <c r="AD76" s="684"/>
      <c r="AE76" s="672"/>
      <c r="AF76" s="685">
        <f t="shared" ref="AF76:AF83" si="10">+AC76/$AC$25</f>
        <v>1.1992331768992854E-2</v>
      </c>
      <c r="AG76" s="672"/>
      <c r="AH76" s="672"/>
      <c r="AI76" s="672"/>
      <c r="AJ76" s="672"/>
      <c r="AK76" s="672"/>
    </row>
    <row r="77" spans="1:37">
      <c r="A77" s="676"/>
      <c r="B77" s="676"/>
      <c r="C77" s="676"/>
      <c r="D77" s="676" t="s">
        <v>203</v>
      </c>
      <c r="E77" s="677">
        <v>4366.08</v>
      </c>
      <c r="F77" s="678"/>
      <c r="G77" s="677">
        <v>4366.08</v>
      </c>
      <c r="H77" s="678"/>
      <c r="I77" s="677">
        <v>4342.72</v>
      </c>
      <c r="J77" s="678"/>
      <c r="K77" s="677">
        <v>4319.3599999999997</v>
      </c>
      <c r="L77" s="678"/>
      <c r="M77" s="677">
        <v>4366.08</v>
      </c>
      <c r="N77" s="678"/>
      <c r="O77" s="677">
        <v>4389.4399999999996</v>
      </c>
      <c r="P77" s="678"/>
      <c r="Q77" s="677">
        <v>4319.3599999999997</v>
      </c>
      <c r="R77" s="678"/>
      <c r="S77" s="677">
        <v>4436.16</v>
      </c>
      <c r="T77" s="678"/>
      <c r="U77" s="677">
        <v>4366.08</v>
      </c>
      <c r="V77" s="678"/>
      <c r="W77" s="677">
        <v>4366.08</v>
      </c>
      <c r="X77" s="678"/>
      <c r="Y77" s="677">
        <v>4389.4399999999996</v>
      </c>
      <c r="Z77" s="678"/>
      <c r="AA77" s="677">
        <v>4357.6899999999996</v>
      </c>
      <c r="AB77" s="678"/>
      <c r="AC77" s="677">
        <f t="shared" si="9"/>
        <v>52384.57</v>
      </c>
      <c r="AD77" s="684"/>
      <c r="AE77" s="672"/>
      <c r="AF77" s="685">
        <f t="shared" si="10"/>
        <v>2.4713931721974244E-3</v>
      </c>
      <c r="AG77" s="672"/>
      <c r="AH77" s="672"/>
      <c r="AI77" s="672"/>
      <c r="AJ77" s="672"/>
      <c r="AK77" s="672"/>
    </row>
    <row r="78" spans="1:37">
      <c r="A78" s="676"/>
      <c r="B78" s="676"/>
      <c r="C78" s="676"/>
      <c r="D78" s="676" t="s">
        <v>204</v>
      </c>
      <c r="E78" s="677">
        <v>7276.8</v>
      </c>
      <c r="F78" s="678"/>
      <c r="G78" s="677">
        <v>7276.8</v>
      </c>
      <c r="H78" s="678"/>
      <c r="I78" s="677">
        <v>7276.8</v>
      </c>
      <c r="J78" s="678"/>
      <c r="K78" s="677">
        <v>7253.44</v>
      </c>
      <c r="L78" s="678"/>
      <c r="M78" s="677">
        <v>7253.44</v>
      </c>
      <c r="N78" s="678"/>
      <c r="O78" s="677">
        <v>7276.8</v>
      </c>
      <c r="P78" s="678"/>
      <c r="Q78" s="677">
        <v>7089.92</v>
      </c>
      <c r="R78" s="678"/>
      <c r="S78" s="677">
        <v>7393.6</v>
      </c>
      <c r="T78" s="678"/>
      <c r="U78" s="677">
        <v>7323.52</v>
      </c>
      <c r="V78" s="678"/>
      <c r="W78" s="677">
        <v>7276.8</v>
      </c>
      <c r="X78" s="678"/>
      <c r="Y78" s="677">
        <v>7230.09</v>
      </c>
      <c r="Z78" s="678"/>
      <c r="AA78" s="677">
        <v>8825.6</v>
      </c>
      <c r="AB78" s="678"/>
      <c r="AC78" s="677">
        <f t="shared" si="9"/>
        <v>88753.61</v>
      </c>
      <c r="AD78" s="684"/>
      <c r="AE78" s="672"/>
      <c r="AF78" s="685">
        <f t="shared" si="10"/>
        <v>4.1872075262214242E-3</v>
      </c>
      <c r="AG78" s="672"/>
      <c r="AH78" s="672"/>
      <c r="AI78" s="672"/>
      <c r="AJ78" s="672"/>
      <c r="AK78" s="672"/>
    </row>
    <row r="79" spans="1:37">
      <c r="A79" s="676"/>
      <c r="B79" s="676"/>
      <c r="C79" s="676"/>
      <c r="D79" s="676" t="s">
        <v>205</v>
      </c>
      <c r="E79" s="677">
        <v>7412.76</v>
      </c>
      <c r="F79" s="678"/>
      <c r="G79" s="677">
        <v>7548.6</v>
      </c>
      <c r="H79" s="678"/>
      <c r="I79" s="677">
        <v>7480.68</v>
      </c>
      <c r="J79" s="678"/>
      <c r="K79" s="677">
        <v>8727.4599999999991</v>
      </c>
      <c r="L79" s="678"/>
      <c r="M79" s="677">
        <v>10076.120000000001</v>
      </c>
      <c r="N79" s="678"/>
      <c r="O79" s="677">
        <v>8795.3799999999992</v>
      </c>
      <c r="P79" s="678"/>
      <c r="Q79" s="677">
        <v>8685.7900000000009</v>
      </c>
      <c r="R79" s="678"/>
      <c r="S79" s="677">
        <v>10251.209999999999</v>
      </c>
      <c r="T79" s="678"/>
      <c r="U79" s="677">
        <v>10219.870000000001</v>
      </c>
      <c r="V79" s="678"/>
      <c r="W79" s="677">
        <v>11503.23</v>
      </c>
      <c r="X79" s="678"/>
      <c r="Y79" s="677">
        <v>11440.55</v>
      </c>
      <c r="Z79" s="678"/>
      <c r="AA79" s="677">
        <v>11393.54</v>
      </c>
      <c r="AB79" s="678"/>
      <c r="AC79" s="677">
        <f t="shared" si="9"/>
        <v>113535.19</v>
      </c>
      <c r="AD79" s="684"/>
      <c r="AE79" s="672"/>
      <c r="AF79" s="685">
        <f t="shared" si="10"/>
        <v>5.3563500353279083E-3</v>
      </c>
      <c r="AG79" s="672"/>
      <c r="AH79" s="672"/>
      <c r="AI79" s="672"/>
      <c r="AJ79" s="672"/>
      <c r="AK79" s="672"/>
    </row>
    <row r="80" spans="1:37">
      <c r="A80" s="676"/>
      <c r="B80" s="676"/>
      <c r="C80" s="676"/>
      <c r="D80" s="676" t="s">
        <v>206</v>
      </c>
      <c r="E80" s="677">
        <v>4411.29</v>
      </c>
      <c r="F80" s="678"/>
      <c r="G80" s="677">
        <v>3514.75</v>
      </c>
      <c r="H80" s="678"/>
      <c r="I80" s="677">
        <v>2618.23</v>
      </c>
      <c r="J80" s="678"/>
      <c r="K80" s="677">
        <v>2618.23</v>
      </c>
      <c r="L80" s="678"/>
      <c r="M80" s="677">
        <v>2618.2399999999998</v>
      </c>
      <c r="N80" s="678"/>
      <c r="O80" s="677">
        <v>2582.59</v>
      </c>
      <c r="P80" s="678"/>
      <c r="Q80" s="677">
        <v>2585.35</v>
      </c>
      <c r="R80" s="678"/>
      <c r="S80" s="677">
        <v>3611.81</v>
      </c>
      <c r="T80" s="678"/>
      <c r="U80" s="677">
        <v>1135.03</v>
      </c>
      <c r="V80" s="678"/>
      <c r="W80" s="677">
        <v>751.22</v>
      </c>
      <c r="X80" s="678"/>
      <c r="Y80" s="677">
        <v>1140.53</v>
      </c>
      <c r="Z80" s="678"/>
      <c r="AA80" s="677">
        <v>1135.43</v>
      </c>
      <c r="AB80" s="678"/>
      <c r="AC80" s="677">
        <f t="shared" si="9"/>
        <v>28722.7</v>
      </c>
      <c r="AD80" s="684"/>
      <c r="AE80" s="672"/>
      <c r="AF80" s="685">
        <f t="shared" si="10"/>
        <v>1.355076211698883E-3</v>
      </c>
      <c r="AG80" s="672"/>
      <c r="AH80" s="672"/>
      <c r="AI80" s="672"/>
      <c r="AJ80" s="672"/>
      <c r="AK80" s="672"/>
    </row>
    <row r="81" spans="1:37">
      <c r="A81" s="676"/>
      <c r="B81" s="676"/>
      <c r="C81" s="676"/>
      <c r="D81" s="676" t="s">
        <v>207</v>
      </c>
      <c r="E81" s="677">
        <v>1890.53</v>
      </c>
      <c r="F81" s="678"/>
      <c r="G81" s="677">
        <v>1506.33</v>
      </c>
      <c r="H81" s="678"/>
      <c r="I81" s="677">
        <v>1122.1099999999999</v>
      </c>
      <c r="J81" s="678"/>
      <c r="K81" s="677">
        <v>1122.1099999999999</v>
      </c>
      <c r="L81" s="678"/>
      <c r="M81" s="677">
        <v>1122.0999999999999</v>
      </c>
      <c r="N81" s="678"/>
      <c r="O81" s="677">
        <v>1106.81</v>
      </c>
      <c r="P81" s="678"/>
      <c r="Q81" s="677">
        <v>1108.03</v>
      </c>
      <c r="R81" s="678"/>
      <c r="S81" s="677">
        <v>1520.32</v>
      </c>
      <c r="T81" s="678"/>
      <c r="U81" s="677">
        <v>2648.43</v>
      </c>
      <c r="V81" s="678"/>
      <c r="W81" s="677">
        <v>1752.82</v>
      </c>
      <c r="X81" s="678"/>
      <c r="Y81" s="677">
        <v>2661.23</v>
      </c>
      <c r="Z81" s="678"/>
      <c r="AA81" s="677">
        <v>2649.37</v>
      </c>
      <c r="AB81" s="678"/>
      <c r="AC81" s="677">
        <f t="shared" si="9"/>
        <v>20210.189999999999</v>
      </c>
      <c r="AD81" s="684"/>
      <c r="AE81" s="672"/>
      <c r="AF81" s="685">
        <f t="shared" si="10"/>
        <v>9.5347400150106528E-4</v>
      </c>
      <c r="AG81" s="672"/>
      <c r="AH81" s="672"/>
      <c r="AI81" s="672"/>
      <c r="AJ81" s="672"/>
      <c r="AK81" s="672"/>
    </row>
    <row r="82" spans="1:37">
      <c r="A82" s="676"/>
      <c r="B82" s="676"/>
      <c r="C82" s="676"/>
      <c r="D82" s="676" t="s">
        <v>208</v>
      </c>
      <c r="E82" s="677">
        <v>2476.58</v>
      </c>
      <c r="F82" s="678"/>
      <c r="G82" s="677">
        <v>3740.34</v>
      </c>
      <c r="H82" s="678"/>
      <c r="I82" s="677">
        <v>3791.28</v>
      </c>
      <c r="J82" s="678"/>
      <c r="K82" s="677">
        <v>3757.32</v>
      </c>
      <c r="L82" s="678"/>
      <c r="M82" s="677">
        <v>3774.3</v>
      </c>
      <c r="N82" s="678"/>
      <c r="O82" s="677">
        <v>3757.32</v>
      </c>
      <c r="P82" s="678"/>
      <c r="Q82" s="677">
        <v>5027.63</v>
      </c>
      <c r="R82" s="678"/>
      <c r="S82" s="677">
        <v>5113.84</v>
      </c>
      <c r="T82" s="678"/>
      <c r="U82" s="677">
        <v>2487.06</v>
      </c>
      <c r="V82" s="678"/>
      <c r="W82" s="677">
        <v>3750.82</v>
      </c>
      <c r="X82" s="678"/>
      <c r="Y82" s="677">
        <v>2453.1</v>
      </c>
      <c r="Z82" s="678"/>
      <c r="AA82" s="677">
        <v>2470.08</v>
      </c>
      <c r="AB82" s="678"/>
      <c r="AC82" s="677">
        <f t="shared" si="9"/>
        <v>42599.67</v>
      </c>
      <c r="AD82" s="684"/>
      <c r="AE82" s="672"/>
      <c r="AF82" s="685">
        <f t="shared" si="10"/>
        <v>2.0097622940469578E-3</v>
      </c>
      <c r="AG82" s="672"/>
      <c r="AH82" s="672"/>
      <c r="AI82" s="672"/>
      <c r="AJ82" s="672"/>
      <c r="AK82" s="672"/>
    </row>
    <row r="83" spans="1:37" ht="15.75" thickBot="1">
      <c r="A83" s="676"/>
      <c r="B83" s="676"/>
      <c r="C83" s="676"/>
      <c r="D83" s="676" t="s">
        <v>209</v>
      </c>
      <c r="E83" s="680">
        <v>3740.34</v>
      </c>
      <c r="F83" s="678"/>
      <c r="G83" s="680">
        <v>3757.32</v>
      </c>
      <c r="H83" s="678"/>
      <c r="I83" s="680">
        <v>3740.34</v>
      </c>
      <c r="J83" s="678"/>
      <c r="K83" s="680">
        <v>3740.34</v>
      </c>
      <c r="L83" s="678"/>
      <c r="M83" s="680">
        <v>3740.34</v>
      </c>
      <c r="N83" s="678"/>
      <c r="O83" s="680">
        <v>3740.34</v>
      </c>
      <c r="P83" s="678"/>
      <c r="Q83" s="680">
        <v>3740.39</v>
      </c>
      <c r="R83" s="678"/>
      <c r="S83" s="680">
        <v>3803.07</v>
      </c>
      <c r="T83" s="678"/>
      <c r="U83" s="680">
        <v>3818.74</v>
      </c>
      <c r="V83" s="678"/>
      <c r="W83" s="680">
        <v>2504.04</v>
      </c>
      <c r="X83" s="678"/>
      <c r="Y83" s="680">
        <v>3818.74</v>
      </c>
      <c r="Z83" s="678"/>
      <c r="AA83" s="680">
        <v>2504.04</v>
      </c>
      <c r="AB83" s="678"/>
      <c r="AC83" s="680">
        <f t="shared" si="9"/>
        <v>42648.04</v>
      </c>
      <c r="AD83" s="684"/>
      <c r="AE83" s="672"/>
      <c r="AF83" s="685">
        <f t="shared" si="10"/>
        <v>2.0120442883009757E-3</v>
      </c>
      <c r="AG83" s="672"/>
      <c r="AH83" s="672"/>
      <c r="AI83" s="672"/>
      <c r="AJ83" s="672"/>
      <c r="AK83" s="672"/>
    </row>
    <row r="84" spans="1:37">
      <c r="A84" s="676"/>
      <c r="B84" s="676"/>
      <c r="C84" s="676" t="s">
        <v>210</v>
      </c>
      <c r="D84" s="676"/>
      <c r="E84" s="677">
        <f>ROUND(SUM(E75:E83),5)</f>
        <v>53196.2</v>
      </c>
      <c r="F84" s="678"/>
      <c r="G84" s="677">
        <f>ROUND(SUM(G75:G83),5)</f>
        <v>53198.26</v>
      </c>
      <c r="H84" s="678"/>
      <c r="I84" s="677">
        <f>ROUND(SUM(I75:I83),5)</f>
        <v>52072.6</v>
      </c>
      <c r="J84" s="678"/>
      <c r="K84" s="677">
        <f>ROUND(SUM(K75:K83),5)</f>
        <v>53283.26</v>
      </c>
      <c r="L84" s="678"/>
      <c r="M84" s="677">
        <f>ROUND(SUM(M75:M83),5)</f>
        <v>53004.6</v>
      </c>
      <c r="N84" s="678"/>
      <c r="O84" s="677">
        <f>ROUND(SUM(O75:O83),5)</f>
        <v>53098.04</v>
      </c>
      <c r="P84" s="678"/>
      <c r="Q84" s="677">
        <f>ROUND(SUM(Q75:Q83),5)</f>
        <v>53855.41</v>
      </c>
      <c r="R84" s="678"/>
      <c r="S84" s="677">
        <f>ROUND(SUM(S75:S83),5)</f>
        <v>58019.46</v>
      </c>
      <c r="T84" s="678"/>
      <c r="U84" s="677">
        <f>ROUND(SUM(U75:U83),5)</f>
        <v>53538.96</v>
      </c>
      <c r="V84" s="678"/>
      <c r="W84" s="677">
        <f>ROUND(SUM(W75:W83),5)</f>
        <v>53429.279999999999</v>
      </c>
      <c r="X84" s="678"/>
      <c r="Y84" s="677">
        <f>ROUND(SUM(Y75:Y83),5)</f>
        <v>53031.66</v>
      </c>
      <c r="Z84" s="678"/>
      <c r="AA84" s="677">
        <f>ROUND(SUM(AA75:AA83),5)</f>
        <v>53320.17</v>
      </c>
      <c r="AB84" s="678"/>
      <c r="AC84" s="677">
        <f t="shared" si="9"/>
        <v>643047.9</v>
      </c>
      <c r="AD84" s="672"/>
      <c r="AE84" s="672"/>
      <c r="AF84" s="672"/>
      <c r="AG84" s="672"/>
      <c r="AH84" s="672"/>
      <c r="AI84" s="672"/>
      <c r="AJ84" s="672"/>
      <c r="AK84" s="672"/>
    </row>
    <row r="85" spans="1:37">
      <c r="A85" s="676"/>
      <c r="B85" s="676"/>
      <c r="C85" s="676" t="s">
        <v>211</v>
      </c>
      <c r="D85" s="676"/>
      <c r="E85" s="677"/>
      <c r="F85" s="678"/>
      <c r="G85" s="677"/>
      <c r="H85" s="678"/>
      <c r="I85" s="677"/>
      <c r="J85" s="678"/>
      <c r="K85" s="677"/>
      <c r="L85" s="678"/>
      <c r="M85" s="677"/>
      <c r="N85" s="678"/>
      <c r="O85" s="677"/>
      <c r="P85" s="678"/>
      <c r="Q85" s="677"/>
      <c r="R85" s="678"/>
      <c r="S85" s="677"/>
      <c r="T85" s="678"/>
      <c r="U85" s="677"/>
      <c r="V85" s="678"/>
      <c r="W85" s="677"/>
      <c r="X85" s="678"/>
      <c r="Y85" s="677"/>
      <c r="Z85" s="678"/>
      <c r="AA85" s="677"/>
      <c r="AB85" s="678"/>
      <c r="AC85" s="677"/>
      <c r="AD85" s="672"/>
      <c r="AE85" s="672"/>
      <c r="AF85" s="672"/>
      <c r="AG85" s="672"/>
      <c r="AH85" s="672"/>
      <c r="AI85" s="672"/>
      <c r="AJ85" s="672"/>
      <c r="AK85" s="672"/>
    </row>
    <row r="86" spans="1:37">
      <c r="A86" s="676"/>
      <c r="B86" s="676"/>
      <c r="C86" s="676"/>
      <c r="D86" s="676" t="s">
        <v>212</v>
      </c>
      <c r="E86" s="677">
        <v>7604.52</v>
      </c>
      <c r="F86" s="678"/>
      <c r="G86" s="677">
        <v>5944.45</v>
      </c>
      <c r="H86" s="678"/>
      <c r="I86" s="677">
        <v>5104.55</v>
      </c>
      <c r="J86" s="678"/>
      <c r="K86" s="677">
        <v>5278.78</v>
      </c>
      <c r="L86" s="678"/>
      <c r="M86" s="677">
        <v>7022.15</v>
      </c>
      <c r="N86" s="678"/>
      <c r="O86" s="677">
        <v>6151.08</v>
      </c>
      <c r="P86" s="678"/>
      <c r="Q86" s="677">
        <v>7609.64</v>
      </c>
      <c r="R86" s="678"/>
      <c r="S86" s="677">
        <v>5721.82</v>
      </c>
      <c r="T86" s="678"/>
      <c r="U86" s="677">
        <v>7540.66</v>
      </c>
      <c r="V86" s="678"/>
      <c r="W86" s="677">
        <v>6390.53</v>
      </c>
      <c r="X86" s="678"/>
      <c r="Y86" s="677">
        <v>6081.4</v>
      </c>
      <c r="Z86" s="678"/>
      <c r="AA86" s="677">
        <v>5801.42</v>
      </c>
      <c r="AB86" s="678"/>
      <c r="AC86" s="677">
        <f t="shared" ref="AC86:AC94" si="11">ROUND(SUM(E86:AA86),5)</f>
        <v>76251</v>
      </c>
      <c r="AD86" s="684"/>
      <c r="AE86" s="672"/>
      <c r="AF86" s="672"/>
      <c r="AG86" s="672"/>
      <c r="AH86" s="672"/>
      <c r="AI86" s="672"/>
      <c r="AJ86" s="672"/>
      <c r="AK86" s="672"/>
    </row>
    <row r="87" spans="1:37">
      <c r="A87" s="676"/>
      <c r="B87" s="676"/>
      <c r="C87" s="676"/>
      <c r="D87" s="676" t="s">
        <v>213</v>
      </c>
      <c r="E87" s="677">
        <v>2096.0700000000002</v>
      </c>
      <c r="F87" s="678"/>
      <c r="G87" s="677">
        <v>1453.34</v>
      </c>
      <c r="H87" s="678"/>
      <c r="I87" s="677">
        <v>1510.33</v>
      </c>
      <c r="J87" s="678"/>
      <c r="K87" s="677">
        <v>1790.7</v>
      </c>
      <c r="L87" s="678"/>
      <c r="M87" s="677">
        <v>2008.67</v>
      </c>
      <c r="N87" s="678"/>
      <c r="O87" s="677">
        <v>1579.25</v>
      </c>
      <c r="P87" s="678"/>
      <c r="Q87" s="677">
        <v>2300.25</v>
      </c>
      <c r="R87" s="678"/>
      <c r="S87" s="677">
        <v>1580.33</v>
      </c>
      <c r="T87" s="678"/>
      <c r="U87" s="677">
        <v>1578.48</v>
      </c>
      <c r="V87" s="678"/>
      <c r="W87" s="677">
        <v>2052.11</v>
      </c>
      <c r="X87" s="678"/>
      <c r="Y87" s="677">
        <v>1554.33</v>
      </c>
      <c r="Z87" s="678"/>
      <c r="AA87" s="677">
        <v>1968.88</v>
      </c>
      <c r="AB87" s="678"/>
      <c r="AC87" s="677">
        <f t="shared" si="11"/>
        <v>21472.74</v>
      </c>
      <c r="AD87" s="684"/>
      <c r="AE87" s="672"/>
      <c r="AF87" s="672"/>
      <c r="AG87" s="672"/>
      <c r="AH87" s="672"/>
      <c r="AI87" s="672"/>
      <c r="AJ87" s="672"/>
      <c r="AK87" s="672"/>
    </row>
    <row r="88" spans="1:37">
      <c r="A88" s="676"/>
      <c r="B88" s="676"/>
      <c r="C88" s="676"/>
      <c r="D88" s="676" t="s">
        <v>214</v>
      </c>
      <c r="E88" s="677">
        <v>2948.39</v>
      </c>
      <c r="F88" s="678"/>
      <c r="G88" s="677">
        <v>2222.4699999999998</v>
      </c>
      <c r="H88" s="678"/>
      <c r="I88" s="677">
        <v>2282.56</v>
      </c>
      <c r="J88" s="678"/>
      <c r="K88" s="677">
        <v>2454.5500000000002</v>
      </c>
      <c r="L88" s="678"/>
      <c r="M88" s="677">
        <v>3163.2</v>
      </c>
      <c r="N88" s="678"/>
      <c r="O88" s="677">
        <v>2746.75</v>
      </c>
      <c r="P88" s="678"/>
      <c r="Q88" s="677">
        <v>3609.69</v>
      </c>
      <c r="R88" s="678"/>
      <c r="S88" s="677">
        <v>2914.48</v>
      </c>
      <c r="T88" s="678"/>
      <c r="U88" s="677">
        <v>2644.07</v>
      </c>
      <c r="V88" s="678"/>
      <c r="W88" s="677">
        <v>3387.43</v>
      </c>
      <c r="X88" s="678"/>
      <c r="Y88" s="677">
        <v>3410.39</v>
      </c>
      <c r="Z88" s="678"/>
      <c r="AA88" s="677">
        <v>2543.9</v>
      </c>
      <c r="AB88" s="678"/>
      <c r="AC88" s="677">
        <f t="shared" si="11"/>
        <v>34327.879999999997</v>
      </c>
      <c r="AD88" s="684"/>
      <c r="AE88" s="672"/>
      <c r="AF88" s="672"/>
      <c r="AG88" s="672"/>
      <c r="AH88" s="672"/>
      <c r="AI88" s="672"/>
      <c r="AJ88" s="672"/>
      <c r="AK88" s="672"/>
    </row>
    <row r="89" spans="1:37">
      <c r="A89" s="676"/>
      <c r="B89" s="676"/>
      <c r="C89" s="676"/>
      <c r="D89" s="676" t="s">
        <v>215</v>
      </c>
      <c r="E89" s="677">
        <v>2836.15</v>
      </c>
      <c r="F89" s="678"/>
      <c r="G89" s="677">
        <v>1767.98</v>
      </c>
      <c r="H89" s="678"/>
      <c r="I89" s="677">
        <v>1770.58</v>
      </c>
      <c r="J89" s="678"/>
      <c r="K89" s="677">
        <v>2020.92</v>
      </c>
      <c r="L89" s="678"/>
      <c r="M89" s="677">
        <v>2459.44</v>
      </c>
      <c r="N89" s="678"/>
      <c r="O89" s="677">
        <v>2056.88</v>
      </c>
      <c r="P89" s="678"/>
      <c r="Q89" s="677">
        <v>2615.71</v>
      </c>
      <c r="R89" s="678"/>
      <c r="S89" s="677">
        <v>1917.55</v>
      </c>
      <c r="T89" s="678"/>
      <c r="U89" s="677">
        <v>1732.37</v>
      </c>
      <c r="V89" s="678"/>
      <c r="W89" s="677">
        <v>3219.42</v>
      </c>
      <c r="X89" s="678"/>
      <c r="Y89" s="677">
        <v>2271.16</v>
      </c>
      <c r="Z89" s="678"/>
      <c r="AA89" s="677">
        <v>2089.7399999999998</v>
      </c>
      <c r="AB89" s="678"/>
      <c r="AC89" s="677">
        <f t="shared" si="11"/>
        <v>26757.9</v>
      </c>
      <c r="AD89" s="684"/>
      <c r="AE89" s="672"/>
      <c r="AF89" s="672"/>
      <c r="AG89" s="672"/>
      <c r="AH89" s="672"/>
      <c r="AI89" s="672"/>
      <c r="AJ89" s="672"/>
      <c r="AK89" s="672"/>
    </row>
    <row r="90" spans="1:37">
      <c r="A90" s="676"/>
      <c r="B90" s="676"/>
      <c r="C90" s="676"/>
      <c r="D90" s="676" t="s">
        <v>216</v>
      </c>
      <c r="E90" s="677">
        <v>1030.4000000000001</v>
      </c>
      <c r="F90" s="678"/>
      <c r="G90" s="677">
        <v>845.59</v>
      </c>
      <c r="H90" s="678"/>
      <c r="I90" s="677">
        <v>758.73</v>
      </c>
      <c r="J90" s="678"/>
      <c r="K90" s="677">
        <v>826.99</v>
      </c>
      <c r="L90" s="678"/>
      <c r="M90" s="677">
        <v>1038.1099999999999</v>
      </c>
      <c r="N90" s="678"/>
      <c r="O90" s="677">
        <v>782.51</v>
      </c>
      <c r="P90" s="678"/>
      <c r="Q90" s="677">
        <v>1153.73</v>
      </c>
      <c r="R90" s="678"/>
      <c r="S90" s="677">
        <v>641.37</v>
      </c>
      <c r="T90" s="678"/>
      <c r="U90" s="677">
        <v>278.26</v>
      </c>
      <c r="V90" s="678"/>
      <c r="W90" s="677">
        <v>409.71</v>
      </c>
      <c r="X90" s="678"/>
      <c r="Y90" s="677">
        <v>372.78</v>
      </c>
      <c r="Z90" s="678"/>
      <c r="AA90" s="677">
        <v>339.32</v>
      </c>
      <c r="AB90" s="678"/>
      <c r="AC90" s="677">
        <f t="shared" si="11"/>
        <v>8477.5</v>
      </c>
      <c r="AD90" s="684"/>
      <c r="AE90" s="672"/>
      <c r="AF90" s="672"/>
      <c r="AG90" s="672"/>
      <c r="AH90" s="672"/>
      <c r="AI90" s="672"/>
      <c r="AJ90" s="672"/>
      <c r="AK90" s="672"/>
    </row>
    <row r="91" spans="1:37">
      <c r="A91" s="676"/>
      <c r="B91" s="676"/>
      <c r="C91" s="676"/>
      <c r="D91" s="676" t="s">
        <v>217</v>
      </c>
      <c r="E91" s="677">
        <v>441.48</v>
      </c>
      <c r="F91" s="678"/>
      <c r="G91" s="677">
        <v>362.4</v>
      </c>
      <c r="H91" s="678"/>
      <c r="I91" s="677">
        <v>325.18</v>
      </c>
      <c r="J91" s="678"/>
      <c r="K91" s="677">
        <v>354.43</v>
      </c>
      <c r="L91" s="678"/>
      <c r="M91" s="677">
        <v>444.89</v>
      </c>
      <c r="N91" s="678"/>
      <c r="O91" s="677">
        <v>335.38</v>
      </c>
      <c r="P91" s="678"/>
      <c r="Q91" s="677">
        <v>494.46</v>
      </c>
      <c r="R91" s="678"/>
      <c r="S91" s="677">
        <v>635.16</v>
      </c>
      <c r="T91" s="678"/>
      <c r="U91" s="677">
        <v>649.26</v>
      </c>
      <c r="V91" s="678"/>
      <c r="W91" s="677">
        <v>955.97</v>
      </c>
      <c r="X91" s="678"/>
      <c r="Y91" s="677">
        <v>613.69000000000005</v>
      </c>
      <c r="Z91" s="678"/>
      <c r="AA91" s="677">
        <v>791.74</v>
      </c>
      <c r="AB91" s="678"/>
      <c r="AC91" s="677">
        <f t="shared" si="11"/>
        <v>6404.04</v>
      </c>
      <c r="AD91" s="684"/>
      <c r="AE91" s="672"/>
      <c r="AF91" s="672"/>
      <c r="AG91" s="672"/>
      <c r="AH91" s="672"/>
      <c r="AI91" s="672"/>
      <c r="AJ91" s="672"/>
      <c r="AK91" s="672"/>
    </row>
    <row r="92" spans="1:37">
      <c r="A92" s="676"/>
      <c r="B92" s="676"/>
      <c r="C92" s="676"/>
      <c r="D92" s="676" t="s">
        <v>218</v>
      </c>
      <c r="E92" s="677">
        <v>1001.31</v>
      </c>
      <c r="F92" s="678"/>
      <c r="G92" s="677">
        <v>793.89</v>
      </c>
      <c r="H92" s="678"/>
      <c r="I92" s="677">
        <v>673.49</v>
      </c>
      <c r="J92" s="678"/>
      <c r="K92" s="677">
        <v>785.85</v>
      </c>
      <c r="L92" s="678"/>
      <c r="M92" s="677">
        <v>1283.17</v>
      </c>
      <c r="N92" s="678"/>
      <c r="O92" s="677">
        <v>1081.04</v>
      </c>
      <c r="P92" s="678"/>
      <c r="Q92" s="677">
        <v>1405.46</v>
      </c>
      <c r="R92" s="678"/>
      <c r="S92" s="677">
        <v>986.26</v>
      </c>
      <c r="T92" s="678"/>
      <c r="U92" s="677">
        <v>840.37</v>
      </c>
      <c r="V92" s="678"/>
      <c r="W92" s="677">
        <v>950.34</v>
      </c>
      <c r="X92" s="678"/>
      <c r="Y92" s="677">
        <v>1052.1400000000001</v>
      </c>
      <c r="Z92" s="678"/>
      <c r="AA92" s="677">
        <v>1009.54</v>
      </c>
      <c r="AB92" s="678"/>
      <c r="AC92" s="677">
        <f t="shared" si="11"/>
        <v>11862.86</v>
      </c>
      <c r="AD92" s="684"/>
      <c r="AE92" s="672"/>
      <c r="AF92" s="672"/>
      <c r="AG92" s="672"/>
      <c r="AH92" s="672"/>
      <c r="AI92" s="672"/>
      <c r="AJ92" s="672"/>
      <c r="AK92" s="672"/>
    </row>
    <row r="93" spans="1:37" ht="15.75" thickBot="1">
      <c r="A93" s="676"/>
      <c r="B93" s="676"/>
      <c r="C93" s="676"/>
      <c r="D93" s="676" t="s">
        <v>219</v>
      </c>
      <c r="E93" s="680">
        <v>1478.22</v>
      </c>
      <c r="F93" s="678"/>
      <c r="G93" s="680">
        <v>947.4</v>
      </c>
      <c r="H93" s="678"/>
      <c r="I93" s="680">
        <v>1038.1400000000001</v>
      </c>
      <c r="J93" s="678"/>
      <c r="K93" s="680">
        <v>998.11</v>
      </c>
      <c r="L93" s="678"/>
      <c r="M93" s="680">
        <v>1319.59</v>
      </c>
      <c r="N93" s="678"/>
      <c r="O93" s="680">
        <v>1170.77</v>
      </c>
      <c r="P93" s="678"/>
      <c r="Q93" s="680">
        <v>1414.82</v>
      </c>
      <c r="R93" s="678"/>
      <c r="S93" s="680">
        <v>1213.96</v>
      </c>
      <c r="T93" s="678"/>
      <c r="U93" s="680">
        <v>1716.31</v>
      </c>
      <c r="V93" s="678"/>
      <c r="W93" s="680">
        <v>1135.6099999999999</v>
      </c>
      <c r="X93" s="678"/>
      <c r="Y93" s="680">
        <v>845.8</v>
      </c>
      <c r="Z93" s="678"/>
      <c r="AA93" s="680">
        <v>768.35</v>
      </c>
      <c r="AB93" s="678"/>
      <c r="AC93" s="680">
        <f t="shared" si="11"/>
        <v>14047.08</v>
      </c>
      <c r="AD93" s="684"/>
      <c r="AE93" s="672"/>
      <c r="AF93" s="672"/>
      <c r="AG93" s="672"/>
      <c r="AH93" s="672"/>
      <c r="AI93" s="672"/>
      <c r="AJ93" s="672"/>
      <c r="AK93" s="672"/>
    </row>
    <row r="94" spans="1:37">
      <c r="A94" s="676"/>
      <c r="B94" s="676"/>
      <c r="C94" s="676" t="s">
        <v>220</v>
      </c>
      <c r="D94" s="676"/>
      <c r="E94" s="677">
        <f>ROUND(SUM(E85:E93),5)</f>
        <v>19436.54</v>
      </c>
      <c r="F94" s="678"/>
      <c r="G94" s="677">
        <f>ROUND(SUM(G85:G93),5)</f>
        <v>14337.52</v>
      </c>
      <c r="H94" s="678"/>
      <c r="I94" s="677">
        <f>ROUND(SUM(I85:I93),5)</f>
        <v>13463.56</v>
      </c>
      <c r="J94" s="678"/>
      <c r="K94" s="677">
        <f>ROUND(SUM(K85:K93),5)</f>
        <v>14510.33</v>
      </c>
      <c r="L94" s="678"/>
      <c r="M94" s="677">
        <f>ROUND(SUM(M85:M93),5)</f>
        <v>18739.22</v>
      </c>
      <c r="N94" s="678"/>
      <c r="O94" s="677">
        <f>ROUND(SUM(O85:O93),5)</f>
        <v>15903.66</v>
      </c>
      <c r="P94" s="678"/>
      <c r="Q94" s="677">
        <f>ROUND(SUM(Q85:Q93),5)</f>
        <v>20603.759999999998</v>
      </c>
      <c r="R94" s="678"/>
      <c r="S94" s="677">
        <f>ROUND(SUM(S85:S93),5)</f>
        <v>15610.93</v>
      </c>
      <c r="T94" s="678"/>
      <c r="U94" s="677">
        <f>ROUND(SUM(U85:U93),5)</f>
        <v>16979.78</v>
      </c>
      <c r="V94" s="678"/>
      <c r="W94" s="677">
        <f>ROUND(SUM(W85:W93),5)</f>
        <v>18501.12</v>
      </c>
      <c r="X94" s="678"/>
      <c r="Y94" s="677">
        <f>ROUND(SUM(Y85:Y93),5)</f>
        <v>16201.69</v>
      </c>
      <c r="Z94" s="678"/>
      <c r="AA94" s="677">
        <f>ROUND(SUM(AA85:AA93),5)</f>
        <v>15312.89</v>
      </c>
      <c r="AB94" s="678"/>
      <c r="AC94" s="677">
        <f t="shared" si="11"/>
        <v>199601</v>
      </c>
      <c r="AD94" s="672"/>
      <c r="AE94" s="672"/>
      <c r="AF94" s="672"/>
      <c r="AG94" s="672"/>
      <c r="AH94" s="672"/>
      <c r="AI94" s="672"/>
      <c r="AJ94" s="672"/>
      <c r="AK94" s="672"/>
    </row>
    <row r="95" spans="1:37">
      <c r="A95" s="676"/>
      <c r="B95" s="676"/>
      <c r="C95" s="676" t="s">
        <v>221</v>
      </c>
      <c r="D95" s="676"/>
      <c r="E95" s="677"/>
      <c r="F95" s="678"/>
      <c r="G95" s="677"/>
      <c r="H95" s="678"/>
      <c r="I95" s="677"/>
      <c r="J95" s="678"/>
      <c r="K95" s="677"/>
      <c r="L95" s="678"/>
      <c r="M95" s="677"/>
      <c r="N95" s="678"/>
      <c r="O95" s="677"/>
      <c r="P95" s="678"/>
      <c r="Q95" s="677"/>
      <c r="R95" s="678"/>
      <c r="S95" s="677"/>
      <c r="T95" s="678"/>
      <c r="U95" s="677"/>
      <c r="V95" s="678"/>
      <c r="W95" s="677"/>
      <c r="X95" s="678"/>
      <c r="Y95" s="677"/>
      <c r="Z95" s="678"/>
      <c r="AA95" s="677"/>
      <c r="AB95" s="678"/>
      <c r="AC95" s="677"/>
      <c r="AD95" s="672"/>
      <c r="AE95" s="672"/>
      <c r="AF95" s="672"/>
      <c r="AG95" s="672"/>
      <c r="AH95" s="672"/>
      <c r="AI95" s="672"/>
      <c r="AJ95" s="672"/>
      <c r="AK95" s="672"/>
    </row>
    <row r="96" spans="1:37">
      <c r="A96" s="676"/>
      <c r="B96" s="676"/>
      <c r="C96" s="676"/>
      <c r="D96" s="676" t="s">
        <v>222</v>
      </c>
      <c r="E96" s="677">
        <v>579.04999999999995</v>
      </c>
      <c r="F96" s="678"/>
      <c r="G96" s="677">
        <v>38.43</v>
      </c>
      <c r="H96" s="678"/>
      <c r="I96" s="677">
        <v>1.06</v>
      </c>
      <c r="J96" s="678"/>
      <c r="K96" s="677">
        <v>0</v>
      </c>
      <c r="L96" s="678"/>
      <c r="M96" s="677">
        <v>30.98</v>
      </c>
      <c r="N96" s="678"/>
      <c r="O96" s="677">
        <v>11</v>
      </c>
      <c r="P96" s="678"/>
      <c r="Q96" s="677">
        <v>0</v>
      </c>
      <c r="R96" s="678"/>
      <c r="S96" s="677">
        <v>0</v>
      </c>
      <c r="T96" s="678"/>
      <c r="U96" s="677">
        <v>0</v>
      </c>
      <c r="V96" s="678"/>
      <c r="W96" s="677">
        <v>2.08</v>
      </c>
      <c r="X96" s="678"/>
      <c r="Y96" s="677">
        <v>0</v>
      </c>
      <c r="Z96" s="678"/>
      <c r="AA96" s="677">
        <v>0</v>
      </c>
      <c r="AB96" s="678"/>
      <c r="AC96" s="677">
        <f t="shared" ref="AC96:AC104" si="12">ROUND(SUM(E96:AA96),5)</f>
        <v>662.6</v>
      </c>
      <c r="AD96" s="684"/>
      <c r="AE96" s="672"/>
      <c r="AF96" s="672"/>
      <c r="AG96" s="672"/>
      <c r="AH96" s="672"/>
      <c r="AI96" s="672"/>
      <c r="AJ96" s="672"/>
      <c r="AK96" s="672"/>
    </row>
    <row r="97" spans="1:37">
      <c r="A97" s="676"/>
      <c r="B97" s="676"/>
      <c r="C97" s="676"/>
      <c r="D97" s="676" t="s">
        <v>223</v>
      </c>
      <c r="E97" s="677">
        <v>154.16999999999999</v>
      </c>
      <c r="F97" s="678"/>
      <c r="G97" s="677">
        <v>7.39</v>
      </c>
      <c r="H97" s="678"/>
      <c r="I97" s="677">
        <v>0</v>
      </c>
      <c r="J97" s="678"/>
      <c r="K97" s="677">
        <v>0</v>
      </c>
      <c r="L97" s="678"/>
      <c r="M97" s="677">
        <v>0</v>
      </c>
      <c r="N97" s="678"/>
      <c r="O97" s="677">
        <v>0</v>
      </c>
      <c r="P97" s="678"/>
      <c r="Q97" s="677">
        <v>0</v>
      </c>
      <c r="R97" s="678"/>
      <c r="S97" s="677">
        <v>0</v>
      </c>
      <c r="T97" s="678"/>
      <c r="U97" s="677">
        <v>0</v>
      </c>
      <c r="V97" s="678"/>
      <c r="W97" s="677">
        <v>0</v>
      </c>
      <c r="X97" s="678"/>
      <c r="Y97" s="677">
        <v>0</v>
      </c>
      <c r="Z97" s="678"/>
      <c r="AA97" s="677">
        <v>0</v>
      </c>
      <c r="AB97" s="678"/>
      <c r="AC97" s="677">
        <f t="shared" si="12"/>
        <v>161.56</v>
      </c>
      <c r="AD97" s="684"/>
      <c r="AE97" s="672"/>
      <c r="AF97" s="672"/>
      <c r="AG97" s="672"/>
      <c r="AH97" s="672"/>
      <c r="AI97" s="672"/>
      <c r="AJ97" s="672"/>
      <c r="AK97" s="672"/>
    </row>
    <row r="98" spans="1:37">
      <c r="A98" s="676"/>
      <c r="B98" s="676"/>
      <c r="C98" s="676"/>
      <c r="D98" s="676" t="s">
        <v>224</v>
      </c>
      <c r="E98" s="677">
        <v>218.21</v>
      </c>
      <c r="F98" s="678"/>
      <c r="G98" s="677">
        <v>12.08</v>
      </c>
      <c r="H98" s="678"/>
      <c r="I98" s="677">
        <v>0</v>
      </c>
      <c r="J98" s="678"/>
      <c r="K98" s="677">
        <v>0</v>
      </c>
      <c r="L98" s="678"/>
      <c r="M98" s="677">
        <v>0</v>
      </c>
      <c r="N98" s="678"/>
      <c r="O98" s="677">
        <v>0</v>
      </c>
      <c r="P98" s="678"/>
      <c r="Q98" s="677">
        <v>0</v>
      </c>
      <c r="R98" s="678"/>
      <c r="S98" s="677">
        <v>0</v>
      </c>
      <c r="T98" s="678"/>
      <c r="U98" s="677">
        <v>0</v>
      </c>
      <c r="V98" s="678"/>
      <c r="W98" s="677">
        <v>0</v>
      </c>
      <c r="X98" s="678"/>
      <c r="Y98" s="677">
        <v>0</v>
      </c>
      <c r="Z98" s="678"/>
      <c r="AA98" s="677">
        <v>0</v>
      </c>
      <c r="AB98" s="678"/>
      <c r="AC98" s="677">
        <f t="shared" si="12"/>
        <v>230.29</v>
      </c>
      <c r="AD98" s="684"/>
      <c r="AE98" s="672"/>
      <c r="AF98" s="672"/>
      <c r="AG98" s="672"/>
      <c r="AH98" s="672"/>
      <c r="AI98" s="672"/>
      <c r="AJ98" s="672"/>
      <c r="AK98" s="672"/>
    </row>
    <row r="99" spans="1:37">
      <c r="A99" s="676"/>
      <c r="B99" s="676"/>
      <c r="C99" s="676"/>
      <c r="D99" s="676" t="s">
        <v>225</v>
      </c>
      <c r="E99" s="677">
        <v>222.44</v>
      </c>
      <c r="F99" s="678"/>
      <c r="G99" s="677">
        <v>87.8</v>
      </c>
      <c r="H99" s="678"/>
      <c r="I99" s="677">
        <v>35.56</v>
      </c>
      <c r="J99" s="678"/>
      <c r="K99" s="677">
        <v>3.89</v>
      </c>
      <c r="L99" s="678"/>
      <c r="M99" s="677">
        <v>0</v>
      </c>
      <c r="N99" s="678"/>
      <c r="O99" s="677">
        <v>0</v>
      </c>
      <c r="P99" s="678"/>
      <c r="Q99" s="677">
        <v>13.54</v>
      </c>
      <c r="R99" s="678"/>
      <c r="S99" s="677">
        <v>24.79</v>
      </c>
      <c r="T99" s="678"/>
      <c r="U99" s="677">
        <v>14.68</v>
      </c>
      <c r="V99" s="678"/>
      <c r="W99" s="677">
        <v>75.98</v>
      </c>
      <c r="X99" s="678"/>
      <c r="Y99" s="677">
        <v>23.55</v>
      </c>
      <c r="Z99" s="678"/>
      <c r="AA99" s="677">
        <v>8.19</v>
      </c>
      <c r="AB99" s="678"/>
      <c r="AC99" s="677">
        <f t="shared" si="12"/>
        <v>510.42</v>
      </c>
      <c r="AD99" s="684"/>
      <c r="AE99" s="672"/>
      <c r="AF99" s="672"/>
      <c r="AG99" s="672"/>
      <c r="AH99" s="672"/>
      <c r="AI99" s="672"/>
      <c r="AJ99" s="672"/>
      <c r="AK99" s="672"/>
    </row>
    <row r="100" spans="1:37">
      <c r="A100" s="676"/>
      <c r="B100" s="676"/>
      <c r="C100" s="676"/>
      <c r="D100" s="676" t="s">
        <v>226</v>
      </c>
      <c r="E100" s="677">
        <v>80.81</v>
      </c>
      <c r="F100" s="678"/>
      <c r="G100" s="677">
        <v>26.4</v>
      </c>
      <c r="H100" s="678"/>
      <c r="I100" s="677">
        <v>4.55</v>
      </c>
      <c r="J100" s="678"/>
      <c r="K100" s="677">
        <v>0</v>
      </c>
      <c r="L100" s="678"/>
      <c r="M100" s="677">
        <v>0</v>
      </c>
      <c r="N100" s="678"/>
      <c r="O100" s="677">
        <v>0</v>
      </c>
      <c r="P100" s="678"/>
      <c r="Q100" s="677">
        <v>19.8</v>
      </c>
      <c r="R100" s="678"/>
      <c r="S100" s="677">
        <v>9.61</v>
      </c>
      <c r="T100" s="678"/>
      <c r="U100" s="677">
        <v>0</v>
      </c>
      <c r="V100" s="678"/>
      <c r="W100" s="677">
        <v>0</v>
      </c>
      <c r="X100" s="678"/>
      <c r="Y100" s="677">
        <v>0</v>
      </c>
      <c r="Z100" s="678"/>
      <c r="AA100" s="677">
        <v>5.1100000000000003</v>
      </c>
      <c r="AB100" s="678"/>
      <c r="AC100" s="677">
        <f t="shared" si="12"/>
        <v>146.28</v>
      </c>
      <c r="AD100" s="684"/>
      <c r="AE100" s="672"/>
      <c r="AF100" s="672"/>
      <c r="AG100" s="672"/>
      <c r="AH100" s="672"/>
      <c r="AI100" s="672"/>
      <c r="AJ100" s="672"/>
      <c r="AK100" s="672"/>
    </row>
    <row r="101" spans="1:37">
      <c r="A101" s="676"/>
      <c r="B101" s="676"/>
      <c r="C101" s="676"/>
      <c r="D101" s="676" t="s">
        <v>227</v>
      </c>
      <c r="E101" s="677">
        <v>34.67</v>
      </c>
      <c r="F101" s="678"/>
      <c r="G101" s="677">
        <v>11.31</v>
      </c>
      <c r="H101" s="678"/>
      <c r="I101" s="677">
        <v>1.96</v>
      </c>
      <c r="J101" s="678"/>
      <c r="K101" s="677">
        <v>0</v>
      </c>
      <c r="L101" s="678"/>
      <c r="M101" s="677">
        <v>0</v>
      </c>
      <c r="N101" s="678"/>
      <c r="O101" s="677">
        <v>0</v>
      </c>
      <c r="P101" s="678"/>
      <c r="Q101" s="677">
        <v>8.48</v>
      </c>
      <c r="R101" s="678"/>
      <c r="S101" s="677">
        <v>4.12</v>
      </c>
      <c r="T101" s="678"/>
      <c r="U101" s="677">
        <v>0</v>
      </c>
      <c r="V101" s="678"/>
      <c r="W101" s="677">
        <v>0</v>
      </c>
      <c r="X101" s="678"/>
      <c r="Y101" s="677">
        <v>0</v>
      </c>
      <c r="Z101" s="678"/>
      <c r="AA101" s="677">
        <v>11.9</v>
      </c>
      <c r="AB101" s="678"/>
      <c r="AC101" s="677">
        <f t="shared" si="12"/>
        <v>72.44</v>
      </c>
      <c r="AD101" s="684"/>
      <c r="AE101" s="672"/>
      <c r="AF101" s="672"/>
      <c r="AG101" s="672"/>
      <c r="AH101" s="672"/>
      <c r="AI101" s="672"/>
      <c r="AJ101" s="672"/>
      <c r="AK101" s="672"/>
    </row>
    <row r="102" spans="1:37">
      <c r="A102" s="676"/>
      <c r="B102" s="676"/>
      <c r="C102" s="676"/>
      <c r="D102" s="676" t="s">
        <v>228</v>
      </c>
      <c r="E102" s="677">
        <v>78.540000000000006</v>
      </c>
      <c r="F102" s="678"/>
      <c r="G102" s="677">
        <v>20.62</v>
      </c>
      <c r="H102" s="678"/>
      <c r="I102" s="677">
        <v>0</v>
      </c>
      <c r="J102" s="678"/>
      <c r="K102" s="677">
        <v>0</v>
      </c>
      <c r="L102" s="678"/>
      <c r="M102" s="677">
        <v>0</v>
      </c>
      <c r="N102" s="678"/>
      <c r="O102" s="677">
        <v>0</v>
      </c>
      <c r="P102" s="678"/>
      <c r="Q102" s="677">
        <v>0</v>
      </c>
      <c r="R102" s="678"/>
      <c r="S102" s="677">
        <v>0</v>
      </c>
      <c r="T102" s="678"/>
      <c r="U102" s="677">
        <v>0</v>
      </c>
      <c r="V102" s="678"/>
      <c r="W102" s="677">
        <v>0</v>
      </c>
      <c r="X102" s="678"/>
      <c r="Y102" s="677">
        <v>0</v>
      </c>
      <c r="Z102" s="678"/>
      <c r="AA102" s="677">
        <v>0</v>
      </c>
      <c r="AB102" s="678"/>
      <c r="AC102" s="677">
        <f t="shared" si="12"/>
        <v>99.16</v>
      </c>
      <c r="AD102" s="684"/>
      <c r="AE102" s="672"/>
      <c r="AF102" s="672"/>
      <c r="AG102" s="672"/>
      <c r="AH102" s="672"/>
      <c r="AI102" s="672"/>
      <c r="AJ102" s="672"/>
      <c r="AK102" s="672"/>
    </row>
    <row r="103" spans="1:37" ht="15.75" thickBot="1">
      <c r="A103" s="676"/>
      <c r="B103" s="676"/>
      <c r="C103" s="676"/>
      <c r="D103" s="676" t="s">
        <v>229</v>
      </c>
      <c r="E103" s="680">
        <v>109.08</v>
      </c>
      <c r="F103" s="678"/>
      <c r="G103" s="680">
        <v>12.42</v>
      </c>
      <c r="H103" s="678"/>
      <c r="I103" s="680">
        <v>0</v>
      </c>
      <c r="J103" s="678"/>
      <c r="K103" s="680">
        <v>0</v>
      </c>
      <c r="L103" s="678"/>
      <c r="M103" s="680">
        <v>0</v>
      </c>
      <c r="N103" s="678"/>
      <c r="O103" s="680">
        <v>0</v>
      </c>
      <c r="P103" s="678"/>
      <c r="Q103" s="680">
        <v>0</v>
      </c>
      <c r="R103" s="678"/>
      <c r="S103" s="680">
        <v>0</v>
      </c>
      <c r="T103" s="678"/>
      <c r="U103" s="680">
        <v>0</v>
      </c>
      <c r="V103" s="678"/>
      <c r="W103" s="680">
        <v>0</v>
      </c>
      <c r="X103" s="678"/>
      <c r="Y103" s="680">
        <v>0</v>
      </c>
      <c r="Z103" s="678"/>
      <c r="AA103" s="680">
        <v>0</v>
      </c>
      <c r="AB103" s="678"/>
      <c r="AC103" s="680">
        <f t="shared" si="12"/>
        <v>121.5</v>
      </c>
      <c r="AD103" s="684"/>
      <c r="AE103" s="672"/>
      <c r="AF103" s="672"/>
      <c r="AG103" s="672"/>
      <c r="AH103" s="672"/>
      <c r="AI103" s="672"/>
      <c r="AJ103" s="672"/>
      <c r="AK103" s="672"/>
    </row>
    <row r="104" spans="1:37">
      <c r="A104" s="676"/>
      <c r="B104" s="676"/>
      <c r="C104" s="676" t="s">
        <v>230</v>
      </c>
      <c r="D104" s="676"/>
      <c r="E104" s="677">
        <f>ROUND(SUM(E95:E103),5)</f>
        <v>1476.97</v>
      </c>
      <c r="F104" s="678"/>
      <c r="G104" s="677">
        <f>ROUND(SUM(G95:G103),5)</f>
        <v>216.45</v>
      </c>
      <c r="H104" s="678"/>
      <c r="I104" s="677">
        <f>ROUND(SUM(I95:I103),5)</f>
        <v>43.13</v>
      </c>
      <c r="J104" s="678"/>
      <c r="K104" s="677">
        <f>ROUND(SUM(K95:K103),5)</f>
        <v>3.89</v>
      </c>
      <c r="L104" s="678"/>
      <c r="M104" s="677">
        <f>ROUND(SUM(M95:M103),5)</f>
        <v>30.98</v>
      </c>
      <c r="N104" s="678"/>
      <c r="O104" s="677">
        <f>ROUND(SUM(O95:O103),5)</f>
        <v>11</v>
      </c>
      <c r="P104" s="678"/>
      <c r="Q104" s="677">
        <f>ROUND(SUM(Q95:Q103),5)</f>
        <v>41.82</v>
      </c>
      <c r="R104" s="678"/>
      <c r="S104" s="677">
        <f>ROUND(SUM(S95:S103),5)</f>
        <v>38.520000000000003</v>
      </c>
      <c r="T104" s="678"/>
      <c r="U104" s="677">
        <f>ROUND(SUM(U95:U103),5)</f>
        <v>14.68</v>
      </c>
      <c r="V104" s="678"/>
      <c r="W104" s="677">
        <f>ROUND(SUM(W95:W103),5)</f>
        <v>78.06</v>
      </c>
      <c r="X104" s="678"/>
      <c r="Y104" s="677">
        <f>ROUND(SUM(Y95:Y103),5)</f>
        <v>23.55</v>
      </c>
      <c r="Z104" s="678"/>
      <c r="AA104" s="677">
        <f>ROUND(SUM(AA95:AA103),5)</f>
        <v>25.2</v>
      </c>
      <c r="AB104" s="678"/>
      <c r="AC104" s="677">
        <f t="shared" si="12"/>
        <v>2004.25</v>
      </c>
      <c r="AD104" s="672"/>
      <c r="AE104" s="672"/>
      <c r="AF104" s="672"/>
      <c r="AG104" s="672"/>
      <c r="AH104" s="672"/>
      <c r="AI104" s="672"/>
      <c r="AJ104" s="672"/>
      <c r="AK104" s="672"/>
    </row>
    <row r="105" spans="1:37">
      <c r="A105" s="676"/>
      <c r="B105" s="676"/>
      <c r="C105" s="676" t="s">
        <v>231</v>
      </c>
      <c r="D105" s="676"/>
      <c r="E105" s="677"/>
      <c r="F105" s="678"/>
      <c r="G105" s="677"/>
      <c r="H105" s="678"/>
      <c r="I105" s="677"/>
      <c r="J105" s="678"/>
      <c r="K105" s="677"/>
      <c r="L105" s="678"/>
      <c r="M105" s="677"/>
      <c r="N105" s="678"/>
      <c r="O105" s="677"/>
      <c r="P105" s="678"/>
      <c r="Q105" s="677"/>
      <c r="R105" s="678"/>
      <c r="S105" s="677"/>
      <c r="T105" s="678"/>
      <c r="U105" s="677"/>
      <c r="V105" s="678"/>
      <c r="W105" s="677"/>
      <c r="X105" s="678"/>
      <c r="Y105" s="677"/>
      <c r="Z105" s="678"/>
      <c r="AA105" s="677"/>
      <c r="AB105" s="678"/>
      <c r="AC105" s="677"/>
      <c r="AD105" s="672"/>
      <c r="AE105" s="672"/>
      <c r="AF105" s="672"/>
      <c r="AG105" s="672"/>
      <c r="AH105" s="672"/>
      <c r="AI105" s="672"/>
      <c r="AJ105" s="672"/>
      <c r="AK105" s="672"/>
    </row>
    <row r="106" spans="1:37">
      <c r="A106" s="676"/>
      <c r="B106" s="676"/>
      <c r="C106" s="676"/>
      <c r="D106" s="676" t="s">
        <v>232</v>
      </c>
      <c r="E106" s="677">
        <v>393.6</v>
      </c>
      <c r="F106" s="678"/>
      <c r="G106" s="677">
        <v>287.5</v>
      </c>
      <c r="H106" s="678"/>
      <c r="I106" s="677">
        <v>246.88</v>
      </c>
      <c r="J106" s="678"/>
      <c r="K106" s="677">
        <v>255.29</v>
      </c>
      <c r="L106" s="678"/>
      <c r="M106" s="677">
        <v>339.64</v>
      </c>
      <c r="N106" s="678"/>
      <c r="O106" s="677">
        <v>297.95</v>
      </c>
      <c r="P106" s="678"/>
      <c r="Q106" s="677">
        <v>368.05</v>
      </c>
      <c r="R106" s="678"/>
      <c r="S106" s="677">
        <v>246.18</v>
      </c>
      <c r="T106" s="678"/>
      <c r="U106" s="677">
        <v>128.72</v>
      </c>
      <c r="V106" s="678"/>
      <c r="W106" s="677">
        <v>73.72</v>
      </c>
      <c r="X106" s="678"/>
      <c r="Y106" s="677">
        <v>68.47</v>
      </c>
      <c r="Z106" s="678"/>
      <c r="AA106" s="677">
        <v>49.54</v>
      </c>
      <c r="AB106" s="678"/>
      <c r="AC106" s="677">
        <f t="shared" ref="AC106:AC116" si="13">ROUND(SUM(E106:AA106),5)</f>
        <v>2755.54</v>
      </c>
      <c r="AD106" s="684"/>
      <c r="AE106" s="672"/>
      <c r="AF106" s="672"/>
      <c r="AG106" s="672"/>
      <c r="AH106" s="672"/>
      <c r="AI106" s="672"/>
      <c r="AJ106" s="672"/>
      <c r="AK106" s="672"/>
    </row>
    <row r="107" spans="1:37">
      <c r="A107" s="676"/>
      <c r="B107" s="676"/>
      <c r="C107" s="676"/>
      <c r="D107" s="676" t="s">
        <v>233</v>
      </c>
      <c r="E107" s="677">
        <v>108.13</v>
      </c>
      <c r="F107" s="678"/>
      <c r="G107" s="677">
        <v>70.28</v>
      </c>
      <c r="H107" s="678"/>
      <c r="I107" s="677">
        <v>73.05</v>
      </c>
      <c r="J107" s="678"/>
      <c r="K107" s="677">
        <v>86.61</v>
      </c>
      <c r="L107" s="678"/>
      <c r="M107" s="677">
        <v>97.16</v>
      </c>
      <c r="N107" s="678"/>
      <c r="O107" s="677">
        <v>76.38</v>
      </c>
      <c r="P107" s="678"/>
      <c r="Q107" s="677">
        <v>107.43</v>
      </c>
      <c r="R107" s="678"/>
      <c r="S107" s="677">
        <v>27.7</v>
      </c>
      <c r="T107" s="678"/>
      <c r="U107" s="677">
        <v>4.33</v>
      </c>
      <c r="V107" s="678"/>
      <c r="W107" s="677">
        <v>0</v>
      </c>
      <c r="X107" s="678"/>
      <c r="Y107" s="677">
        <v>0</v>
      </c>
      <c r="Z107" s="678"/>
      <c r="AA107" s="677">
        <v>0</v>
      </c>
      <c r="AB107" s="678"/>
      <c r="AC107" s="677">
        <f t="shared" si="13"/>
        <v>651.07000000000005</v>
      </c>
      <c r="AD107" s="684"/>
      <c r="AE107" s="672"/>
      <c r="AF107" s="672"/>
      <c r="AG107" s="672"/>
      <c r="AH107" s="672"/>
      <c r="AI107" s="672"/>
      <c r="AJ107" s="672"/>
      <c r="AK107" s="672"/>
    </row>
    <row r="108" spans="1:37">
      <c r="A108" s="676"/>
      <c r="B108" s="676"/>
      <c r="C108" s="676"/>
      <c r="D108" s="676" t="s">
        <v>234</v>
      </c>
      <c r="E108" s="677">
        <v>149.38</v>
      </c>
      <c r="F108" s="678"/>
      <c r="G108" s="677">
        <v>107.48</v>
      </c>
      <c r="H108" s="678"/>
      <c r="I108" s="677">
        <v>110.41</v>
      </c>
      <c r="J108" s="678"/>
      <c r="K108" s="677">
        <v>118.73</v>
      </c>
      <c r="L108" s="678"/>
      <c r="M108" s="677">
        <v>152.99</v>
      </c>
      <c r="N108" s="678"/>
      <c r="O108" s="677">
        <v>132.83000000000001</v>
      </c>
      <c r="P108" s="678"/>
      <c r="Q108" s="677">
        <v>150.44</v>
      </c>
      <c r="R108" s="678"/>
      <c r="S108" s="677">
        <v>71.7</v>
      </c>
      <c r="T108" s="678"/>
      <c r="U108" s="677">
        <v>8.99</v>
      </c>
      <c r="V108" s="678"/>
      <c r="W108" s="677">
        <v>0</v>
      </c>
      <c r="X108" s="678"/>
      <c r="Y108" s="677">
        <v>0</v>
      </c>
      <c r="Z108" s="678"/>
      <c r="AA108" s="677">
        <v>0</v>
      </c>
      <c r="AB108" s="678"/>
      <c r="AC108" s="677">
        <f t="shared" si="13"/>
        <v>1002.95</v>
      </c>
      <c r="AD108" s="684"/>
      <c r="AE108" s="672"/>
      <c r="AF108" s="672"/>
      <c r="AG108" s="672"/>
      <c r="AH108" s="672"/>
      <c r="AI108" s="672"/>
      <c r="AJ108" s="672"/>
      <c r="AK108" s="672"/>
    </row>
    <row r="109" spans="1:37">
      <c r="A109" s="676"/>
      <c r="B109" s="676"/>
      <c r="C109" s="676"/>
      <c r="D109" s="676" t="s">
        <v>235</v>
      </c>
      <c r="E109" s="677">
        <v>148.56</v>
      </c>
      <c r="F109" s="678"/>
      <c r="G109" s="677">
        <v>85.51</v>
      </c>
      <c r="H109" s="678"/>
      <c r="I109" s="677">
        <v>85.65</v>
      </c>
      <c r="J109" s="678"/>
      <c r="K109" s="677">
        <v>97.75</v>
      </c>
      <c r="L109" s="678"/>
      <c r="M109" s="677">
        <v>118.95</v>
      </c>
      <c r="N109" s="678"/>
      <c r="O109" s="677">
        <v>99.49</v>
      </c>
      <c r="P109" s="678"/>
      <c r="Q109" s="677">
        <v>126.52</v>
      </c>
      <c r="R109" s="678"/>
      <c r="S109" s="677">
        <v>92.74</v>
      </c>
      <c r="T109" s="678"/>
      <c r="U109" s="677">
        <v>83.79</v>
      </c>
      <c r="V109" s="678"/>
      <c r="W109" s="677">
        <v>155.66999999999999</v>
      </c>
      <c r="X109" s="678"/>
      <c r="Y109" s="677">
        <v>107.39</v>
      </c>
      <c r="Z109" s="678"/>
      <c r="AA109" s="677">
        <v>81.45</v>
      </c>
      <c r="AB109" s="678"/>
      <c r="AC109" s="677">
        <f t="shared" si="13"/>
        <v>1283.47</v>
      </c>
      <c r="AD109" s="684"/>
      <c r="AE109" s="672"/>
      <c r="AF109" s="672"/>
      <c r="AG109" s="672"/>
      <c r="AH109" s="672"/>
      <c r="AI109" s="672"/>
      <c r="AJ109" s="672"/>
      <c r="AK109" s="672"/>
    </row>
    <row r="110" spans="1:37">
      <c r="A110" s="676"/>
      <c r="B110" s="676"/>
      <c r="C110" s="676"/>
      <c r="D110" s="676" t="s">
        <v>236</v>
      </c>
      <c r="E110" s="677">
        <v>53.23</v>
      </c>
      <c r="F110" s="678"/>
      <c r="G110" s="677">
        <v>40.9</v>
      </c>
      <c r="H110" s="678"/>
      <c r="I110" s="677">
        <v>36.700000000000003</v>
      </c>
      <c r="J110" s="678"/>
      <c r="K110" s="677">
        <v>40</v>
      </c>
      <c r="L110" s="678"/>
      <c r="M110" s="677">
        <v>50.2</v>
      </c>
      <c r="N110" s="678"/>
      <c r="O110" s="677">
        <v>37.840000000000003</v>
      </c>
      <c r="P110" s="678"/>
      <c r="Q110" s="677">
        <v>55.81</v>
      </c>
      <c r="R110" s="678"/>
      <c r="S110" s="677">
        <v>31.02</v>
      </c>
      <c r="T110" s="678"/>
      <c r="U110" s="677">
        <v>13.46</v>
      </c>
      <c r="V110" s="678"/>
      <c r="W110" s="677">
        <v>11.41</v>
      </c>
      <c r="X110" s="678"/>
      <c r="Y110" s="677">
        <v>1.5</v>
      </c>
      <c r="Z110" s="678"/>
      <c r="AA110" s="677">
        <v>3.16</v>
      </c>
      <c r="AB110" s="678"/>
      <c r="AC110" s="677">
        <f t="shared" si="13"/>
        <v>375.23</v>
      </c>
      <c r="AD110" s="684"/>
      <c r="AE110" s="672"/>
      <c r="AF110" s="672"/>
      <c r="AG110" s="672"/>
      <c r="AH110" s="672"/>
      <c r="AI110" s="672"/>
      <c r="AJ110" s="672"/>
      <c r="AK110" s="672"/>
    </row>
    <row r="111" spans="1:37">
      <c r="A111" s="676"/>
      <c r="B111" s="676"/>
      <c r="C111" s="676"/>
      <c r="D111" s="676" t="s">
        <v>237</v>
      </c>
      <c r="E111" s="677">
        <v>22.8</v>
      </c>
      <c r="F111" s="678"/>
      <c r="G111" s="677">
        <v>17.559999999999999</v>
      </c>
      <c r="H111" s="678"/>
      <c r="I111" s="677">
        <v>15.74</v>
      </c>
      <c r="J111" s="678"/>
      <c r="K111" s="677">
        <v>17.14</v>
      </c>
      <c r="L111" s="678"/>
      <c r="M111" s="677">
        <v>21.53</v>
      </c>
      <c r="N111" s="678"/>
      <c r="O111" s="677">
        <v>16.23</v>
      </c>
      <c r="P111" s="678"/>
      <c r="Q111" s="677">
        <v>23.92</v>
      </c>
      <c r="R111" s="678"/>
      <c r="S111" s="677">
        <v>30.73</v>
      </c>
      <c r="T111" s="678"/>
      <c r="U111" s="677">
        <v>31.39</v>
      </c>
      <c r="V111" s="678"/>
      <c r="W111" s="677">
        <v>26.62</v>
      </c>
      <c r="X111" s="678"/>
      <c r="Y111" s="677">
        <v>3.49</v>
      </c>
      <c r="Z111" s="678"/>
      <c r="AA111" s="677">
        <v>7.34</v>
      </c>
      <c r="AB111" s="678"/>
      <c r="AC111" s="677">
        <f t="shared" si="13"/>
        <v>234.49</v>
      </c>
      <c r="AD111" s="684"/>
      <c r="AE111" s="672"/>
      <c r="AF111" s="672"/>
      <c r="AG111" s="672"/>
      <c r="AH111" s="672"/>
      <c r="AI111" s="672"/>
      <c r="AJ111" s="672"/>
      <c r="AK111" s="672"/>
    </row>
    <row r="112" spans="1:37">
      <c r="A112" s="676"/>
      <c r="B112" s="676"/>
      <c r="C112" s="676"/>
      <c r="D112" s="676" t="s">
        <v>238</v>
      </c>
      <c r="E112" s="677">
        <v>51.21</v>
      </c>
      <c r="F112" s="678"/>
      <c r="G112" s="677">
        <v>38.4</v>
      </c>
      <c r="H112" s="678"/>
      <c r="I112" s="677">
        <v>32.57</v>
      </c>
      <c r="J112" s="678"/>
      <c r="K112" s="677">
        <v>38</v>
      </c>
      <c r="L112" s="678"/>
      <c r="M112" s="677">
        <v>62.06</v>
      </c>
      <c r="N112" s="678"/>
      <c r="O112" s="677">
        <v>53.37</v>
      </c>
      <c r="P112" s="678"/>
      <c r="Q112" s="677">
        <v>67.97</v>
      </c>
      <c r="R112" s="678"/>
      <c r="S112" s="677">
        <v>45.68</v>
      </c>
      <c r="T112" s="678"/>
      <c r="U112" s="677">
        <v>17.399999999999999</v>
      </c>
      <c r="V112" s="678"/>
      <c r="W112" s="677">
        <v>17.2</v>
      </c>
      <c r="X112" s="678"/>
      <c r="Y112" s="677">
        <v>13.07</v>
      </c>
      <c r="Z112" s="678"/>
      <c r="AA112" s="677">
        <v>0</v>
      </c>
      <c r="AB112" s="678"/>
      <c r="AC112" s="677">
        <f t="shared" si="13"/>
        <v>436.93</v>
      </c>
      <c r="AD112" s="684"/>
      <c r="AE112" s="672"/>
      <c r="AF112" s="672"/>
      <c r="AG112" s="672"/>
      <c r="AH112" s="672"/>
      <c r="AI112" s="672"/>
      <c r="AJ112" s="672"/>
      <c r="AK112" s="672"/>
    </row>
    <row r="113" spans="1:37" ht="15.75" thickBot="1">
      <c r="A113" s="676"/>
      <c r="B113" s="676"/>
      <c r="C113" s="676"/>
      <c r="D113" s="676" t="s">
        <v>239</v>
      </c>
      <c r="E113" s="682">
        <v>74.790000000000006</v>
      </c>
      <c r="F113" s="678"/>
      <c r="G113" s="682">
        <v>45.82</v>
      </c>
      <c r="H113" s="678"/>
      <c r="I113" s="682">
        <v>50.22</v>
      </c>
      <c r="J113" s="678"/>
      <c r="K113" s="682">
        <v>48.29</v>
      </c>
      <c r="L113" s="678"/>
      <c r="M113" s="682">
        <v>63.83</v>
      </c>
      <c r="N113" s="678"/>
      <c r="O113" s="682">
        <v>56.62</v>
      </c>
      <c r="P113" s="678"/>
      <c r="Q113" s="682">
        <v>68.430000000000007</v>
      </c>
      <c r="R113" s="678"/>
      <c r="S113" s="682">
        <v>51.27</v>
      </c>
      <c r="T113" s="678"/>
      <c r="U113" s="682">
        <v>36.26</v>
      </c>
      <c r="V113" s="678"/>
      <c r="W113" s="682">
        <v>0</v>
      </c>
      <c r="X113" s="678"/>
      <c r="Y113" s="682">
        <v>0</v>
      </c>
      <c r="Z113" s="678"/>
      <c r="AA113" s="682">
        <v>0</v>
      </c>
      <c r="AB113" s="678"/>
      <c r="AC113" s="682">
        <f t="shared" si="13"/>
        <v>495.53</v>
      </c>
      <c r="AD113" s="684"/>
      <c r="AE113" s="672"/>
      <c r="AF113" s="672"/>
      <c r="AG113" s="672"/>
      <c r="AH113" s="672"/>
      <c r="AI113" s="672"/>
      <c r="AJ113" s="672"/>
      <c r="AK113" s="672"/>
    </row>
    <row r="114" spans="1:37" ht="15.75" thickBot="1">
      <c r="A114" s="676"/>
      <c r="B114" s="676"/>
      <c r="C114" s="676" t="s">
        <v>240</v>
      </c>
      <c r="D114" s="676"/>
      <c r="E114" s="683">
        <f>ROUND(SUM(E105:E113),5)</f>
        <v>1001.7</v>
      </c>
      <c r="F114" s="678"/>
      <c r="G114" s="683">
        <f>ROUND(SUM(G105:G113),5)</f>
        <v>693.45</v>
      </c>
      <c r="H114" s="678"/>
      <c r="I114" s="683">
        <f>ROUND(SUM(I105:I113),5)</f>
        <v>651.22</v>
      </c>
      <c r="J114" s="678"/>
      <c r="K114" s="683">
        <f>ROUND(SUM(K105:K113),5)</f>
        <v>701.81</v>
      </c>
      <c r="L114" s="678"/>
      <c r="M114" s="683">
        <f>ROUND(SUM(M105:M113),5)</f>
        <v>906.36</v>
      </c>
      <c r="N114" s="678"/>
      <c r="O114" s="683">
        <f>ROUND(SUM(O105:O113),5)</f>
        <v>770.71</v>
      </c>
      <c r="P114" s="678"/>
      <c r="Q114" s="683">
        <f>ROUND(SUM(Q105:Q113),5)</f>
        <v>968.57</v>
      </c>
      <c r="R114" s="678"/>
      <c r="S114" s="683">
        <f>ROUND(SUM(S105:S113),5)</f>
        <v>597.02</v>
      </c>
      <c r="T114" s="678"/>
      <c r="U114" s="683">
        <f>ROUND(SUM(U105:U113),5)</f>
        <v>324.33999999999997</v>
      </c>
      <c r="V114" s="678"/>
      <c r="W114" s="683">
        <f>ROUND(SUM(W105:W113),5)</f>
        <v>284.62</v>
      </c>
      <c r="X114" s="678"/>
      <c r="Y114" s="683">
        <f>ROUND(SUM(Y105:Y113),5)</f>
        <v>193.92</v>
      </c>
      <c r="Z114" s="678"/>
      <c r="AA114" s="683">
        <f>ROUND(SUM(AA105:AA113),5)</f>
        <v>141.49</v>
      </c>
      <c r="AB114" s="678"/>
      <c r="AC114" s="683">
        <f t="shared" si="13"/>
        <v>7235.21</v>
      </c>
      <c r="AD114" s="672"/>
      <c r="AE114" s="672"/>
      <c r="AF114" s="672"/>
      <c r="AG114" s="672"/>
      <c r="AH114" s="672"/>
      <c r="AI114" s="672"/>
      <c r="AJ114" s="672"/>
      <c r="AK114" s="672"/>
    </row>
    <row r="115" spans="1:37">
      <c r="A115" s="676"/>
      <c r="B115" s="676" t="s">
        <v>241</v>
      </c>
      <c r="C115" s="676"/>
      <c r="D115" s="676"/>
      <c r="E115" s="677">
        <f>ROUND(E52+E62+SUM(E73:E74)+E84+E94+E104+E114,5)</f>
        <v>345367.71</v>
      </c>
      <c r="F115" s="678"/>
      <c r="G115" s="677">
        <f>ROUND(G52+G62+SUM(G73:G74)+G84+G94+G104+G114,5)</f>
        <v>269459.71999999997</v>
      </c>
      <c r="H115" s="678"/>
      <c r="I115" s="677">
        <f>ROUND(I52+I62+SUM(I73:I74)+I84+I94+I104+I114,5)</f>
        <v>295162.89</v>
      </c>
      <c r="J115" s="678"/>
      <c r="K115" s="677">
        <f>ROUND(K52+K62+SUM(K73:K74)+K84+K94+K104+K114,5)</f>
        <v>272094.05</v>
      </c>
      <c r="L115" s="678"/>
      <c r="M115" s="677">
        <f>ROUND(M52+M62+SUM(M73:M74)+M84+M94+M104+M114,5)</f>
        <v>333631.05</v>
      </c>
      <c r="N115" s="678"/>
      <c r="O115" s="677">
        <f>ROUND(O52+O62+SUM(O73:O74)+O84+O94+O104+O114,5)</f>
        <v>333558.21000000002</v>
      </c>
      <c r="P115" s="678"/>
      <c r="Q115" s="677">
        <f>ROUND(Q52+Q62+SUM(Q73:Q74)+Q84+Q94+Q104+Q114,5)</f>
        <v>334378.83</v>
      </c>
      <c r="R115" s="678"/>
      <c r="S115" s="677">
        <f>ROUND(S52+S62+SUM(S73:S74)+S84+S94+S104+S114,5)</f>
        <v>292322.83</v>
      </c>
      <c r="T115" s="678"/>
      <c r="U115" s="677">
        <f>ROUND(U52+U62+SUM(U73:U74)+U84+U94+U104+U114,5)</f>
        <v>348408.49</v>
      </c>
      <c r="V115" s="678"/>
      <c r="W115" s="677">
        <f>ROUND(W52+W62+SUM(W73:W74)+W84+W94+W104+W114,5)</f>
        <v>334198.11</v>
      </c>
      <c r="X115" s="678"/>
      <c r="Y115" s="677">
        <f>ROUND(Y52+Y62+SUM(Y73:Y74)+Y84+Y94+Y104+Y114,5)</f>
        <v>296387.11</v>
      </c>
      <c r="Z115" s="678"/>
      <c r="AA115" s="677">
        <f>ROUND(AA52+AA62+SUM(AA73:AA74)+AA84+AA94+AA104+AA114,5)</f>
        <v>324779.11</v>
      </c>
      <c r="AB115" s="678"/>
      <c r="AC115" s="677">
        <f t="shared" si="13"/>
        <v>3779748.11</v>
      </c>
      <c r="AD115" s="672"/>
      <c r="AE115" s="672"/>
      <c r="AF115" s="672"/>
      <c r="AG115" s="672"/>
      <c r="AH115" s="672"/>
      <c r="AI115" s="672"/>
      <c r="AJ115" s="672"/>
      <c r="AK115" s="672"/>
    </row>
    <row r="116" spans="1:37">
      <c r="A116" s="676"/>
      <c r="B116" s="676" t="s">
        <v>242</v>
      </c>
      <c r="C116" s="676"/>
      <c r="D116" s="676"/>
      <c r="E116" s="677">
        <v>314.91000000000003</v>
      </c>
      <c r="F116" s="678"/>
      <c r="G116" s="677">
        <v>322.38</v>
      </c>
      <c r="H116" s="678"/>
      <c r="I116" s="677">
        <v>249.59</v>
      </c>
      <c r="J116" s="678"/>
      <c r="K116" s="677">
        <v>138.77000000000001</v>
      </c>
      <c r="L116" s="678"/>
      <c r="M116" s="677">
        <v>246.51</v>
      </c>
      <c r="N116" s="678"/>
      <c r="O116" s="677">
        <v>278.52999999999997</v>
      </c>
      <c r="P116" s="678"/>
      <c r="Q116" s="677">
        <v>307.45999999999998</v>
      </c>
      <c r="R116" s="678"/>
      <c r="S116" s="677">
        <v>342.22</v>
      </c>
      <c r="T116" s="678"/>
      <c r="U116" s="677">
        <v>303.91000000000003</v>
      </c>
      <c r="V116" s="678"/>
      <c r="W116" s="677">
        <v>351.09</v>
      </c>
      <c r="X116" s="678"/>
      <c r="Y116" s="677">
        <v>298.89</v>
      </c>
      <c r="Z116" s="678"/>
      <c r="AA116" s="677">
        <v>313.70999999999998</v>
      </c>
      <c r="AB116" s="678"/>
      <c r="AC116" s="677">
        <f t="shared" si="13"/>
        <v>3467.97</v>
      </c>
      <c r="AD116" s="672"/>
      <c r="AE116" s="672"/>
      <c r="AF116" s="672"/>
      <c r="AG116" s="672"/>
      <c r="AH116" s="672"/>
      <c r="AI116" s="672"/>
      <c r="AJ116" s="672"/>
      <c r="AK116" s="672"/>
    </row>
    <row r="117" spans="1:37">
      <c r="A117" s="676"/>
      <c r="B117" s="676" t="s">
        <v>243</v>
      </c>
      <c r="C117" s="676"/>
      <c r="D117" s="676"/>
      <c r="E117" s="677"/>
      <c r="F117" s="678"/>
      <c r="G117" s="677"/>
      <c r="H117" s="678"/>
      <c r="I117" s="677"/>
      <c r="J117" s="678"/>
      <c r="K117" s="677"/>
      <c r="L117" s="678"/>
      <c r="M117" s="677"/>
      <c r="N117" s="678"/>
      <c r="O117" s="677"/>
      <c r="P117" s="678"/>
      <c r="Q117" s="677"/>
      <c r="R117" s="678"/>
      <c r="S117" s="677"/>
      <c r="T117" s="678"/>
      <c r="U117" s="677"/>
      <c r="V117" s="678"/>
      <c r="W117" s="677"/>
      <c r="X117" s="678"/>
      <c r="Y117" s="677"/>
      <c r="Z117" s="678"/>
      <c r="AA117" s="677"/>
      <c r="AB117" s="678"/>
      <c r="AC117" s="677"/>
      <c r="AD117" s="672"/>
      <c r="AE117" s="672"/>
      <c r="AF117" s="672"/>
      <c r="AG117" s="672"/>
      <c r="AH117" s="672"/>
      <c r="AI117" s="672"/>
      <c r="AJ117" s="672"/>
      <c r="AK117" s="672"/>
    </row>
    <row r="118" spans="1:37">
      <c r="A118" s="676"/>
      <c r="B118" s="676"/>
      <c r="C118" s="676" t="s">
        <v>244</v>
      </c>
      <c r="D118" s="676"/>
      <c r="E118" s="677">
        <v>7927.13</v>
      </c>
      <c r="F118" s="678"/>
      <c r="G118" s="677">
        <v>4645.74</v>
      </c>
      <c r="H118" s="678"/>
      <c r="I118" s="677">
        <v>7226.55</v>
      </c>
      <c r="J118" s="678"/>
      <c r="K118" s="677">
        <v>7866.79</v>
      </c>
      <c r="L118" s="678"/>
      <c r="M118" s="677">
        <v>7411.5</v>
      </c>
      <c r="N118" s="678"/>
      <c r="O118" s="677">
        <v>10764.43</v>
      </c>
      <c r="P118" s="678"/>
      <c r="Q118" s="677">
        <v>8766.9500000000007</v>
      </c>
      <c r="R118" s="678"/>
      <c r="S118" s="677">
        <v>7975.09</v>
      </c>
      <c r="T118" s="678"/>
      <c r="U118" s="677">
        <v>7377.17</v>
      </c>
      <c r="V118" s="678"/>
      <c r="W118" s="677">
        <v>8785.68</v>
      </c>
      <c r="X118" s="678"/>
      <c r="Y118" s="677">
        <v>8136.89</v>
      </c>
      <c r="Z118" s="678"/>
      <c r="AA118" s="677">
        <v>7385.51</v>
      </c>
      <c r="AB118" s="678"/>
      <c r="AC118" s="677">
        <f t="shared" ref="AC118:AC127" si="14">ROUND(SUM(E118:AA118),5)</f>
        <v>94269.43</v>
      </c>
      <c r="AD118" s="684"/>
      <c r="AE118" s="672"/>
      <c r="AF118" s="672"/>
      <c r="AG118" s="672"/>
      <c r="AH118" s="672"/>
      <c r="AI118" s="672"/>
      <c r="AJ118" s="672"/>
      <c r="AK118" s="672"/>
    </row>
    <row r="119" spans="1:37">
      <c r="A119" s="676"/>
      <c r="B119" s="676"/>
      <c r="C119" s="676" t="s">
        <v>245</v>
      </c>
      <c r="D119" s="676"/>
      <c r="E119" s="677">
        <v>6737.33</v>
      </c>
      <c r="F119" s="678"/>
      <c r="G119" s="677">
        <v>5994.47</v>
      </c>
      <c r="H119" s="678"/>
      <c r="I119" s="677">
        <v>6960.37</v>
      </c>
      <c r="J119" s="678"/>
      <c r="K119" s="677">
        <v>8050.95</v>
      </c>
      <c r="L119" s="678"/>
      <c r="M119" s="677">
        <v>6747.13</v>
      </c>
      <c r="N119" s="678"/>
      <c r="O119" s="677">
        <v>7321.77</v>
      </c>
      <c r="P119" s="678"/>
      <c r="Q119" s="677">
        <v>5303.51</v>
      </c>
      <c r="R119" s="678"/>
      <c r="S119" s="677">
        <v>4638.96</v>
      </c>
      <c r="T119" s="678"/>
      <c r="U119" s="677">
        <v>4243.17</v>
      </c>
      <c r="V119" s="678"/>
      <c r="W119" s="677">
        <v>5825.93</v>
      </c>
      <c r="X119" s="678"/>
      <c r="Y119" s="677">
        <v>5004.26</v>
      </c>
      <c r="Z119" s="678"/>
      <c r="AA119" s="677">
        <v>4648.1099999999997</v>
      </c>
      <c r="AB119" s="678"/>
      <c r="AC119" s="677">
        <f t="shared" si="14"/>
        <v>71475.960000000006</v>
      </c>
      <c r="AD119" s="684"/>
      <c r="AE119" s="672"/>
      <c r="AF119" s="672"/>
      <c r="AG119" s="672"/>
      <c r="AH119" s="672"/>
      <c r="AI119" s="672"/>
      <c r="AJ119" s="672"/>
      <c r="AK119" s="672"/>
    </row>
    <row r="120" spans="1:37">
      <c r="A120" s="676"/>
      <c r="B120" s="676"/>
      <c r="C120" s="676" t="s">
        <v>246</v>
      </c>
      <c r="D120" s="676"/>
      <c r="E120" s="677">
        <v>13459.7</v>
      </c>
      <c r="F120" s="678"/>
      <c r="G120" s="677">
        <v>11250.62</v>
      </c>
      <c r="H120" s="678"/>
      <c r="I120" s="677">
        <v>13553.56</v>
      </c>
      <c r="J120" s="678"/>
      <c r="K120" s="677">
        <v>12885.4</v>
      </c>
      <c r="L120" s="678"/>
      <c r="M120" s="677">
        <v>15502.16</v>
      </c>
      <c r="N120" s="678"/>
      <c r="O120" s="677">
        <v>15575.68</v>
      </c>
      <c r="P120" s="678"/>
      <c r="Q120" s="677">
        <v>15848.49</v>
      </c>
      <c r="R120" s="678"/>
      <c r="S120" s="677">
        <v>17043.650000000001</v>
      </c>
      <c r="T120" s="678"/>
      <c r="U120" s="677">
        <v>11006.49</v>
      </c>
      <c r="V120" s="678"/>
      <c r="W120" s="677">
        <v>13422.83</v>
      </c>
      <c r="X120" s="678"/>
      <c r="Y120" s="677">
        <v>7290.2</v>
      </c>
      <c r="Z120" s="678"/>
      <c r="AA120" s="677">
        <v>4671.0200000000004</v>
      </c>
      <c r="AB120" s="678"/>
      <c r="AC120" s="677">
        <f t="shared" si="14"/>
        <v>151509.79999999999</v>
      </c>
      <c r="AD120" s="684"/>
      <c r="AE120" s="672"/>
      <c r="AF120" s="672"/>
      <c r="AG120" s="672"/>
      <c r="AH120" s="672"/>
      <c r="AI120" s="672"/>
      <c r="AJ120" s="672"/>
      <c r="AK120" s="672"/>
    </row>
    <row r="121" spans="1:37">
      <c r="A121" s="676"/>
      <c r="B121" s="676"/>
      <c r="C121" s="676" t="s">
        <v>247</v>
      </c>
      <c r="D121" s="676"/>
      <c r="E121" s="677">
        <v>2592.16</v>
      </c>
      <c r="F121" s="678"/>
      <c r="G121" s="677">
        <v>2668.85</v>
      </c>
      <c r="H121" s="678"/>
      <c r="I121" s="677">
        <v>2079.8000000000002</v>
      </c>
      <c r="J121" s="678"/>
      <c r="K121" s="677">
        <v>911.36</v>
      </c>
      <c r="L121" s="678"/>
      <c r="M121" s="677">
        <v>1137.56</v>
      </c>
      <c r="N121" s="678"/>
      <c r="O121" s="677">
        <v>2183.0500000000002</v>
      </c>
      <c r="P121" s="678"/>
      <c r="Q121" s="677">
        <v>2726.95</v>
      </c>
      <c r="R121" s="678"/>
      <c r="S121" s="677">
        <v>3954.72</v>
      </c>
      <c r="T121" s="678"/>
      <c r="U121" s="677">
        <v>570.66999999999996</v>
      </c>
      <c r="V121" s="678"/>
      <c r="W121" s="677">
        <v>3790.74</v>
      </c>
      <c r="X121" s="678"/>
      <c r="Y121" s="677">
        <v>2533.11</v>
      </c>
      <c r="Z121" s="678"/>
      <c r="AA121" s="677">
        <v>2128.92</v>
      </c>
      <c r="AB121" s="678"/>
      <c r="AC121" s="677">
        <f t="shared" si="14"/>
        <v>27277.89</v>
      </c>
      <c r="AD121" s="684"/>
      <c r="AE121" s="672"/>
      <c r="AF121" s="672"/>
      <c r="AG121" s="672"/>
      <c r="AH121" s="672"/>
      <c r="AI121" s="672"/>
      <c r="AJ121" s="672"/>
      <c r="AK121" s="672"/>
    </row>
    <row r="122" spans="1:37">
      <c r="A122" s="676"/>
      <c r="B122" s="676"/>
      <c r="C122" s="676" t="s">
        <v>248</v>
      </c>
      <c r="D122" s="676"/>
      <c r="E122" s="677">
        <v>4394.3599999999997</v>
      </c>
      <c r="F122" s="678"/>
      <c r="G122" s="677">
        <v>2787.98</v>
      </c>
      <c r="H122" s="678"/>
      <c r="I122" s="677">
        <v>4397.82</v>
      </c>
      <c r="J122" s="678"/>
      <c r="K122" s="677">
        <v>4778.01</v>
      </c>
      <c r="L122" s="678"/>
      <c r="M122" s="677">
        <v>4432.9399999999996</v>
      </c>
      <c r="N122" s="678"/>
      <c r="O122" s="677">
        <v>7172.78</v>
      </c>
      <c r="P122" s="678"/>
      <c r="Q122" s="677">
        <v>4890</v>
      </c>
      <c r="R122" s="678"/>
      <c r="S122" s="677">
        <v>2636.79</v>
      </c>
      <c r="T122" s="678"/>
      <c r="U122" s="677">
        <v>2535.69</v>
      </c>
      <c r="V122" s="678"/>
      <c r="W122" s="677">
        <v>4212.04</v>
      </c>
      <c r="X122" s="678"/>
      <c r="Y122" s="677">
        <v>3573.86</v>
      </c>
      <c r="Z122" s="678"/>
      <c r="AA122" s="677">
        <v>2672.2</v>
      </c>
      <c r="AB122" s="678"/>
      <c r="AC122" s="677">
        <f t="shared" si="14"/>
        <v>48484.47</v>
      </c>
      <c r="AD122" s="684"/>
      <c r="AE122" s="672"/>
      <c r="AF122" s="672"/>
      <c r="AG122" s="672"/>
      <c r="AH122" s="672"/>
      <c r="AI122" s="672"/>
      <c r="AJ122" s="672"/>
      <c r="AK122" s="672"/>
    </row>
    <row r="123" spans="1:37">
      <c r="A123" s="676"/>
      <c r="B123" s="676"/>
      <c r="C123" s="676" t="s">
        <v>249</v>
      </c>
      <c r="D123" s="676"/>
      <c r="E123" s="677">
        <v>1883.27</v>
      </c>
      <c r="F123" s="678"/>
      <c r="G123" s="677">
        <v>1194.83</v>
      </c>
      <c r="H123" s="678"/>
      <c r="I123" s="677">
        <v>1890.96</v>
      </c>
      <c r="J123" s="678"/>
      <c r="K123" s="677">
        <v>2047.71</v>
      </c>
      <c r="L123" s="678"/>
      <c r="M123" s="677">
        <v>1899.83</v>
      </c>
      <c r="N123" s="678"/>
      <c r="O123" s="677">
        <v>3074.06</v>
      </c>
      <c r="P123" s="678"/>
      <c r="Q123" s="677">
        <v>2095.7199999999998</v>
      </c>
      <c r="R123" s="678"/>
      <c r="S123" s="677">
        <v>4008.43</v>
      </c>
      <c r="T123" s="678"/>
      <c r="U123" s="677">
        <v>2966.67</v>
      </c>
      <c r="V123" s="678"/>
      <c r="W123" s="677">
        <v>2204.12</v>
      </c>
      <c r="X123" s="678"/>
      <c r="Y123" s="677">
        <v>1840.56</v>
      </c>
      <c r="Z123" s="678"/>
      <c r="AA123" s="677">
        <v>1370</v>
      </c>
      <c r="AB123" s="678"/>
      <c r="AC123" s="677">
        <f t="shared" si="14"/>
        <v>26476.16</v>
      </c>
      <c r="AD123" s="684"/>
      <c r="AE123" s="672"/>
      <c r="AF123" s="672"/>
      <c r="AG123" s="672"/>
      <c r="AH123" s="672"/>
      <c r="AI123" s="672"/>
      <c r="AJ123" s="672"/>
      <c r="AK123" s="672"/>
    </row>
    <row r="124" spans="1:37">
      <c r="A124" s="676"/>
      <c r="B124" s="676"/>
      <c r="C124" s="676" t="s">
        <v>250</v>
      </c>
      <c r="D124" s="676"/>
      <c r="E124" s="677">
        <v>2900.29</v>
      </c>
      <c r="F124" s="678"/>
      <c r="G124" s="677">
        <v>2370.2600000000002</v>
      </c>
      <c r="H124" s="678"/>
      <c r="I124" s="677">
        <v>3956.89</v>
      </c>
      <c r="J124" s="678"/>
      <c r="K124" s="677">
        <v>3940.84</v>
      </c>
      <c r="L124" s="678"/>
      <c r="M124" s="677">
        <v>4677.57</v>
      </c>
      <c r="N124" s="678"/>
      <c r="O124" s="677">
        <v>5018.1899999999996</v>
      </c>
      <c r="P124" s="678"/>
      <c r="Q124" s="677">
        <v>3715.49</v>
      </c>
      <c r="R124" s="678"/>
      <c r="S124" s="677">
        <v>4402.43</v>
      </c>
      <c r="T124" s="678"/>
      <c r="U124" s="677">
        <v>4381.3</v>
      </c>
      <c r="V124" s="678"/>
      <c r="W124" s="677">
        <v>4889.66</v>
      </c>
      <c r="X124" s="678"/>
      <c r="Y124" s="677">
        <v>4145.7299999999996</v>
      </c>
      <c r="Z124" s="678"/>
      <c r="AA124" s="677">
        <v>3035.51</v>
      </c>
      <c r="AB124" s="678"/>
      <c r="AC124" s="677">
        <f t="shared" si="14"/>
        <v>47434.16</v>
      </c>
      <c r="AD124" s="684"/>
      <c r="AE124" s="672"/>
      <c r="AF124" s="672"/>
      <c r="AG124" s="672"/>
      <c r="AH124" s="672"/>
      <c r="AI124" s="672"/>
      <c r="AJ124" s="672"/>
      <c r="AK124" s="672"/>
    </row>
    <row r="125" spans="1:37">
      <c r="A125" s="676"/>
      <c r="B125" s="676"/>
      <c r="C125" s="676" t="s">
        <v>251</v>
      </c>
      <c r="D125" s="676"/>
      <c r="E125" s="677">
        <v>734.57</v>
      </c>
      <c r="F125" s="678"/>
      <c r="G125" s="677">
        <v>629.33000000000004</v>
      </c>
      <c r="H125" s="678"/>
      <c r="I125" s="677">
        <v>790.68</v>
      </c>
      <c r="J125" s="678"/>
      <c r="K125" s="677">
        <v>1176.6300000000001</v>
      </c>
      <c r="L125" s="678"/>
      <c r="M125" s="677">
        <v>866.71</v>
      </c>
      <c r="N125" s="678"/>
      <c r="O125" s="677">
        <v>1213.95</v>
      </c>
      <c r="P125" s="678"/>
      <c r="Q125" s="677">
        <v>1846.25</v>
      </c>
      <c r="R125" s="678"/>
      <c r="S125" s="677">
        <v>1892.03</v>
      </c>
      <c r="T125" s="678"/>
      <c r="U125" s="677">
        <v>2935.87</v>
      </c>
      <c r="V125" s="678"/>
      <c r="W125" s="677">
        <v>3216.26</v>
      </c>
      <c r="X125" s="678"/>
      <c r="Y125" s="677">
        <v>7903.21</v>
      </c>
      <c r="Z125" s="678"/>
      <c r="AA125" s="677">
        <v>7108.38</v>
      </c>
      <c r="AB125" s="678"/>
      <c r="AC125" s="677">
        <f t="shared" si="14"/>
        <v>30313.87</v>
      </c>
      <c r="AD125" s="684"/>
      <c r="AE125" s="672"/>
      <c r="AF125" s="672"/>
      <c r="AG125" s="672"/>
      <c r="AH125" s="672"/>
      <c r="AI125" s="672"/>
      <c r="AJ125" s="672"/>
      <c r="AK125" s="672"/>
    </row>
    <row r="126" spans="1:37" ht="15.75" thickBot="1">
      <c r="A126" s="676"/>
      <c r="B126" s="676"/>
      <c r="C126" s="676" t="s">
        <v>252</v>
      </c>
      <c r="D126" s="676"/>
      <c r="E126" s="680">
        <v>0</v>
      </c>
      <c r="F126" s="678"/>
      <c r="G126" s="680">
        <v>-4348.2700000000004</v>
      </c>
      <c r="H126" s="678"/>
      <c r="I126" s="680">
        <v>4348.2700000000004</v>
      </c>
      <c r="J126" s="678"/>
      <c r="K126" s="680">
        <v>0</v>
      </c>
      <c r="L126" s="678"/>
      <c r="M126" s="680">
        <v>0</v>
      </c>
      <c r="N126" s="678"/>
      <c r="O126" s="680">
        <v>0</v>
      </c>
      <c r="P126" s="678"/>
      <c r="Q126" s="680">
        <v>0</v>
      </c>
      <c r="R126" s="678"/>
      <c r="S126" s="680">
        <v>-4152.21</v>
      </c>
      <c r="T126" s="678"/>
      <c r="U126" s="680">
        <v>4152.21</v>
      </c>
      <c r="V126" s="678"/>
      <c r="W126" s="680">
        <v>0</v>
      </c>
      <c r="X126" s="678"/>
      <c r="Y126" s="680">
        <v>0</v>
      </c>
      <c r="Z126" s="678"/>
      <c r="AA126" s="680">
        <v>0</v>
      </c>
      <c r="AB126" s="678"/>
      <c r="AC126" s="680">
        <f t="shared" si="14"/>
        <v>0</v>
      </c>
      <c r="AD126" s="684"/>
      <c r="AE126" s="672"/>
      <c r="AF126" s="672"/>
      <c r="AG126" s="672"/>
      <c r="AH126" s="672"/>
      <c r="AI126" s="672"/>
      <c r="AJ126" s="672"/>
      <c r="AK126" s="672"/>
    </row>
    <row r="127" spans="1:37">
      <c r="A127" s="676"/>
      <c r="B127" s="676" t="s">
        <v>253</v>
      </c>
      <c r="C127" s="676"/>
      <c r="D127" s="676"/>
      <c r="E127" s="677">
        <f>ROUND(SUM(E117:E126),5)</f>
        <v>40628.81</v>
      </c>
      <c r="F127" s="678"/>
      <c r="G127" s="677">
        <f>ROUND(SUM(G117:G126),5)</f>
        <v>27193.81</v>
      </c>
      <c r="H127" s="678"/>
      <c r="I127" s="677">
        <f>ROUND(SUM(I117:I126),5)</f>
        <v>45204.9</v>
      </c>
      <c r="J127" s="678"/>
      <c r="K127" s="677">
        <f>ROUND(SUM(K117:K126),5)</f>
        <v>41657.69</v>
      </c>
      <c r="L127" s="678"/>
      <c r="M127" s="677">
        <f>ROUND(SUM(M117:M126),5)</f>
        <v>42675.4</v>
      </c>
      <c r="N127" s="678"/>
      <c r="O127" s="677">
        <f>ROUND(SUM(O117:O126),5)</f>
        <v>52323.91</v>
      </c>
      <c r="P127" s="678"/>
      <c r="Q127" s="677">
        <f>ROUND(SUM(Q117:Q126),5)</f>
        <v>45193.36</v>
      </c>
      <c r="R127" s="678"/>
      <c r="S127" s="677">
        <f>ROUND(SUM(S117:S126),5)</f>
        <v>42399.89</v>
      </c>
      <c r="T127" s="678"/>
      <c r="U127" s="677">
        <f>ROUND(SUM(U117:U126),5)</f>
        <v>40169.24</v>
      </c>
      <c r="V127" s="678"/>
      <c r="W127" s="677">
        <f>ROUND(SUM(W117:W126),5)</f>
        <v>46347.26</v>
      </c>
      <c r="X127" s="678"/>
      <c r="Y127" s="677">
        <f>ROUND(SUM(Y117:Y126),5)</f>
        <v>40427.82</v>
      </c>
      <c r="Z127" s="678"/>
      <c r="AA127" s="677">
        <f>ROUND(SUM(AA117:AA126),5)</f>
        <v>33019.65</v>
      </c>
      <c r="AB127" s="678"/>
      <c r="AC127" s="677">
        <f t="shared" si="14"/>
        <v>497241.74</v>
      </c>
      <c r="AD127" s="672"/>
      <c r="AE127" s="672"/>
      <c r="AF127" s="672"/>
      <c r="AG127" s="672"/>
      <c r="AH127" s="672"/>
      <c r="AI127" s="672"/>
      <c r="AJ127" s="672"/>
      <c r="AK127" s="672"/>
    </row>
    <row r="128" spans="1:37">
      <c r="A128" s="676"/>
      <c r="B128" s="676" t="s">
        <v>254</v>
      </c>
      <c r="C128" s="676"/>
      <c r="D128" s="676"/>
      <c r="E128" s="677"/>
      <c r="F128" s="678"/>
      <c r="G128" s="677"/>
      <c r="H128" s="678"/>
      <c r="I128" s="677"/>
      <c r="J128" s="678"/>
      <c r="K128" s="677"/>
      <c r="L128" s="678"/>
      <c r="M128" s="677"/>
      <c r="N128" s="678"/>
      <c r="O128" s="677"/>
      <c r="P128" s="678"/>
      <c r="Q128" s="677"/>
      <c r="R128" s="678"/>
      <c r="S128" s="677"/>
      <c r="T128" s="678"/>
      <c r="U128" s="677"/>
      <c r="V128" s="678"/>
      <c r="W128" s="677"/>
      <c r="X128" s="678"/>
      <c r="Y128" s="677"/>
      <c r="Z128" s="678"/>
      <c r="AA128" s="677"/>
      <c r="AB128" s="678"/>
      <c r="AC128" s="677"/>
      <c r="AD128" s="672"/>
      <c r="AE128" s="672"/>
      <c r="AF128" s="672"/>
      <c r="AG128" s="672"/>
      <c r="AH128" s="672"/>
      <c r="AI128" s="672"/>
      <c r="AJ128" s="672"/>
      <c r="AK128" s="672"/>
    </row>
    <row r="129" spans="1:37">
      <c r="A129" s="676"/>
      <c r="B129" s="676"/>
      <c r="C129" s="676" t="s">
        <v>255</v>
      </c>
      <c r="D129" s="676"/>
      <c r="E129" s="677">
        <v>0</v>
      </c>
      <c r="F129" s="678"/>
      <c r="G129" s="677">
        <v>0</v>
      </c>
      <c r="H129" s="678"/>
      <c r="I129" s="677">
        <v>0</v>
      </c>
      <c r="J129" s="678"/>
      <c r="K129" s="677">
        <v>0</v>
      </c>
      <c r="L129" s="678"/>
      <c r="M129" s="677">
        <v>0</v>
      </c>
      <c r="N129" s="678"/>
      <c r="O129" s="677">
        <v>0</v>
      </c>
      <c r="P129" s="678"/>
      <c r="Q129" s="677">
        <v>2000</v>
      </c>
      <c r="R129" s="678"/>
      <c r="S129" s="677">
        <v>0</v>
      </c>
      <c r="T129" s="678"/>
      <c r="U129" s="677">
        <v>0</v>
      </c>
      <c r="V129" s="678"/>
      <c r="W129" s="677">
        <v>0</v>
      </c>
      <c r="X129" s="678"/>
      <c r="Y129" s="677">
        <v>0</v>
      </c>
      <c r="Z129" s="678"/>
      <c r="AA129" s="677">
        <v>0</v>
      </c>
      <c r="AB129" s="678"/>
      <c r="AC129" s="677">
        <f>ROUND(SUM(E129:AA129),5)</f>
        <v>2000</v>
      </c>
      <c r="AD129" s="672"/>
      <c r="AE129" s="672"/>
      <c r="AF129" s="672"/>
      <c r="AG129" s="672"/>
      <c r="AH129" s="672"/>
      <c r="AI129" s="672"/>
      <c r="AJ129" s="672"/>
      <c r="AK129" s="672"/>
    </row>
    <row r="130" spans="1:37">
      <c r="A130" s="676"/>
      <c r="B130" s="676"/>
      <c r="C130" s="676" t="s">
        <v>256</v>
      </c>
      <c r="D130" s="676"/>
      <c r="E130" s="677">
        <v>0</v>
      </c>
      <c r="F130" s="678"/>
      <c r="G130" s="677">
        <v>0</v>
      </c>
      <c r="H130" s="678"/>
      <c r="I130" s="677">
        <v>0</v>
      </c>
      <c r="J130" s="678"/>
      <c r="K130" s="677">
        <v>504.02</v>
      </c>
      <c r="L130" s="678"/>
      <c r="M130" s="677">
        <v>2077.7600000000002</v>
      </c>
      <c r="N130" s="678"/>
      <c r="O130" s="677">
        <v>0</v>
      </c>
      <c r="P130" s="678"/>
      <c r="Q130" s="677">
        <v>0</v>
      </c>
      <c r="R130" s="678"/>
      <c r="S130" s="677">
        <v>0</v>
      </c>
      <c r="T130" s="678"/>
      <c r="U130" s="677">
        <v>0</v>
      </c>
      <c r="V130" s="678"/>
      <c r="W130" s="677">
        <v>2140</v>
      </c>
      <c r="X130" s="678"/>
      <c r="Y130" s="677">
        <v>0</v>
      </c>
      <c r="Z130" s="678"/>
      <c r="AA130" s="677">
        <v>0</v>
      </c>
      <c r="AB130" s="678"/>
      <c r="AC130" s="677">
        <f>ROUND(SUM(E130:AA130),5)</f>
        <v>4721.78</v>
      </c>
      <c r="AD130" s="672"/>
      <c r="AE130" s="672"/>
      <c r="AF130" s="672"/>
      <c r="AG130" s="672"/>
      <c r="AH130" s="672"/>
      <c r="AI130" s="672"/>
      <c r="AJ130" s="672"/>
      <c r="AK130" s="672"/>
    </row>
    <row r="131" spans="1:37">
      <c r="A131" s="676"/>
      <c r="B131" s="676"/>
      <c r="C131" s="676" t="s">
        <v>257</v>
      </c>
      <c r="D131" s="676"/>
      <c r="E131" s="677">
        <v>0</v>
      </c>
      <c r="F131" s="678"/>
      <c r="G131" s="677">
        <v>0</v>
      </c>
      <c r="H131" s="678"/>
      <c r="I131" s="677">
        <v>0</v>
      </c>
      <c r="J131" s="678"/>
      <c r="K131" s="677">
        <v>0</v>
      </c>
      <c r="L131" s="678"/>
      <c r="M131" s="677">
        <v>0</v>
      </c>
      <c r="N131" s="678"/>
      <c r="O131" s="677">
        <v>0</v>
      </c>
      <c r="P131" s="678"/>
      <c r="Q131" s="677">
        <v>2000</v>
      </c>
      <c r="R131" s="678"/>
      <c r="S131" s="677">
        <v>0</v>
      </c>
      <c r="T131" s="678"/>
      <c r="U131" s="677">
        <v>0</v>
      </c>
      <c r="V131" s="678"/>
      <c r="W131" s="677">
        <v>0</v>
      </c>
      <c r="X131" s="678"/>
      <c r="Y131" s="677">
        <v>0</v>
      </c>
      <c r="Z131" s="678"/>
      <c r="AA131" s="677">
        <v>0</v>
      </c>
      <c r="AB131" s="678"/>
      <c r="AC131" s="677">
        <f>ROUND(SUM(E131:AA131),5)</f>
        <v>2000</v>
      </c>
      <c r="AD131" s="672"/>
      <c r="AE131" s="672"/>
      <c r="AF131" s="672"/>
      <c r="AG131" s="672"/>
      <c r="AH131" s="672"/>
      <c r="AI131" s="672"/>
      <c r="AJ131" s="672"/>
      <c r="AK131" s="672"/>
    </row>
    <row r="132" spans="1:37" ht="15.75" thickBot="1">
      <c r="A132" s="676"/>
      <c r="B132" s="676"/>
      <c r="C132" s="676" t="s">
        <v>258</v>
      </c>
      <c r="D132" s="676"/>
      <c r="E132" s="680">
        <v>0</v>
      </c>
      <c r="F132" s="678"/>
      <c r="G132" s="680">
        <v>883.09</v>
      </c>
      <c r="H132" s="678"/>
      <c r="I132" s="680">
        <v>1023.5</v>
      </c>
      <c r="J132" s="678"/>
      <c r="K132" s="680">
        <v>2304.8000000000002</v>
      </c>
      <c r="L132" s="678"/>
      <c r="M132" s="680">
        <v>4751.1099999999997</v>
      </c>
      <c r="N132" s="678"/>
      <c r="O132" s="680">
        <v>2474.83</v>
      </c>
      <c r="P132" s="678"/>
      <c r="Q132" s="680">
        <v>3469.81</v>
      </c>
      <c r="R132" s="678"/>
      <c r="S132" s="680">
        <v>2419.98</v>
      </c>
      <c r="T132" s="678"/>
      <c r="U132" s="680">
        <v>2151.2199999999998</v>
      </c>
      <c r="V132" s="678"/>
      <c r="W132" s="680">
        <v>1947.18</v>
      </c>
      <c r="X132" s="678"/>
      <c r="Y132" s="680">
        <v>2210.46</v>
      </c>
      <c r="Z132" s="678"/>
      <c r="AA132" s="680">
        <v>3107.8</v>
      </c>
      <c r="AB132" s="678"/>
      <c r="AC132" s="680">
        <f>ROUND(SUM(E132:AA132),5)</f>
        <v>26743.78</v>
      </c>
      <c r="AD132" s="672"/>
      <c r="AE132" s="672"/>
      <c r="AF132" s="672"/>
      <c r="AG132" s="672"/>
      <c r="AH132" s="672"/>
      <c r="AI132" s="672"/>
      <c r="AJ132" s="672"/>
      <c r="AK132" s="672"/>
    </row>
    <row r="133" spans="1:37">
      <c r="A133" s="676"/>
      <c r="B133" s="676" t="s">
        <v>259</v>
      </c>
      <c r="C133" s="676"/>
      <c r="D133" s="676"/>
      <c r="E133" s="677">
        <f>ROUND(SUM(E128:E132),5)</f>
        <v>0</v>
      </c>
      <c r="F133" s="678"/>
      <c r="G133" s="677">
        <f>ROUND(SUM(G128:G132),5)</f>
        <v>883.09</v>
      </c>
      <c r="H133" s="678"/>
      <c r="I133" s="677">
        <f>ROUND(SUM(I128:I132),5)</f>
        <v>1023.5</v>
      </c>
      <c r="J133" s="678"/>
      <c r="K133" s="677">
        <f>ROUND(SUM(K128:K132),5)</f>
        <v>2808.82</v>
      </c>
      <c r="L133" s="678"/>
      <c r="M133" s="677">
        <f>ROUND(SUM(M128:M132),5)</f>
        <v>6828.87</v>
      </c>
      <c r="N133" s="678"/>
      <c r="O133" s="677">
        <f>ROUND(SUM(O128:O132),5)</f>
        <v>2474.83</v>
      </c>
      <c r="P133" s="678"/>
      <c r="Q133" s="677">
        <f>ROUND(SUM(Q128:Q132),5)</f>
        <v>7469.81</v>
      </c>
      <c r="R133" s="678"/>
      <c r="S133" s="677">
        <f>ROUND(SUM(S128:S132),5)</f>
        <v>2419.98</v>
      </c>
      <c r="T133" s="678"/>
      <c r="U133" s="677">
        <f>ROUND(SUM(U128:U132),5)</f>
        <v>2151.2199999999998</v>
      </c>
      <c r="V133" s="678"/>
      <c r="W133" s="677">
        <f>ROUND(SUM(W128:W132),5)</f>
        <v>4087.18</v>
      </c>
      <c r="X133" s="678"/>
      <c r="Y133" s="677">
        <f>ROUND(SUM(Y128:Y132),5)</f>
        <v>2210.46</v>
      </c>
      <c r="Z133" s="678"/>
      <c r="AA133" s="677">
        <f>ROUND(SUM(AA128:AA132),5)</f>
        <v>3107.8</v>
      </c>
      <c r="AB133" s="678"/>
      <c r="AC133" s="677">
        <f>ROUND(SUM(E133:AA133),5)</f>
        <v>35465.56</v>
      </c>
      <c r="AD133" s="672"/>
      <c r="AE133" s="672"/>
      <c r="AF133" s="672"/>
      <c r="AG133" s="672"/>
      <c r="AH133" s="672"/>
      <c r="AI133" s="672"/>
      <c r="AJ133" s="672"/>
      <c r="AK133" s="672"/>
    </row>
    <row r="134" spans="1:37">
      <c r="A134" s="676"/>
      <c r="B134" s="676" t="s">
        <v>260</v>
      </c>
      <c r="C134" s="676"/>
      <c r="D134" s="676"/>
      <c r="E134" s="677"/>
      <c r="F134" s="678"/>
      <c r="G134" s="677"/>
      <c r="H134" s="678"/>
      <c r="I134" s="677"/>
      <c r="J134" s="678"/>
      <c r="K134" s="677"/>
      <c r="L134" s="678"/>
      <c r="M134" s="677"/>
      <c r="N134" s="678"/>
      <c r="O134" s="677"/>
      <c r="P134" s="678"/>
      <c r="Q134" s="677"/>
      <c r="R134" s="678"/>
      <c r="S134" s="677"/>
      <c r="T134" s="678"/>
      <c r="U134" s="677"/>
      <c r="V134" s="678"/>
      <c r="W134" s="677"/>
      <c r="X134" s="678"/>
      <c r="Y134" s="677"/>
      <c r="Z134" s="678"/>
      <c r="AA134" s="677"/>
      <c r="AB134" s="678"/>
      <c r="AC134" s="677"/>
      <c r="AD134" s="672"/>
      <c r="AE134" s="672"/>
      <c r="AF134" s="672"/>
      <c r="AG134" s="672"/>
      <c r="AH134" s="672"/>
      <c r="AI134" s="672"/>
      <c r="AJ134" s="672"/>
      <c r="AK134" s="672"/>
    </row>
    <row r="135" spans="1:37">
      <c r="A135" s="676"/>
      <c r="B135" s="676"/>
      <c r="C135" s="676" t="s">
        <v>261</v>
      </c>
      <c r="D135" s="676"/>
      <c r="E135" s="677">
        <v>128826.52</v>
      </c>
      <c r="F135" s="678"/>
      <c r="G135" s="677">
        <v>108619.84</v>
      </c>
      <c r="H135" s="678"/>
      <c r="I135" s="677">
        <v>123144.53</v>
      </c>
      <c r="J135" s="678"/>
      <c r="K135" s="677">
        <v>120123.87</v>
      </c>
      <c r="L135" s="678"/>
      <c r="M135" s="677">
        <v>138644.34</v>
      </c>
      <c r="N135" s="678"/>
      <c r="O135" s="677">
        <v>119534.81</v>
      </c>
      <c r="P135" s="678"/>
      <c r="Q135" s="677">
        <v>126258.29</v>
      </c>
      <c r="R135" s="678"/>
      <c r="S135" s="677">
        <v>131774.16</v>
      </c>
      <c r="T135" s="678"/>
      <c r="U135" s="677">
        <v>117087.54</v>
      </c>
      <c r="V135" s="678"/>
      <c r="W135" s="677">
        <v>127619.43</v>
      </c>
      <c r="X135" s="678"/>
      <c r="Y135" s="677">
        <v>129490.48</v>
      </c>
      <c r="Z135" s="678"/>
      <c r="AA135" s="677">
        <v>122136.16</v>
      </c>
      <c r="AB135" s="678"/>
      <c r="AC135" s="677">
        <f t="shared" ref="AC135:AC143" si="15">ROUND(SUM(E135:AA135),5)</f>
        <v>1493259.97</v>
      </c>
      <c r="AD135" s="684"/>
      <c r="AE135" s="672"/>
      <c r="AF135" s="672"/>
      <c r="AG135" s="672"/>
      <c r="AH135" s="672"/>
      <c r="AI135" s="672"/>
      <c r="AJ135" s="672"/>
      <c r="AK135" s="672"/>
    </row>
    <row r="136" spans="1:37">
      <c r="A136" s="676"/>
      <c r="B136" s="676"/>
      <c r="C136" s="676" t="s">
        <v>262</v>
      </c>
      <c r="D136" s="676"/>
      <c r="E136" s="677">
        <v>227158.13</v>
      </c>
      <c r="F136" s="678"/>
      <c r="G136" s="677">
        <v>198286.87</v>
      </c>
      <c r="H136" s="678"/>
      <c r="I136" s="677">
        <v>220320.97</v>
      </c>
      <c r="J136" s="678"/>
      <c r="K136" s="677">
        <v>221694.18</v>
      </c>
      <c r="L136" s="678"/>
      <c r="M136" s="677">
        <v>231013.41</v>
      </c>
      <c r="N136" s="678"/>
      <c r="O136" s="677">
        <v>221814.94</v>
      </c>
      <c r="P136" s="678"/>
      <c r="Q136" s="677">
        <v>222253.52</v>
      </c>
      <c r="R136" s="678"/>
      <c r="S136" s="677">
        <v>230967.24</v>
      </c>
      <c r="T136" s="678"/>
      <c r="U136" s="677">
        <v>204527.04</v>
      </c>
      <c r="V136" s="678"/>
      <c r="W136" s="677">
        <v>231610.77</v>
      </c>
      <c r="X136" s="678"/>
      <c r="Y136" s="677">
        <v>224817.32</v>
      </c>
      <c r="Z136" s="678"/>
      <c r="AA136" s="677">
        <v>214986.29</v>
      </c>
      <c r="AB136" s="678"/>
      <c r="AC136" s="677">
        <f t="shared" si="15"/>
        <v>2649450.6800000002</v>
      </c>
      <c r="AD136" s="684"/>
      <c r="AE136" s="672"/>
      <c r="AF136" s="672"/>
      <c r="AG136" s="672"/>
      <c r="AH136" s="672"/>
      <c r="AI136" s="672"/>
      <c r="AJ136" s="672"/>
      <c r="AK136" s="672"/>
    </row>
    <row r="137" spans="1:37">
      <c r="A137" s="676"/>
      <c r="B137" s="676"/>
      <c r="C137" s="676" t="s">
        <v>263</v>
      </c>
      <c r="D137" s="676"/>
      <c r="E137" s="677">
        <v>328662.26</v>
      </c>
      <c r="F137" s="678"/>
      <c r="G137" s="677">
        <v>285789.19</v>
      </c>
      <c r="H137" s="678"/>
      <c r="I137" s="677">
        <v>308794.96000000002</v>
      </c>
      <c r="J137" s="678"/>
      <c r="K137" s="677">
        <v>290932.84999999998</v>
      </c>
      <c r="L137" s="678"/>
      <c r="M137" s="677">
        <v>331835.19</v>
      </c>
      <c r="N137" s="678"/>
      <c r="O137" s="677">
        <v>334214.68</v>
      </c>
      <c r="P137" s="678"/>
      <c r="Q137" s="677">
        <v>320592.55</v>
      </c>
      <c r="R137" s="678"/>
      <c r="S137" s="677">
        <v>369835.81</v>
      </c>
      <c r="T137" s="678"/>
      <c r="U137" s="677">
        <v>344084.54</v>
      </c>
      <c r="V137" s="678"/>
      <c r="W137" s="677">
        <v>336167.93</v>
      </c>
      <c r="X137" s="678"/>
      <c r="Y137" s="677">
        <v>308983.58</v>
      </c>
      <c r="Z137" s="678"/>
      <c r="AA137" s="677">
        <v>286391.34999999998</v>
      </c>
      <c r="AB137" s="678"/>
      <c r="AC137" s="677">
        <f t="shared" si="15"/>
        <v>3846284.89</v>
      </c>
      <c r="AD137" s="684"/>
      <c r="AE137" s="672"/>
      <c r="AF137" s="672"/>
      <c r="AG137" s="672"/>
      <c r="AH137" s="672"/>
      <c r="AI137" s="672"/>
      <c r="AJ137" s="672"/>
      <c r="AK137" s="672"/>
    </row>
    <row r="138" spans="1:37">
      <c r="A138" s="676"/>
      <c r="B138" s="676"/>
      <c r="C138" s="676" t="s">
        <v>264</v>
      </c>
      <c r="D138" s="676"/>
      <c r="E138" s="677">
        <v>0</v>
      </c>
      <c r="F138" s="678"/>
      <c r="G138" s="677">
        <v>0</v>
      </c>
      <c r="H138" s="678"/>
      <c r="I138" s="677">
        <v>0</v>
      </c>
      <c r="J138" s="678"/>
      <c r="K138" s="677">
        <v>0</v>
      </c>
      <c r="L138" s="678"/>
      <c r="M138" s="677">
        <v>0</v>
      </c>
      <c r="N138" s="678"/>
      <c r="O138" s="677">
        <v>0</v>
      </c>
      <c r="P138" s="678"/>
      <c r="Q138" s="677">
        <v>6081.6</v>
      </c>
      <c r="R138" s="678"/>
      <c r="S138" s="677">
        <v>5430</v>
      </c>
      <c r="T138" s="678"/>
      <c r="U138" s="677">
        <v>6688.62</v>
      </c>
      <c r="V138" s="678"/>
      <c r="W138" s="677">
        <v>38247.42</v>
      </c>
      <c r="X138" s="678"/>
      <c r="Y138" s="677">
        <v>39192.89</v>
      </c>
      <c r="Z138" s="678"/>
      <c r="AA138" s="677">
        <v>17761.45</v>
      </c>
      <c r="AB138" s="678"/>
      <c r="AC138" s="677">
        <f t="shared" si="15"/>
        <v>113401.98</v>
      </c>
      <c r="AD138" s="684"/>
      <c r="AE138" s="672"/>
      <c r="AF138" s="672"/>
      <c r="AG138" s="672"/>
      <c r="AH138" s="672"/>
      <c r="AI138" s="672"/>
      <c r="AJ138" s="672"/>
      <c r="AK138" s="672"/>
    </row>
    <row r="139" spans="1:37">
      <c r="A139" s="676"/>
      <c r="B139" s="676"/>
      <c r="C139" s="676" t="s">
        <v>265</v>
      </c>
      <c r="D139" s="676"/>
      <c r="E139" s="677">
        <v>0</v>
      </c>
      <c r="F139" s="678"/>
      <c r="G139" s="677">
        <v>0</v>
      </c>
      <c r="H139" s="678"/>
      <c r="I139" s="677">
        <v>0</v>
      </c>
      <c r="J139" s="678"/>
      <c r="K139" s="677">
        <v>0</v>
      </c>
      <c r="L139" s="678"/>
      <c r="M139" s="677">
        <v>0</v>
      </c>
      <c r="N139" s="678"/>
      <c r="O139" s="677">
        <v>0</v>
      </c>
      <c r="P139" s="678"/>
      <c r="Q139" s="677">
        <v>9826.56</v>
      </c>
      <c r="R139" s="678"/>
      <c r="S139" s="677">
        <v>9209.5499999999993</v>
      </c>
      <c r="T139" s="678"/>
      <c r="U139" s="677">
        <v>0</v>
      </c>
      <c r="V139" s="678"/>
      <c r="W139" s="677">
        <v>0</v>
      </c>
      <c r="X139" s="678"/>
      <c r="Y139" s="677">
        <v>0</v>
      </c>
      <c r="Z139" s="678"/>
      <c r="AA139" s="677">
        <v>0</v>
      </c>
      <c r="AB139" s="678"/>
      <c r="AC139" s="677">
        <f t="shared" si="15"/>
        <v>19036.11</v>
      </c>
      <c r="AD139" s="684"/>
      <c r="AE139" s="672"/>
      <c r="AF139" s="672"/>
      <c r="AG139" s="672"/>
      <c r="AH139" s="672"/>
      <c r="AI139" s="672"/>
      <c r="AJ139" s="672"/>
      <c r="AK139" s="672"/>
    </row>
    <row r="140" spans="1:37">
      <c r="A140" s="676"/>
      <c r="B140" s="676"/>
      <c r="C140" s="676" t="s">
        <v>266</v>
      </c>
      <c r="D140" s="676"/>
      <c r="E140" s="677">
        <v>28357.69</v>
      </c>
      <c r="F140" s="678"/>
      <c r="G140" s="677">
        <v>20450.21</v>
      </c>
      <c r="H140" s="678"/>
      <c r="I140" s="677">
        <v>38489.68</v>
      </c>
      <c r="J140" s="678"/>
      <c r="K140" s="677">
        <v>55587.12</v>
      </c>
      <c r="L140" s="678"/>
      <c r="M140" s="677">
        <v>83908.15</v>
      </c>
      <c r="N140" s="678"/>
      <c r="O140" s="677">
        <v>59640.11</v>
      </c>
      <c r="P140" s="678"/>
      <c r="Q140" s="677">
        <v>39828.61</v>
      </c>
      <c r="R140" s="678"/>
      <c r="S140" s="677">
        <v>33216.25</v>
      </c>
      <c r="T140" s="678"/>
      <c r="U140" s="677">
        <v>34105.57</v>
      </c>
      <c r="V140" s="678"/>
      <c r="W140" s="677">
        <v>19658.2</v>
      </c>
      <c r="X140" s="678"/>
      <c r="Y140" s="677">
        <v>15711.11</v>
      </c>
      <c r="Z140" s="678"/>
      <c r="AA140" s="677">
        <v>13234.72</v>
      </c>
      <c r="AB140" s="678"/>
      <c r="AC140" s="677">
        <f t="shared" si="15"/>
        <v>442187.42</v>
      </c>
      <c r="AD140" s="684"/>
      <c r="AE140" s="672"/>
      <c r="AF140" s="672"/>
      <c r="AG140" s="672"/>
      <c r="AH140" s="672"/>
      <c r="AI140" s="672"/>
      <c r="AJ140" s="672"/>
      <c r="AK140" s="672"/>
    </row>
    <row r="141" spans="1:37">
      <c r="A141" s="676"/>
      <c r="B141" s="676"/>
      <c r="C141" s="676" t="s">
        <v>267</v>
      </c>
      <c r="D141" s="676"/>
      <c r="E141" s="677">
        <v>20</v>
      </c>
      <c r="F141" s="678"/>
      <c r="G141" s="677">
        <v>20</v>
      </c>
      <c r="H141" s="678"/>
      <c r="I141" s="677">
        <v>20</v>
      </c>
      <c r="J141" s="678"/>
      <c r="K141" s="677">
        <v>20</v>
      </c>
      <c r="L141" s="678"/>
      <c r="M141" s="677">
        <v>0</v>
      </c>
      <c r="N141" s="678"/>
      <c r="O141" s="677">
        <v>20</v>
      </c>
      <c r="P141" s="678"/>
      <c r="Q141" s="677">
        <v>30</v>
      </c>
      <c r="R141" s="678"/>
      <c r="S141" s="677">
        <v>30</v>
      </c>
      <c r="T141" s="678"/>
      <c r="U141" s="677">
        <v>30</v>
      </c>
      <c r="V141" s="678"/>
      <c r="W141" s="677">
        <v>30</v>
      </c>
      <c r="X141" s="678"/>
      <c r="Y141" s="677">
        <v>30</v>
      </c>
      <c r="Z141" s="678"/>
      <c r="AA141" s="677">
        <v>60</v>
      </c>
      <c r="AB141" s="678"/>
      <c r="AC141" s="677">
        <f t="shared" si="15"/>
        <v>310</v>
      </c>
      <c r="AD141" s="684"/>
      <c r="AE141" s="672"/>
      <c r="AF141" s="672"/>
      <c r="AG141" s="672"/>
      <c r="AH141" s="672"/>
      <c r="AI141" s="672"/>
      <c r="AJ141" s="672"/>
      <c r="AK141" s="672"/>
    </row>
    <row r="142" spans="1:37" ht="15.75" thickBot="1">
      <c r="A142" s="676"/>
      <c r="B142" s="676"/>
      <c r="C142" s="676" t="s">
        <v>268</v>
      </c>
      <c r="D142" s="676"/>
      <c r="E142" s="680">
        <v>12004.45</v>
      </c>
      <c r="F142" s="678"/>
      <c r="G142" s="680">
        <v>9054.07</v>
      </c>
      <c r="H142" s="678"/>
      <c r="I142" s="680">
        <v>3662.11</v>
      </c>
      <c r="J142" s="678"/>
      <c r="K142" s="680">
        <v>5922.29</v>
      </c>
      <c r="L142" s="678"/>
      <c r="M142" s="680">
        <v>5931.71</v>
      </c>
      <c r="N142" s="678"/>
      <c r="O142" s="680">
        <v>7857.99</v>
      </c>
      <c r="P142" s="678"/>
      <c r="Q142" s="680">
        <v>10555.32</v>
      </c>
      <c r="R142" s="678"/>
      <c r="S142" s="680">
        <v>7954.3</v>
      </c>
      <c r="T142" s="678"/>
      <c r="U142" s="680">
        <v>8818.9599999999991</v>
      </c>
      <c r="V142" s="678"/>
      <c r="W142" s="680">
        <v>2597.0500000000002</v>
      </c>
      <c r="X142" s="678"/>
      <c r="Y142" s="680">
        <v>15557.39</v>
      </c>
      <c r="Z142" s="678"/>
      <c r="AA142" s="680">
        <v>6851.3</v>
      </c>
      <c r="AB142" s="678"/>
      <c r="AC142" s="680">
        <f t="shared" si="15"/>
        <v>96766.94</v>
      </c>
      <c r="AD142" s="684"/>
      <c r="AE142" s="672"/>
      <c r="AF142" s="672"/>
      <c r="AG142" s="672"/>
      <c r="AH142" s="672"/>
      <c r="AI142" s="672"/>
      <c r="AJ142" s="672"/>
      <c r="AK142" s="672"/>
    </row>
    <row r="143" spans="1:37">
      <c r="A143" s="676"/>
      <c r="B143" s="676" t="s">
        <v>269</v>
      </c>
      <c r="C143" s="676"/>
      <c r="D143" s="676"/>
      <c r="E143" s="677">
        <f>ROUND(SUM(E134:E142),5)</f>
        <v>725029.05</v>
      </c>
      <c r="F143" s="678"/>
      <c r="G143" s="677">
        <f>ROUND(SUM(G134:G142),5)</f>
        <v>622220.18000000005</v>
      </c>
      <c r="H143" s="678"/>
      <c r="I143" s="677">
        <f>ROUND(SUM(I134:I142),5)</f>
        <v>694432.25</v>
      </c>
      <c r="J143" s="678"/>
      <c r="K143" s="677">
        <f>ROUND(SUM(K134:K142),5)</f>
        <v>694280.31</v>
      </c>
      <c r="L143" s="678"/>
      <c r="M143" s="677">
        <f>ROUND(SUM(M134:M142),5)</f>
        <v>791332.8</v>
      </c>
      <c r="N143" s="678"/>
      <c r="O143" s="677">
        <f>ROUND(SUM(O134:O142),5)</f>
        <v>743082.53</v>
      </c>
      <c r="P143" s="678"/>
      <c r="Q143" s="677">
        <f>ROUND(SUM(Q134:Q142),5)</f>
        <v>735426.45</v>
      </c>
      <c r="R143" s="678"/>
      <c r="S143" s="677">
        <f>ROUND(SUM(S134:S142),5)</f>
        <v>788417.31</v>
      </c>
      <c r="T143" s="678"/>
      <c r="U143" s="677">
        <f>ROUND(SUM(U134:U142),5)</f>
        <v>715342.27</v>
      </c>
      <c r="V143" s="678"/>
      <c r="W143" s="677">
        <f>ROUND(SUM(W134:W142),5)</f>
        <v>755930.8</v>
      </c>
      <c r="X143" s="678"/>
      <c r="Y143" s="677">
        <f>ROUND(SUM(Y134:Y142),5)</f>
        <v>733782.77</v>
      </c>
      <c r="Z143" s="678"/>
      <c r="AA143" s="677">
        <f>ROUND(SUM(AA134:AA142),5)</f>
        <v>661421.27</v>
      </c>
      <c r="AB143" s="678"/>
      <c r="AC143" s="677">
        <f t="shared" si="15"/>
        <v>8660697.9900000002</v>
      </c>
      <c r="AD143" s="672"/>
      <c r="AE143" s="672"/>
      <c r="AF143" s="672"/>
      <c r="AG143" s="672"/>
      <c r="AH143" s="672"/>
      <c r="AI143" s="672"/>
      <c r="AJ143" s="672"/>
      <c r="AK143" s="672"/>
    </row>
    <row r="144" spans="1:37">
      <c r="A144" s="676"/>
      <c r="B144" s="676" t="s">
        <v>270</v>
      </c>
      <c r="C144" s="676"/>
      <c r="D144" s="676"/>
      <c r="E144" s="677"/>
      <c r="F144" s="678"/>
      <c r="G144" s="677"/>
      <c r="H144" s="678"/>
      <c r="I144" s="677"/>
      <c r="J144" s="678"/>
      <c r="K144" s="677"/>
      <c r="L144" s="678"/>
      <c r="M144" s="677"/>
      <c r="N144" s="678"/>
      <c r="O144" s="677"/>
      <c r="P144" s="678"/>
      <c r="Q144" s="677"/>
      <c r="R144" s="678"/>
      <c r="S144" s="677"/>
      <c r="T144" s="678"/>
      <c r="U144" s="677"/>
      <c r="V144" s="678"/>
      <c r="W144" s="677"/>
      <c r="X144" s="678"/>
      <c r="Y144" s="677"/>
      <c r="Z144" s="678"/>
      <c r="AA144" s="677"/>
      <c r="AB144" s="678"/>
      <c r="AC144" s="677"/>
      <c r="AD144" s="672"/>
      <c r="AE144" s="672"/>
      <c r="AF144" s="672"/>
      <c r="AG144" s="672"/>
      <c r="AH144" s="672"/>
      <c r="AI144" s="672"/>
      <c r="AJ144" s="672"/>
      <c r="AK144" s="672"/>
    </row>
    <row r="145" spans="1:37">
      <c r="A145" s="676"/>
      <c r="B145" s="676"/>
      <c r="C145" s="676" t="s">
        <v>271</v>
      </c>
      <c r="D145" s="676"/>
      <c r="E145" s="677">
        <v>18031.12</v>
      </c>
      <c r="F145" s="678"/>
      <c r="G145" s="677">
        <v>18031.12</v>
      </c>
      <c r="H145" s="678"/>
      <c r="I145" s="677">
        <v>17241.96</v>
      </c>
      <c r="J145" s="678"/>
      <c r="K145" s="677">
        <v>16054.67</v>
      </c>
      <c r="L145" s="678"/>
      <c r="M145" s="677">
        <v>17180.990000000002</v>
      </c>
      <c r="N145" s="678"/>
      <c r="O145" s="677">
        <v>52375.4</v>
      </c>
      <c r="P145" s="678"/>
      <c r="Q145" s="677">
        <v>34017.53</v>
      </c>
      <c r="R145" s="678"/>
      <c r="S145" s="677">
        <v>11536.35</v>
      </c>
      <c r="T145" s="678"/>
      <c r="U145" s="677">
        <v>8004.48</v>
      </c>
      <c r="V145" s="678"/>
      <c r="W145" s="677">
        <v>13965.58</v>
      </c>
      <c r="X145" s="678"/>
      <c r="Y145" s="677">
        <v>12109.07</v>
      </c>
      <c r="Z145" s="678"/>
      <c r="AA145" s="677">
        <v>20150.98</v>
      </c>
      <c r="AB145" s="678"/>
      <c r="AC145" s="677">
        <f>ROUND(SUM(E145:AA145),5)</f>
        <v>238699.25</v>
      </c>
      <c r="AD145" s="684"/>
      <c r="AE145" s="672"/>
      <c r="AF145" s="672"/>
      <c r="AG145" s="672"/>
      <c r="AH145" s="672"/>
      <c r="AI145" s="672"/>
      <c r="AJ145" s="672"/>
      <c r="AK145" s="672"/>
    </row>
    <row r="146" spans="1:37">
      <c r="A146" s="676"/>
      <c r="B146" s="676"/>
      <c r="C146" s="676" t="s">
        <v>272</v>
      </c>
      <c r="D146" s="676"/>
      <c r="E146" s="677">
        <v>3665.48</v>
      </c>
      <c r="F146" s="678"/>
      <c r="G146" s="677">
        <v>3665.48</v>
      </c>
      <c r="H146" s="678"/>
      <c r="I146" s="677">
        <v>4348.24</v>
      </c>
      <c r="J146" s="678"/>
      <c r="K146" s="677">
        <v>5552.31</v>
      </c>
      <c r="L146" s="678"/>
      <c r="M146" s="677">
        <v>4430.7299999999996</v>
      </c>
      <c r="N146" s="678"/>
      <c r="O146" s="677">
        <v>11584.69</v>
      </c>
      <c r="P146" s="678"/>
      <c r="Q146" s="677">
        <v>5771.62</v>
      </c>
      <c r="R146" s="678"/>
      <c r="S146" s="677">
        <v>2446.64</v>
      </c>
      <c r="T146" s="678"/>
      <c r="U146" s="677">
        <v>2376.56</v>
      </c>
      <c r="V146" s="678"/>
      <c r="W146" s="677">
        <v>2263.02</v>
      </c>
      <c r="X146" s="678"/>
      <c r="Y146" s="677">
        <v>1576.62</v>
      </c>
      <c r="Z146" s="678"/>
      <c r="AA146" s="677">
        <v>2623.68</v>
      </c>
      <c r="AB146" s="678"/>
      <c r="AC146" s="677">
        <f>ROUND(SUM(E146:AA146),5)</f>
        <v>50305.07</v>
      </c>
      <c r="AD146" s="684"/>
      <c r="AE146" s="672"/>
      <c r="AF146" s="672"/>
      <c r="AG146" s="672"/>
      <c r="AH146" s="672"/>
      <c r="AI146" s="672"/>
      <c r="AJ146" s="672"/>
      <c r="AK146" s="672"/>
    </row>
    <row r="147" spans="1:37" ht="15.75" thickBot="1">
      <c r="A147" s="676"/>
      <c r="B147" s="676"/>
      <c r="C147" s="676" t="s">
        <v>273</v>
      </c>
      <c r="D147" s="676"/>
      <c r="E147" s="680">
        <v>1303.4000000000001</v>
      </c>
      <c r="F147" s="678"/>
      <c r="G147" s="680">
        <v>1303.4000000000001</v>
      </c>
      <c r="H147" s="678"/>
      <c r="I147" s="680">
        <v>1409.8</v>
      </c>
      <c r="J147" s="678"/>
      <c r="K147" s="680">
        <v>1393.02</v>
      </c>
      <c r="L147" s="678"/>
      <c r="M147" s="680">
        <v>1388.28</v>
      </c>
      <c r="N147" s="678"/>
      <c r="O147" s="680">
        <v>5727.68</v>
      </c>
      <c r="P147" s="678"/>
      <c r="Q147" s="680">
        <v>4372.8500000000004</v>
      </c>
      <c r="R147" s="678"/>
      <c r="S147" s="680">
        <v>1502.05</v>
      </c>
      <c r="T147" s="678"/>
      <c r="U147" s="680">
        <v>2626.48</v>
      </c>
      <c r="V147" s="678"/>
      <c r="W147" s="680">
        <v>3999.4</v>
      </c>
      <c r="X147" s="678"/>
      <c r="Y147" s="680">
        <v>2568.09</v>
      </c>
      <c r="Z147" s="678"/>
      <c r="AA147" s="680">
        <v>4273.63</v>
      </c>
      <c r="AB147" s="678"/>
      <c r="AC147" s="680">
        <f>ROUND(SUM(E147:AA147),5)</f>
        <v>31868.080000000002</v>
      </c>
      <c r="AD147" s="684"/>
      <c r="AE147" s="672"/>
      <c r="AF147" s="672"/>
      <c r="AG147" s="672"/>
      <c r="AH147" s="672"/>
      <c r="AI147" s="672"/>
      <c r="AJ147" s="672"/>
      <c r="AK147" s="672"/>
    </row>
    <row r="148" spans="1:37">
      <c r="A148" s="676"/>
      <c r="B148" s="676" t="s">
        <v>274</v>
      </c>
      <c r="C148" s="676"/>
      <c r="D148" s="676"/>
      <c r="E148" s="677">
        <f>ROUND(SUM(E144:E147),5)</f>
        <v>23000</v>
      </c>
      <c r="F148" s="678"/>
      <c r="G148" s="677">
        <f>ROUND(SUM(G144:G147),5)</f>
        <v>23000</v>
      </c>
      <c r="H148" s="678"/>
      <c r="I148" s="677">
        <f>ROUND(SUM(I144:I147),5)</f>
        <v>23000</v>
      </c>
      <c r="J148" s="678"/>
      <c r="K148" s="677">
        <f>ROUND(SUM(K144:K147),5)</f>
        <v>23000</v>
      </c>
      <c r="L148" s="678"/>
      <c r="M148" s="677">
        <f>ROUND(SUM(M144:M147),5)</f>
        <v>23000</v>
      </c>
      <c r="N148" s="678"/>
      <c r="O148" s="677">
        <f>ROUND(SUM(O144:O147),5)</f>
        <v>69687.77</v>
      </c>
      <c r="P148" s="678"/>
      <c r="Q148" s="677">
        <f>ROUND(SUM(Q144:Q147),5)</f>
        <v>44162</v>
      </c>
      <c r="R148" s="678"/>
      <c r="S148" s="677">
        <f>ROUND(SUM(S144:S147),5)</f>
        <v>15485.04</v>
      </c>
      <c r="T148" s="678"/>
      <c r="U148" s="677">
        <f>ROUND(SUM(U144:U147),5)</f>
        <v>13007.52</v>
      </c>
      <c r="V148" s="678"/>
      <c r="W148" s="677">
        <f>ROUND(SUM(W144:W147),5)</f>
        <v>20228</v>
      </c>
      <c r="X148" s="678"/>
      <c r="Y148" s="677">
        <f>ROUND(SUM(Y144:Y147),5)</f>
        <v>16253.78</v>
      </c>
      <c r="Z148" s="678"/>
      <c r="AA148" s="677">
        <f>ROUND(SUM(AA144:AA147),5)</f>
        <v>27048.29</v>
      </c>
      <c r="AB148" s="678"/>
      <c r="AC148" s="677">
        <f>ROUND(SUM(E148:AA148),5)</f>
        <v>320872.40000000002</v>
      </c>
      <c r="AD148" s="672"/>
      <c r="AE148" s="672"/>
      <c r="AF148" s="672"/>
      <c r="AG148" s="672"/>
      <c r="AH148" s="672"/>
      <c r="AI148" s="672"/>
      <c r="AJ148" s="672"/>
      <c r="AK148" s="672"/>
    </row>
    <row r="149" spans="1:37">
      <c r="A149" s="676"/>
      <c r="B149" s="676" t="s">
        <v>275</v>
      </c>
      <c r="C149" s="676"/>
      <c r="D149" s="676"/>
      <c r="E149" s="677"/>
      <c r="F149" s="678"/>
      <c r="G149" s="677"/>
      <c r="H149" s="678"/>
      <c r="I149" s="677"/>
      <c r="J149" s="678"/>
      <c r="K149" s="677"/>
      <c r="L149" s="678"/>
      <c r="M149" s="677"/>
      <c r="N149" s="678"/>
      <c r="O149" s="677"/>
      <c r="P149" s="678"/>
      <c r="Q149" s="677"/>
      <c r="R149" s="678"/>
      <c r="S149" s="677"/>
      <c r="T149" s="678"/>
      <c r="U149" s="677"/>
      <c r="V149" s="678"/>
      <c r="W149" s="677"/>
      <c r="X149" s="678"/>
      <c r="Y149" s="677"/>
      <c r="Z149" s="678"/>
      <c r="AA149" s="677"/>
      <c r="AB149" s="678"/>
      <c r="AC149" s="677"/>
      <c r="AD149" s="672"/>
      <c r="AE149" s="672"/>
      <c r="AF149" s="672"/>
      <c r="AG149" s="672"/>
      <c r="AH149" s="672"/>
      <c r="AI149" s="672"/>
      <c r="AJ149" s="672"/>
      <c r="AK149" s="672"/>
    </row>
    <row r="150" spans="1:37">
      <c r="A150" s="676"/>
      <c r="B150" s="676"/>
      <c r="C150" s="676" t="s">
        <v>276</v>
      </c>
      <c r="D150" s="676"/>
      <c r="E150" s="677"/>
      <c r="F150" s="678"/>
      <c r="G150" s="677"/>
      <c r="H150" s="678"/>
      <c r="I150" s="677"/>
      <c r="J150" s="678"/>
      <c r="K150" s="677"/>
      <c r="L150" s="678"/>
      <c r="M150" s="677"/>
      <c r="N150" s="678"/>
      <c r="O150" s="677"/>
      <c r="P150" s="678"/>
      <c r="Q150" s="677"/>
      <c r="R150" s="678"/>
      <c r="S150" s="677"/>
      <c r="T150" s="678"/>
      <c r="U150" s="677"/>
      <c r="V150" s="678"/>
      <c r="W150" s="677"/>
      <c r="X150" s="678"/>
      <c r="Y150" s="677"/>
      <c r="Z150" s="678"/>
      <c r="AA150" s="677"/>
      <c r="AB150" s="678"/>
      <c r="AC150" s="677"/>
      <c r="AD150" s="672"/>
      <c r="AE150" s="672"/>
      <c r="AF150" s="672"/>
      <c r="AG150" s="672"/>
      <c r="AH150" s="672"/>
      <c r="AI150" s="672"/>
      <c r="AJ150" s="672"/>
      <c r="AK150" s="672"/>
    </row>
    <row r="151" spans="1:37">
      <c r="A151" s="676"/>
      <c r="B151" s="676"/>
      <c r="C151" s="676"/>
      <c r="D151" s="676" t="s">
        <v>277</v>
      </c>
      <c r="E151" s="677">
        <v>0</v>
      </c>
      <c r="F151" s="678"/>
      <c r="G151" s="677">
        <v>0</v>
      </c>
      <c r="H151" s="678"/>
      <c r="I151" s="677">
        <v>9665.6200000000008</v>
      </c>
      <c r="J151" s="678"/>
      <c r="K151" s="677">
        <v>0</v>
      </c>
      <c r="L151" s="678"/>
      <c r="M151" s="677">
        <v>15832.83</v>
      </c>
      <c r="N151" s="678"/>
      <c r="O151" s="677">
        <v>0</v>
      </c>
      <c r="P151" s="678"/>
      <c r="Q151" s="677">
        <v>0</v>
      </c>
      <c r="R151" s="678"/>
      <c r="S151" s="677">
        <v>0</v>
      </c>
      <c r="T151" s="678"/>
      <c r="U151" s="677">
        <v>0</v>
      </c>
      <c r="V151" s="678"/>
      <c r="W151" s="677">
        <v>-9665.6200000000008</v>
      </c>
      <c r="X151" s="678"/>
      <c r="Y151" s="677">
        <v>0</v>
      </c>
      <c r="Z151" s="678"/>
      <c r="AA151" s="677">
        <v>58243.08</v>
      </c>
      <c r="AB151" s="678"/>
      <c r="AC151" s="677">
        <f t="shared" ref="AC151:AC165" si="16">ROUND(SUM(E151:AA151),5)</f>
        <v>74075.91</v>
      </c>
      <c r="AD151" s="672"/>
      <c r="AE151" s="672"/>
      <c r="AF151" s="672"/>
      <c r="AG151" s="672"/>
      <c r="AH151" s="672"/>
      <c r="AI151" s="672"/>
      <c r="AJ151" s="672"/>
      <c r="AK151" s="672"/>
    </row>
    <row r="152" spans="1:37">
      <c r="A152" s="676"/>
      <c r="B152" s="676"/>
      <c r="C152" s="676"/>
      <c r="D152" s="676" t="s">
        <v>278</v>
      </c>
      <c r="E152" s="677">
        <v>41513</v>
      </c>
      <c r="F152" s="678"/>
      <c r="G152" s="677">
        <v>32147.75</v>
      </c>
      <c r="H152" s="678"/>
      <c r="I152" s="677">
        <v>41078.6</v>
      </c>
      <c r="J152" s="678"/>
      <c r="K152" s="677">
        <v>37074.6</v>
      </c>
      <c r="L152" s="678"/>
      <c r="M152" s="677">
        <v>46046.400000000001</v>
      </c>
      <c r="N152" s="678"/>
      <c r="O152" s="677">
        <v>32181.599999999999</v>
      </c>
      <c r="P152" s="678"/>
      <c r="Q152" s="677">
        <v>40227.01</v>
      </c>
      <c r="R152" s="678"/>
      <c r="S152" s="677">
        <v>33059.589999999997</v>
      </c>
      <c r="T152" s="678"/>
      <c r="U152" s="677">
        <v>33121.06</v>
      </c>
      <c r="V152" s="678"/>
      <c r="W152" s="677">
        <v>41503.199999999997</v>
      </c>
      <c r="X152" s="678"/>
      <c r="Y152" s="677">
        <v>33686</v>
      </c>
      <c r="Z152" s="678"/>
      <c r="AA152" s="677">
        <v>40390.699999999997</v>
      </c>
      <c r="AB152" s="678"/>
      <c r="AC152" s="677">
        <f t="shared" si="16"/>
        <v>452029.51</v>
      </c>
      <c r="AD152" s="672"/>
      <c r="AE152" s="672"/>
      <c r="AF152" s="672"/>
      <c r="AG152" s="672"/>
      <c r="AH152" s="672"/>
      <c r="AI152" s="672"/>
      <c r="AJ152" s="672"/>
      <c r="AK152" s="672"/>
    </row>
    <row r="153" spans="1:37">
      <c r="A153" s="676"/>
      <c r="B153" s="676"/>
      <c r="C153" s="676"/>
      <c r="D153" s="676" t="s">
        <v>279</v>
      </c>
      <c r="E153" s="677">
        <v>3559.55</v>
      </c>
      <c r="F153" s="678"/>
      <c r="G153" s="677">
        <v>2654.43</v>
      </c>
      <c r="H153" s="678"/>
      <c r="I153" s="677">
        <v>3208.37</v>
      </c>
      <c r="J153" s="678"/>
      <c r="K153" s="677">
        <v>2959.97</v>
      </c>
      <c r="L153" s="678"/>
      <c r="M153" s="677">
        <v>3681.49</v>
      </c>
      <c r="N153" s="678"/>
      <c r="O153" s="677">
        <v>2656.55</v>
      </c>
      <c r="P153" s="678"/>
      <c r="Q153" s="677">
        <v>3320.65</v>
      </c>
      <c r="R153" s="678"/>
      <c r="S153" s="677">
        <v>2723.97</v>
      </c>
      <c r="T153" s="678"/>
      <c r="U153" s="677">
        <v>2730.63</v>
      </c>
      <c r="V153" s="678"/>
      <c r="W153" s="677">
        <v>3419.6</v>
      </c>
      <c r="X153" s="678"/>
      <c r="Y153" s="677">
        <v>2726.67</v>
      </c>
      <c r="Z153" s="678"/>
      <c r="AA153" s="677">
        <v>2504.2199999999998</v>
      </c>
      <c r="AB153" s="678"/>
      <c r="AC153" s="677">
        <f t="shared" si="16"/>
        <v>36146.1</v>
      </c>
      <c r="AD153" s="672"/>
      <c r="AE153" s="672"/>
      <c r="AF153" s="672"/>
      <c r="AG153" s="672"/>
      <c r="AH153" s="672"/>
      <c r="AI153" s="672"/>
      <c r="AJ153" s="672"/>
      <c r="AK153" s="672"/>
    </row>
    <row r="154" spans="1:37">
      <c r="A154" s="676"/>
      <c r="B154" s="676"/>
      <c r="C154" s="676"/>
      <c r="D154" s="676" t="s">
        <v>280</v>
      </c>
      <c r="E154" s="677">
        <v>635.88</v>
      </c>
      <c r="F154" s="678"/>
      <c r="G154" s="677">
        <v>620.78</v>
      </c>
      <c r="H154" s="678"/>
      <c r="I154" s="677">
        <v>750.28</v>
      </c>
      <c r="J154" s="678"/>
      <c r="K154" s="677">
        <v>692.23</v>
      </c>
      <c r="L154" s="678"/>
      <c r="M154" s="677">
        <v>860.98</v>
      </c>
      <c r="N154" s="678"/>
      <c r="O154" s="677">
        <v>621.25</v>
      </c>
      <c r="P154" s="678"/>
      <c r="Q154" s="677">
        <v>776.59</v>
      </c>
      <c r="R154" s="678"/>
      <c r="S154" s="677">
        <v>637.04</v>
      </c>
      <c r="T154" s="678"/>
      <c r="U154" s="677">
        <v>638.6</v>
      </c>
      <c r="V154" s="678"/>
      <c r="W154" s="677">
        <v>799.75</v>
      </c>
      <c r="X154" s="678"/>
      <c r="Y154" s="677">
        <v>646.80999999999995</v>
      </c>
      <c r="Z154" s="678"/>
      <c r="AA154" s="677">
        <v>744.02</v>
      </c>
      <c r="AB154" s="678"/>
      <c r="AC154" s="677">
        <f t="shared" si="16"/>
        <v>8424.2099999999991</v>
      </c>
      <c r="AD154" s="672"/>
      <c r="AE154" s="672"/>
      <c r="AF154" s="672"/>
      <c r="AG154" s="672"/>
      <c r="AH154" s="672"/>
      <c r="AI154" s="672"/>
      <c r="AJ154" s="672"/>
      <c r="AK154" s="672"/>
    </row>
    <row r="155" spans="1:37">
      <c r="A155" s="676"/>
      <c r="B155" s="676"/>
      <c r="C155" s="676"/>
      <c r="D155" s="676" t="s">
        <v>281</v>
      </c>
      <c r="E155" s="677">
        <v>-68.92</v>
      </c>
      <c r="F155" s="678"/>
      <c r="G155" s="677">
        <v>-52.86</v>
      </c>
      <c r="H155" s="678"/>
      <c r="I155" s="677">
        <v>326.64999999999998</v>
      </c>
      <c r="J155" s="678"/>
      <c r="K155" s="677">
        <v>-51.21</v>
      </c>
      <c r="L155" s="678"/>
      <c r="M155" s="677">
        <v>-78.94</v>
      </c>
      <c r="N155" s="678"/>
      <c r="O155" s="677">
        <v>355.29</v>
      </c>
      <c r="P155" s="678"/>
      <c r="Q155" s="677">
        <v>-71.83</v>
      </c>
      <c r="R155" s="678"/>
      <c r="S155" s="677">
        <v>-53.06</v>
      </c>
      <c r="T155" s="678"/>
      <c r="U155" s="677">
        <v>-57.54</v>
      </c>
      <c r="V155" s="678"/>
      <c r="W155" s="677">
        <v>-74.989999999999995</v>
      </c>
      <c r="X155" s="678"/>
      <c r="Y155" s="677">
        <v>-58.15</v>
      </c>
      <c r="Z155" s="678"/>
      <c r="AA155" s="677">
        <v>-60.8</v>
      </c>
      <c r="AB155" s="678"/>
      <c r="AC155" s="677">
        <f t="shared" si="16"/>
        <v>53.64</v>
      </c>
      <c r="AD155" s="672"/>
      <c r="AE155" s="672"/>
      <c r="AF155" s="672"/>
      <c r="AG155" s="672"/>
      <c r="AH155" s="672"/>
      <c r="AI155" s="672"/>
      <c r="AJ155" s="672"/>
      <c r="AK155" s="672"/>
    </row>
    <row r="156" spans="1:37">
      <c r="A156" s="676"/>
      <c r="B156" s="676"/>
      <c r="C156" s="676"/>
      <c r="D156" s="676" t="s">
        <v>282</v>
      </c>
      <c r="E156" s="677">
        <v>77.33</v>
      </c>
      <c r="F156" s="678"/>
      <c r="G156" s="677">
        <v>107.23</v>
      </c>
      <c r="H156" s="678"/>
      <c r="I156" s="677">
        <v>140.28</v>
      </c>
      <c r="J156" s="678"/>
      <c r="K156" s="677">
        <v>125.47</v>
      </c>
      <c r="L156" s="678"/>
      <c r="M156" s="677">
        <v>151.52000000000001</v>
      </c>
      <c r="N156" s="678"/>
      <c r="O156" s="677">
        <v>76.02</v>
      </c>
      <c r="P156" s="678"/>
      <c r="Q156" s="677">
        <v>68.17</v>
      </c>
      <c r="R156" s="678"/>
      <c r="S156" s="677">
        <v>56.46</v>
      </c>
      <c r="T156" s="678"/>
      <c r="U156" s="677">
        <v>56.48</v>
      </c>
      <c r="V156" s="678"/>
      <c r="W156" s="677">
        <v>70.98</v>
      </c>
      <c r="X156" s="678"/>
      <c r="Y156" s="677">
        <v>58.57</v>
      </c>
      <c r="Z156" s="678"/>
      <c r="AA156" s="677">
        <v>59.78</v>
      </c>
      <c r="AB156" s="678"/>
      <c r="AC156" s="677">
        <f t="shared" si="16"/>
        <v>1048.29</v>
      </c>
      <c r="AD156" s="672"/>
      <c r="AE156" s="672"/>
      <c r="AF156" s="672"/>
      <c r="AG156" s="672"/>
      <c r="AH156" s="672"/>
      <c r="AI156" s="672"/>
      <c r="AJ156" s="672"/>
      <c r="AK156" s="672"/>
    </row>
    <row r="157" spans="1:37">
      <c r="A157" s="676"/>
      <c r="B157" s="676"/>
      <c r="C157" s="676"/>
      <c r="D157" s="676" t="s">
        <v>283</v>
      </c>
      <c r="E157" s="677">
        <v>263.79000000000002</v>
      </c>
      <c r="F157" s="678"/>
      <c r="G157" s="677">
        <v>76.48</v>
      </c>
      <c r="H157" s="678"/>
      <c r="I157" s="677">
        <v>4.3899999999999997</v>
      </c>
      <c r="J157" s="678"/>
      <c r="K157" s="677">
        <v>5.56</v>
      </c>
      <c r="L157" s="678"/>
      <c r="M157" s="677">
        <v>26.75</v>
      </c>
      <c r="N157" s="678"/>
      <c r="O157" s="677">
        <v>18.39</v>
      </c>
      <c r="P157" s="678"/>
      <c r="Q157" s="677">
        <v>3.33</v>
      </c>
      <c r="R157" s="678"/>
      <c r="S157" s="677">
        <v>2.77</v>
      </c>
      <c r="T157" s="678"/>
      <c r="U157" s="677">
        <v>2.76</v>
      </c>
      <c r="V157" s="678"/>
      <c r="W157" s="677">
        <v>1.38</v>
      </c>
      <c r="X157" s="678"/>
      <c r="Y157" s="677">
        <v>2.77</v>
      </c>
      <c r="Z157" s="678"/>
      <c r="AA157" s="677">
        <v>2.76</v>
      </c>
      <c r="AB157" s="678"/>
      <c r="AC157" s="677">
        <f t="shared" si="16"/>
        <v>411.13</v>
      </c>
      <c r="AD157" s="672"/>
      <c r="AE157" s="672"/>
      <c r="AF157" s="672"/>
      <c r="AG157" s="672"/>
      <c r="AH157" s="672"/>
      <c r="AI157" s="672"/>
      <c r="AJ157" s="672"/>
      <c r="AK157" s="672"/>
    </row>
    <row r="158" spans="1:37" ht="15.75" thickBot="1">
      <c r="A158" s="676"/>
      <c r="B158" s="676"/>
      <c r="C158" s="676"/>
      <c r="D158" s="676" t="s">
        <v>284</v>
      </c>
      <c r="E158" s="680">
        <v>12390.4</v>
      </c>
      <c r="F158" s="678"/>
      <c r="G158" s="680">
        <v>12390.4</v>
      </c>
      <c r="H158" s="678"/>
      <c r="I158" s="680">
        <v>12390.4</v>
      </c>
      <c r="J158" s="678"/>
      <c r="K158" s="680">
        <v>12390.4</v>
      </c>
      <c r="L158" s="678"/>
      <c r="M158" s="680">
        <v>14488.46</v>
      </c>
      <c r="N158" s="678"/>
      <c r="O158" s="680">
        <v>13939.2</v>
      </c>
      <c r="P158" s="678"/>
      <c r="Q158" s="680">
        <v>12390.4</v>
      </c>
      <c r="R158" s="678"/>
      <c r="S158" s="680">
        <v>12390.4</v>
      </c>
      <c r="T158" s="678"/>
      <c r="U158" s="680">
        <v>12390.4</v>
      </c>
      <c r="V158" s="678"/>
      <c r="W158" s="680">
        <v>12390.4</v>
      </c>
      <c r="X158" s="678"/>
      <c r="Y158" s="680">
        <v>12390.4</v>
      </c>
      <c r="Z158" s="678"/>
      <c r="AA158" s="680">
        <v>12390.4</v>
      </c>
      <c r="AB158" s="678"/>
      <c r="AC158" s="680">
        <f t="shared" si="16"/>
        <v>152331.66</v>
      </c>
      <c r="AD158" s="672"/>
      <c r="AE158" s="672"/>
      <c r="AF158" s="672"/>
      <c r="AG158" s="672"/>
      <c r="AH158" s="672"/>
      <c r="AI158" s="672"/>
      <c r="AJ158" s="672"/>
      <c r="AK158" s="672"/>
    </row>
    <row r="159" spans="1:37">
      <c r="A159" s="676"/>
      <c r="B159" s="676"/>
      <c r="C159" s="676" t="s">
        <v>285</v>
      </c>
      <c r="D159" s="676"/>
      <c r="E159" s="677">
        <f>ROUND(SUM(E150:E158),5)</f>
        <v>58371.03</v>
      </c>
      <c r="F159" s="678"/>
      <c r="G159" s="677">
        <f>ROUND(SUM(G150:G158),5)</f>
        <v>47944.21</v>
      </c>
      <c r="H159" s="678"/>
      <c r="I159" s="677">
        <f>ROUND(SUM(I150:I158),5)</f>
        <v>67564.59</v>
      </c>
      <c r="J159" s="678"/>
      <c r="K159" s="677">
        <f>ROUND(SUM(K150:K158),5)</f>
        <v>53197.02</v>
      </c>
      <c r="L159" s="678"/>
      <c r="M159" s="677">
        <f>ROUND(SUM(M150:M158),5)</f>
        <v>81009.490000000005</v>
      </c>
      <c r="N159" s="678"/>
      <c r="O159" s="677">
        <f>ROUND(SUM(O150:O158),5)</f>
        <v>49848.3</v>
      </c>
      <c r="P159" s="678"/>
      <c r="Q159" s="677">
        <f>ROUND(SUM(Q150:Q158),5)</f>
        <v>56714.32</v>
      </c>
      <c r="R159" s="678"/>
      <c r="S159" s="677">
        <f>ROUND(SUM(S150:S158),5)</f>
        <v>48817.17</v>
      </c>
      <c r="T159" s="678"/>
      <c r="U159" s="677">
        <f>ROUND(SUM(U150:U158),5)</f>
        <v>48882.39</v>
      </c>
      <c r="V159" s="678"/>
      <c r="W159" s="677">
        <f>ROUND(SUM(W150:W158),5)</f>
        <v>48444.7</v>
      </c>
      <c r="X159" s="678"/>
      <c r="Y159" s="677">
        <f>ROUND(SUM(Y150:Y158),5)</f>
        <v>49453.07</v>
      </c>
      <c r="Z159" s="678"/>
      <c r="AA159" s="677">
        <f>ROUND(SUM(AA150:AA158),5)</f>
        <v>114274.16</v>
      </c>
      <c r="AB159" s="678"/>
      <c r="AC159" s="677">
        <f t="shared" si="16"/>
        <v>724520.45</v>
      </c>
      <c r="AD159" s="672"/>
      <c r="AE159" s="672"/>
      <c r="AF159" s="672"/>
      <c r="AG159" s="672"/>
      <c r="AH159" s="672"/>
      <c r="AI159" s="672"/>
      <c r="AJ159" s="672"/>
      <c r="AK159" s="672"/>
    </row>
    <row r="160" spans="1:37">
      <c r="A160" s="676"/>
      <c r="B160" s="676"/>
      <c r="C160" s="676" t="s">
        <v>286</v>
      </c>
      <c r="D160" s="676"/>
      <c r="E160" s="677">
        <v>2650</v>
      </c>
      <c r="F160" s="678"/>
      <c r="G160" s="677">
        <v>4065</v>
      </c>
      <c r="H160" s="678"/>
      <c r="I160" s="677">
        <v>2988</v>
      </c>
      <c r="J160" s="678"/>
      <c r="K160" s="677">
        <v>2650</v>
      </c>
      <c r="L160" s="678"/>
      <c r="M160" s="677">
        <v>2650</v>
      </c>
      <c r="N160" s="678"/>
      <c r="O160" s="677">
        <v>2530</v>
      </c>
      <c r="P160" s="678"/>
      <c r="Q160" s="677">
        <v>3030</v>
      </c>
      <c r="R160" s="678"/>
      <c r="S160" s="677">
        <v>2530</v>
      </c>
      <c r="T160" s="678"/>
      <c r="U160" s="677">
        <v>3030</v>
      </c>
      <c r="V160" s="678"/>
      <c r="W160" s="677">
        <v>3130</v>
      </c>
      <c r="X160" s="678"/>
      <c r="Y160" s="677">
        <v>2530</v>
      </c>
      <c r="Z160" s="678"/>
      <c r="AA160" s="677">
        <v>2530</v>
      </c>
      <c r="AB160" s="678"/>
      <c r="AC160" s="677">
        <f t="shared" si="16"/>
        <v>34313</v>
      </c>
      <c r="AD160" s="672"/>
      <c r="AE160" s="672"/>
      <c r="AF160" s="672"/>
      <c r="AG160" s="672"/>
      <c r="AH160" s="672"/>
      <c r="AI160" s="672"/>
      <c r="AJ160" s="672"/>
      <c r="AK160" s="672"/>
    </row>
    <row r="161" spans="1:37">
      <c r="A161" s="676"/>
      <c r="B161" s="676"/>
      <c r="C161" s="676" t="s">
        <v>287</v>
      </c>
      <c r="D161" s="676"/>
      <c r="E161" s="677">
        <v>0</v>
      </c>
      <c r="F161" s="678"/>
      <c r="G161" s="677">
        <v>124.58</v>
      </c>
      <c r="H161" s="678"/>
      <c r="I161" s="677">
        <v>437.64</v>
      </c>
      <c r="J161" s="678"/>
      <c r="K161" s="677">
        <v>300.77</v>
      </c>
      <c r="L161" s="678"/>
      <c r="M161" s="677">
        <v>376.16</v>
      </c>
      <c r="N161" s="678"/>
      <c r="O161" s="677">
        <v>2390.25</v>
      </c>
      <c r="P161" s="678"/>
      <c r="Q161" s="677">
        <v>-5.03</v>
      </c>
      <c r="R161" s="678"/>
      <c r="S161" s="677">
        <v>303.42</v>
      </c>
      <c r="T161" s="678"/>
      <c r="U161" s="677">
        <v>142.47</v>
      </c>
      <c r="V161" s="678"/>
      <c r="W161" s="677">
        <v>76.48</v>
      </c>
      <c r="X161" s="678"/>
      <c r="Y161" s="677">
        <v>3521.55</v>
      </c>
      <c r="Z161" s="678"/>
      <c r="AA161" s="677">
        <v>3483.48</v>
      </c>
      <c r="AB161" s="678"/>
      <c r="AC161" s="677">
        <f t="shared" si="16"/>
        <v>11151.77</v>
      </c>
      <c r="AD161" s="672"/>
      <c r="AE161" s="672"/>
      <c r="AF161" s="672"/>
      <c r="AG161" s="672"/>
      <c r="AH161" s="672"/>
      <c r="AI161" s="672"/>
      <c r="AJ161" s="672"/>
      <c r="AK161" s="672"/>
    </row>
    <row r="162" spans="1:37">
      <c r="A162" s="676"/>
      <c r="B162" s="676"/>
      <c r="C162" s="676" t="s">
        <v>288</v>
      </c>
      <c r="D162" s="676"/>
      <c r="E162" s="677">
        <v>505</v>
      </c>
      <c r="F162" s="678"/>
      <c r="G162" s="677">
        <v>601.88</v>
      </c>
      <c r="H162" s="678"/>
      <c r="I162" s="677">
        <v>999</v>
      </c>
      <c r="J162" s="678"/>
      <c r="K162" s="677">
        <v>100</v>
      </c>
      <c r="L162" s="678"/>
      <c r="M162" s="677">
        <v>0</v>
      </c>
      <c r="N162" s="678"/>
      <c r="O162" s="677">
        <v>2482.42</v>
      </c>
      <c r="P162" s="678"/>
      <c r="Q162" s="677">
        <v>100</v>
      </c>
      <c r="R162" s="678"/>
      <c r="S162" s="677">
        <v>235</v>
      </c>
      <c r="T162" s="678"/>
      <c r="U162" s="677">
        <v>150</v>
      </c>
      <c r="V162" s="678"/>
      <c r="W162" s="677">
        <v>133</v>
      </c>
      <c r="X162" s="678"/>
      <c r="Y162" s="677">
        <v>743.99</v>
      </c>
      <c r="Z162" s="678"/>
      <c r="AA162" s="677">
        <v>264</v>
      </c>
      <c r="AB162" s="678"/>
      <c r="AC162" s="677">
        <f t="shared" si="16"/>
        <v>6314.29</v>
      </c>
      <c r="AD162" s="672"/>
      <c r="AE162" s="672"/>
      <c r="AF162" s="672"/>
      <c r="AG162" s="672"/>
      <c r="AH162" s="672"/>
      <c r="AI162" s="672"/>
      <c r="AJ162" s="672"/>
      <c r="AK162" s="672"/>
    </row>
    <row r="163" spans="1:37" ht="15.75" thickBot="1">
      <c r="A163" s="676"/>
      <c r="B163" s="676"/>
      <c r="C163" s="676" t="s">
        <v>289</v>
      </c>
      <c r="D163" s="676"/>
      <c r="E163" s="680">
        <v>-406.33</v>
      </c>
      <c r="F163" s="678"/>
      <c r="G163" s="680">
        <v>351.41</v>
      </c>
      <c r="H163" s="678"/>
      <c r="I163" s="680">
        <v>598.74</v>
      </c>
      <c r="J163" s="678"/>
      <c r="K163" s="680">
        <v>323.54000000000002</v>
      </c>
      <c r="L163" s="678"/>
      <c r="M163" s="680">
        <v>-731.93</v>
      </c>
      <c r="N163" s="678"/>
      <c r="O163" s="680">
        <v>-1453.47</v>
      </c>
      <c r="P163" s="678"/>
      <c r="Q163" s="680">
        <v>17.09</v>
      </c>
      <c r="R163" s="678"/>
      <c r="S163" s="680">
        <v>439.57</v>
      </c>
      <c r="T163" s="678"/>
      <c r="U163" s="680">
        <v>921.99</v>
      </c>
      <c r="V163" s="678"/>
      <c r="W163" s="680">
        <v>-53.04</v>
      </c>
      <c r="X163" s="678"/>
      <c r="Y163" s="680">
        <v>521.6</v>
      </c>
      <c r="Z163" s="678"/>
      <c r="AA163" s="680">
        <v>272.75</v>
      </c>
      <c r="AB163" s="678"/>
      <c r="AC163" s="680">
        <f t="shared" si="16"/>
        <v>801.92</v>
      </c>
      <c r="AD163" s="672"/>
      <c r="AE163" s="672"/>
      <c r="AF163" s="672"/>
      <c r="AG163" s="672"/>
      <c r="AH163" s="672"/>
      <c r="AI163" s="672"/>
      <c r="AJ163" s="672"/>
      <c r="AK163" s="672"/>
    </row>
    <row r="164" spans="1:37">
      <c r="A164" s="676"/>
      <c r="B164" s="676" t="s">
        <v>290</v>
      </c>
      <c r="C164" s="676"/>
      <c r="D164" s="676"/>
      <c r="E164" s="677">
        <f>ROUND(E149+SUM(E159:E163),5)</f>
        <v>61119.7</v>
      </c>
      <c r="F164" s="678"/>
      <c r="G164" s="677">
        <f>ROUND(G149+SUM(G159:G163),5)</f>
        <v>53087.08</v>
      </c>
      <c r="H164" s="678"/>
      <c r="I164" s="677">
        <f>ROUND(I149+SUM(I159:I163),5)</f>
        <v>72587.97</v>
      </c>
      <c r="J164" s="678"/>
      <c r="K164" s="677">
        <f>ROUND(K149+SUM(K159:K163),5)</f>
        <v>56571.33</v>
      </c>
      <c r="L164" s="678"/>
      <c r="M164" s="677">
        <f>ROUND(M149+SUM(M159:M163),5)</f>
        <v>83303.72</v>
      </c>
      <c r="N164" s="678"/>
      <c r="O164" s="677">
        <f>ROUND(O149+SUM(O159:O163),5)</f>
        <v>55797.5</v>
      </c>
      <c r="P164" s="678"/>
      <c r="Q164" s="677">
        <f>ROUND(Q149+SUM(Q159:Q163),5)</f>
        <v>59856.38</v>
      </c>
      <c r="R164" s="678"/>
      <c r="S164" s="677">
        <f>ROUND(S149+SUM(S159:S163),5)</f>
        <v>52325.16</v>
      </c>
      <c r="T164" s="678"/>
      <c r="U164" s="677">
        <f>ROUND(U149+SUM(U159:U163),5)</f>
        <v>53126.85</v>
      </c>
      <c r="V164" s="678"/>
      <c r="W164" s="677">
        <f>ROUND(W149+SUM(W159:W163),5)</f>
        <v>51731.14</v>
      </c>
      <c r="X164" s="678"/>
      <c r="Y164" s="677">
        <f>ROUND(Y149+SUM(Y159:Y163),5)</f>
        <v>56770.21</v>
      </c>
      <c r="Z164" s="678"/>
      <c r="AA164" s="677">
        <f>ROUND(AA149+SUM(AA159:AA163),5)</f>
        <v>120824.39</v>
      </c>
      <c r="AB164" s="678"/>
      <c r="AC164" s="677">
        <f t="shared" si="16"/>
        <v>777101.43</v>
      </c>
      <c r="AD164" s="672"/>
      <c r="AE164" s="672"/>
      <c r="AF164" s="672"/>
      <c r="AG164" s="672"/>
      <c r="AH164" s="672"/>
      <c r="AI164" s="672"/>
      <c r="AJ164" s="672"/>
      <c r="AK164" s="672"/>
    </row>
    <row r="165" spans="1:37">
      <c r="A165" s="676"/>
      <c r="B165" s="676" t="s">
        <v>291</v>
      </c>
      <c r="C165" s="676"/>
      <c r="D165" s="676"/>
      <c r="E165" s="677">
        <v>0</v>
      </c>
      <c r="F165" s="678"/>
      <c r="G165" s="677">
        <v>1590.6</v>
      </c>
      <c r="H165" s="678"/>
      <c r="I165" s="677">
        <v>0</v>
      </c>
      <c r="J165" s="678"/>
      <c r="K165" s="677">
        <v>0</v>
      </c>
      <c r="L165" s="678"/>
      <c r="M165" s="677">
        <v>0</v>
      </c>
      <c r="N165" s="678"/>
      <c r="O165" s="677">
        <v>0</v>
      </c>
      <c r="P165" s="678"/>
      <c r="Q165" s="677">
        <v>956.3</v>
      </c>
      <c r="R165" s="678"/>
      <c r="S165" s="677">
        <v>3243.33</v>
      </c>
      <c r="T165" s="678"/>
      <c r="U165" s="677">
        <v>877</v>
      </c>
      <c r="V165" s="678"/>
      <c r="W165" s="677">
        <v>1395.42</v>
      </c>
      <c r="X165" s="678"/>
      <c r="Y165" s="677">
        <v>10361.780000000001</v>
      </c>
      <c r="Z165" s="678"/>
      <c r="AA165" s="677">
        <v>2072.91</v>
      </c>
      <c r="AB165" s="678"/>
      <c r="AC165" s="677">
        <f t="shared" si="16"/>
        <v>20497.34</v>
      </c>
      <c r="AD165" s="672"/>
      <c r="AE165" s="672"/>
      <c r="AF165" s="672"/>
      <c r="AG165" s="672"/>
      <c r="AH165" s="672"/>
      <c r="AI165" s="672"/>
      <c r="AJ165" s="672"/>
      <c r="AK165" s="672"/>
    </row>
    <row r="166" spans="1:37">
      <c r="A166" s="676"/>
      <c r="B166" s="676" t="s">
        <v>292</v>
      </c>
      <c r="C166" s="676"/>
      <c r="D166" s="676"/>
      <c r="E166" s="677"/>
      <c r="F166" s="678"/>
      <c r="G166" s="677"/>
      <c r="H166" s="678"/>
      <c r="I166" s="677"/>
      <c r="J166" s="678"/>
      <c r="K166" s="677"/>
      <c r="L166" s="678"/>
      <c r="M166" s="677"/>
      <c r="N166" s="678"/>
      <c r="O166" s="677"/>
      <c r="P166" s="678"/>
      <c r="Q166" s="677"/>
      <c r="R166" s="678"/>
      <c r="S166" s="677"/>
      <c r="T166" s="678"/>
      <c r="U166" s="677"/>
      <c r="V166" s="678"/>
      <c r="W166" s="677"/>
      <c r="X166" s="678"/>
      <c r="Y166" s="677"/>
      <c r="Z166" s="678"/>
      <c r="AA166" s="677"/>
      <c r="AB166" s="678"/>
      <c r="AC166" s="677"/>
      <c r="AD166" s="672"/>
      <c r="AE166" s="672"/>
      <c r="AF166" s="672"/>
      <c r="AG166" s="672"/>
      <c r="AH166" s="672"/>
      <c r="AI166" s="672"/>
      <c r="AJ166" s="672"/>
      <c r="AK166" s="672"/>
    </row>
    <row r="167" spans="1:37">
      <c r="A167" s="676"/>
      <c r="B167" s="676"/>
      <c r="C167" s="676" t="s">
        <v>293</v>
      </c>
      <c r="D167" s="676"/>
      <c r="E167" s="677">
        <v>0</v>
      </c>
      <c r="F167" s="678"/>
      <c r="G167" s="677">
        <v>0</v>
      </c>
      <c r="H167" s="678"/>
      <c r="I167" s="677">
        <v>34402.29</v>
      </c>
      <c r="J167" s="678"/>
      <c r="K167" s="677">
        <v>0</v>
      </c>
      <c r="L167" s="678"/>
      <c r="M167" s="677">
        <v>0</v>
      </c>
      <c r="N167" s="678"/>
      <c r="O167" s="677">
        <v>34402.29</v>
      </c>
      <c r="P167" s="678"/>
      <c r="Q167" s="677">
        <v>522.32000000000005</v>
      </c>
      <c r="R167" s="678"/>
      <c r="S167" s="677">
        <v>32581.22</v>
      </c>
      <c r="T167" s="678"/>
      <c r="U167" s="677">
        <v>13110.66</v>
      </c>
      <c r="V167" s="678"/>
      <c r="W167" s="677">
        <v>0</v>
      </c>
      <c r="X167" s="678"/>
      <c r="Y167" s="677">
        <v>0</v>
      </c>
      <c r="Z167" s="678"/>
      <c r="AA167" s="677">
        <v>39310.31</v>
      </c>
      <c r="AB167" s="678"/>
      <c r="AC167" s="677">
        <f t="shared" ref="AC167:AC175" si="17">ROUND(SUM(E167:AA167),5)</f>
        <v>154329.09</v>
      </c>
      <c r="AD167" s="684"/>
      <c r="AE167" s="672"/>
      <c r="AF167" s="672"/>
      <c r="AG167" s="672"/>
      <c r="AH167" s="672"/>
      <c r="AI167" s="672"/>
      <c r="AJ167" s="672"/>
      <c r="AK167" s="672"/>
    </row>
    <row r="168" spans="1:37">
      <c r="A168" s="676"/>
      <c r="B168" s="676"/>
      <c r="C168" s="676" t="s">
        <v>294</v>
      </c>
      <c r="D168" s="676"/>
      <c r="E168" s="677">
        <v>0</v>
      </c>
      <c r="F168" s="678"/>
      <c r="G168" s="677">
        <v>0</v>
      </c>
      <c r="H168" s="678"/>
      <c r="I168" s="677">
        <v>7114.9</v>
      </c>
      <c r="J168" s="678"/>
      <c r="K168" s="677">
        <v>0</v>
      </c>
      <c r="L168" s="678"/>
      <c r="M168" s="677">
        <v>0</v>
      </c>
      <c r="N168" s="678"/>
      <c r="O168" s="677">
        <v>7114.9</v>
      </c>
      <c r="P168" s="678"/>
      <c r="Q168" s="677">
        <v>108.02</v>
      </c>
      <c r="R168" s="678"/>
      <c r="S168" s="677">
        <v>6738.28</v>
      </c>
      <c r="T168" s="678"/>
      <c r="U168" s="677">
        <v>2711.47</v>
      </c>
      <c r="V168" s="678"/>
      <c r="W168" s="677">
        <v>0</v>
      </c>
      <c r="X168" s="678"/>
      <c r="Y168" s="677">
        <v>0</v>
      </c>
      <c r="Z168" s="678"/>
      <c r="AA168" s="677">
        <v>8129.95</v>
      </c>
      <c r="AB168" s="678"/>
      <c r="AC168" s="677">
        <f t="shared" si="17"/>
        <v>31917.52</v>
      </c>
      <c r="AD168" s="684"/>
      <c r="AE168" s="672"/>
      <c r="AF168" s="672"/>
      <c r="AG168" s="672"/>
      <c r="AH168" s="672"/>
      <c r="AI168" s="672"/>
      <c r="AJ168" s="672"/>
      <c r="AK168" s="672"/>
    </row>
    <row r="169" spans="1:37">
      <c r="A169" s="676"/>
      <c r="B169" s="676"/>
      <c r="C169" s="676" t="s">
        <v>295</v>
      </c>
      <c r="D169" s="676"/>
      <c r="E169" s="677">
        <v>0</v>
      </c>
      <c r="F169" s="678"/>
      <c r="G169" s="677">
        <v>0</v>
      </c>
      <c r="H169" s="678"/>
      <c r="I169" s="677">
        <v>11854.77</v>
      </c>
      <c r="J169" s="678"/>
      <c r="K169" s="677">
        <v>0</v>
      </c>
      <c r="L169" s="678"/>
      <c r="M169" s="677">
        <v>0</v>
      </c>
      <c r="N169" s="678"/>
      <c r="O169" s="677">
        <v>11854.77</v>
      </c>
      <c r="P169" s="678"/>
      <c r="Q169" s="677">
        <v>179.99</v>
      </c>
      <c r="R169" s="678"/>
      <c r="S169" s="677">
        <v>11227.25</v>
      </c>
      <c r="T169" s="678"/>
      <c r="U169" s="677">
        <v>4517.83</v>
      </c>
      <c r="V169" s="678"/>
      <c r="W169" s="677">
        <v>0</v>
      </c>
      <c r="X169" s="678"/>
      <c r="Y169" s="677">
        <v>0</v>
      </c>
      <c r="Z169" s="678"/>
      <c r="AA169" s="677">
        <v>13455.46</v>
      </c>
      <c r="AB169" s="678"/>
      <c r="AC169" s="677">
        <f t="shared" si="17"/>
        <v>53090.07</v>
      </c>
      <c r="AD169" s="684"/>
      <c r="AE169" s="672"/>
      <c r="AF169" s="672"/>
      <c r="AG169" s="672"/>
      <c r="AH169" s="672"/>
      <c r="AI169" s="672"/>
      <c r="AJ169" s="672"/>
      <c r="AK169" s="672"/>
    </row>
    <row r="170" spans="1:37">
      <c r="A170" s="676"/>
      <c r="B170" s="676"/>
      <c r="C170" s="676" t="s">
        <v>296</v>
      </c>
      <c r="D170" s="676"/>
      <c r="E170" s="677">
        <v>0</v>
      </c>
      <c r="F170" s="678"/>
      <c r="G170" s="677">
        <v>0</v>
      </c>
      <c r="H170" s="678"/>
      <c r="I170" s="677">
        <v>16615.03</v>
      </c>
      <c r="J170" s="678"/>
      <c r="K170" s="677">
        <v>0</v>
      </c>
      <c r="L170" s="678"/>
      <c r="M170" s="677">
        <v>0</v>
      </c>
      <c r="N170" s="678"/>
      <c r="O170" s="677">
        <v>16615.03</v>
      </c>
      <c r="P170" s="678"/>
      <c r="Q170" s="677">
        <v>252.26</v>
      </c>
      <c r="R170" s="678"/>
      <c r="S170" s="677">
        <v>15735.52</v>
      </c>
      <c r="T170" s="678"/>
      <c r="U170" s="677">
        <v>6331.96</v>
      </c>
      <c r="V170" s="678"/>
      <c r="W170" s="677">
        <v>0</v>
      </c>
      <c r="X170" s="678"/>
      <c r="Y170" s="677">
        <v>0</v>
      </c>
      <c r="Z170" s="678"/>
      <c r="AA170" s="677">
        <v>18858.48</v>
      </c>
      <c r="AB170" s="678"/>
      <c r="AC170" s="677">
        <f t="shared" si="17"/>
        <v>74408.28</v>
      </c>
      <c r="AD170" s="684"/>
      <c r="AE170" s="672"/>
      <c r="AF170" s="672"/>
      <c r="AG170" s="672"/>
      <c r="AH170" s="672"/>
      <c r="AI170" s="672"/>
      <c r="AJ170" s="672"/>
      <c r="AK170" s="672"/>
    </row>
    <row r="171" spans="1:37">
      <c r="A171" s="676"/>
      <c r="B171" s="676"/>
      <c r="C171" s="676" t="s">
        <v>297</v>
      </c>
      <c r="D171" s="676"/>
      <c r="E171" s="677">
        <v>0</v>
      </c>
      <c r="F171" s="678"/>
      <c r="G171" s="677">
        <v>0</v>
      </c>
      <c r="H171" s="678"/>
      <c r="I171" s="677">
        <v>11854.77</v>
      </c>
      <c r="J171" s="678"/>
      <c r="K171" s="677">
        <v>0</v>
      </c>
      <c r="L171" s="678"/>
      <c r="M171" s="677">
        <v>0</v>
      </c>
      <c r="N171" s="678"/>
      <c r="O171" s="677">
        <v>11854.77</v>
      </c>
      <c r="P171" s="678"/>
      <c r="Q171" s="677">
        <v>179.99</v>
      </c>
      <c r="R171" s="678"/>
      <c r="S171" s="677">
        <v>11227.25</v>
      </c>
      <c r="T171" s="678"/>
      <c r="U171" s="677">
        <v>4517.83</v>
      </c>
      <c r="V171" s="678"/>
      <c r="W171" s="677">
        <v>0</v>
      </c>
      <c r="X171" s="678"/>
      <c r="Y171" s="677">
        <v>0</v>
      </c>
      <c r="Z171" s="678"/>
      <c r="AA171" s="677">
        <v>13455.46</v>
      </c>
      <c r="AB171" s="678"/>
      <c r="AC171" s="677">
        <f t="shared" si="17"/>
        <v>53090.07</v>
      </c>
      <c r="AD171" s="684"/>
      <c r="AE171" s="672"/>
      <c r="AF171" s="672"/>
      <c r="AG171" s="672"/>
      <c r="AH171" s="672"/>
      <c r="AI171" s="672"/>
      <c r="AJ171" s="672"/>
      <c r="AK171" s="672"/>
    </row>
    <row r="172" spans="1:37">
      <c r="A172" s="676"/>
      <c r="B172" s="676"/>
      <c r="C172" s="676" t="s">
        <v>298</v>
      </c>
      <c r="D172" s="676"/>
      <c r="E172" s="677">
        <v>0</v>
      </c>
      <c r="F172" s="678"/>
      <c r="G172" s="677">
        <v>0</v>
      </c>
      <c r="H172" s="678"/>
      <c r="I172" s="677">
        <v>5861.12</v>
      </c>
      <c r="J172" s="678"/>
      <c r="K172" s="677">
        <v>0</v>
      </c>
      <c r="L172" s="678"/>
      <c r="M172" s="677">
        <v>0</v>
      </c>
      <c r="N172" s="678"/>
      <c r="O172" s="677">
        <v>5861.12</v>
      </c>
      <c r="P172" s="678"/>
      <c r="Q172" s="677">
        <v>88.98</v>
      </c>
      <c r="R172" s="678"/>
      <c r="S172" s="677">
        <v>5550.88</v>
      </c>
      <c r="T172" s="678"/>
      <c r="U172" s="677">
        <v>2233.69</v>
      </c>
      <c r="V172" s="678"/>
      <c r="W172" s="677">
        <v>0</v>
      </c>
      <c r="X172" s="678"/>
      <c r="Y172" s="677">
        <v>0</v>
      </c>
      <c r="Z172" s="678"/>
      <c r="AA172" s="677">
        <v>6652.53</v>
      </c>
      <c r="AB172" s="678"/>
      <c r="AC172" s="677">
        <f t="shared" si="17"/>
        <v>26248.32</v>
      </c>
      <c r="AD172" s="684"/>
      <c r="AE172" s="672"/>
      <c r="AF172" s="672"/>
      <c r="AG172" s="672"/>
      <c r="AH172" s="672"/>
      <c r="AI172" s="672"/>
      <c r="AJ172" s="672"/>
      <c r="AK172" s="672"/>
    </row>
    <row r="173" spans="1:37">
      <c r="A173" s="676"/>
      <c r="B173" s="676"/>
      <c r="C173" s="676" t="s">
        <v>299</v>
      </c>
      <c r="D173" s="676"/>
      <c r="E173" s="677">
        <v>0</v>
      </c>
      <c r="F173" s="678"/>
      <c r="G173" s="677">
        <v>0</v>
      </c>
      <c r="H173" s="678"/>
      <c r="I173" s="677">
        <v>7114.91</v>
      </c>
      <c r="J173" s="678"/>
      <c r="K173" s="677">
        <v>0</v>
      </c>
      <c r="L173" s="678"/>
      <c r="M173" s="677">
        <v>0</v>
      </c>
      <c r="N173" s="678"/>
      <c r="O173" s="677">
        <v>7114.91</v>
      </c>
      <c r="P173" s="678"/>
      <c r="Q173" s="677">
        <v>108.02</v>
      </c>
      <c r="R173" s="678"/>
      <c r="S173" s="677">
        <v>6738.29</v>
      </c>
      <c r="T173" s="678"/>
      <c r="U173" s="677">
        <v>2711.48</v>
      </c>
      <c r="V173" s="678"/>
      <c r="W173" s="677">
        <v>0</v>
      </c>
      <c r="X173" s="678"/>
      <c r="Y173" s="677">
        <v>0</v>
      </c>
      <c r="Z173" s="678"/>
      <c r="AA173" s="677">
        <v>8075.6</v>
      </c>
      <c r="AB173" s="678"/>
      <c r="AC173" s="677">
        <f t="shared" si="17"/>
        <v>31863.21</v>
      </c>
      <c r="AD173" s="684"/>
      <c r="AE173" s="672"/>
      <c r="AF173" s="672"/>
      <c r="AG173" s="672"/>
      <c r="AH173" s="672"/>
      <c r="AI173" s="672"/>
      <c r="AJ173" s="672"/>
      <c r="AK173" s="672"/>
    </row>
    <row r="174" spans="1:37" ht="15.75" thickBot="1">
      <c r="A174" s="676"/>
      <c r="B174" s="676"/>
      <c r="C174" s="676" t="s">
        <v>300</v>
      </c>
      <c r="D174" s="676"/>
      <c r="E174" s="680">
        <v>0</v>
      </c>
      <c r="F174" s="678"/>
      <c r="G174" s="680">
        <v>0</v>
      </c>
      <c r="H174" s="678"/>
      <c r="I174" s="680">
        <v>7114.91</v>
      </c>
      <c r="J174" s="678"/>
      <c r="K174" s="680">
        <v>0</v>
      </c>
      <c r="L174" s="678"/>
      <c r="M174" s="680">
        <v>0</v>
      </c>
      <c r="N174" s="678"/>
      <c r="O174" s="680">
        <v>7114.91</v>
      </c>
      <c r="P174" s="678"/>
      <c r="Q174" s="680">
        <v>108.02</v>
      </c>
      <c r="R174" s="678"/>
      <c r="S174" s="680">
        <v>6738.29</v>
      </c>
      <c r="T174" s="678"/>
      <c r="U174" s="680">
        <v>2691.87</v>
      </c>
      <c r="V174" s="678"/>
      <c r="W174" s="680">
        <v>0</v>
      </c>
      <c r="X174" s="678"/>
      <c r="Y174" s="680">
        <v>0</v>
      </c>
      <c r="Z174" s="678"/>
      <c r="AA174" s="680">
        <v>8075.6</v>
      </c>
      <c r="AB174" s="678"/>
      <c r="AC174" s="680">
        <f t="shared" si="17"/>
        <v>31843.599999999999</v>
      </c>
      <c r="AD174" s="684"/>
      <c r="AE174" s="672"/>
      <c r="AF174" s="672"/>
      <c r="AG174" s="672"/>
      <c r="AH174" s="672"/>
      <c r="AI174" s="672"/>
      <c r="AJ174" s="672"/>
      <c r="AK174" s="672"/>
    </row>
    <row r="175" spans="1:37">
      <c r="A175" s="676"/>
      <c r="B175" s="676" t="s">
        <v>301</v>
      </c>
      <c r="C175" s="676"/>
      <c r="D175" s="676"/>
      <c r="E175" s="677">
        <f>ROUND(SUM(E166:E174),5)</f>
        <v>0</v>
      </c>
      <c r="F175" s="678"/>
      <c r="G175" s="677">
        <f>ROUND(SUM(G166:G174),5)</f>
        <v>0</v>
      </c>
      <c r="H175" s="678"/>
      <c r="I175" s="677">
        <f>ROUND(SUM(I166:I174),5)</f>
        <v>101932.7</v>
      </c>
      <c r="J175" s="678"/>
      <c r="K175" s="677">
        <f>ROUND(SUM(K166:K174),5)</f>
        <v>0</v>
      </c>
      <c r="L175" s="678"/>
      <c r="M175" s="677">
        <f>ROUND(SUM(M166:M174),5)</f>
        <v>0</v>
      </c>
      <c r="N175" s="678"/>
      <c r="O175" s="677">
        <f>ROUND(SUM(O166:O174),5)</f>
        <v>101932.7</v>
      </c>
      <c r="P175" s="678"/>
      <c r="Q175" s="677">
        <f>ROUND(SUM(Q166:Q174),5)</f>
        <v>1547.6</v>
      </c>
      <c r="R175" s="678"/>
      <c r="S175" s="677">
        <f>ROUND(SUM(S166:S174),5)</f>
        <v>96536.98</v>
      </c>
      <c r="T175" s="678"/>
      <c r="U175" s="677">
        <f>ROUND(SUM(U166:U174),5)</f>
        <v>38826.79</v>
      </c>
      <c r="V175" s="678"/>
      <c r="W175" s="677">
        <f>ROUND(SUM(W166:W174),5)</f>
        <v>0</v>
      </c>
      <c r="X175" s="678"/>
      <c r="Y175" s="677">
        <f>ROUND(SUM(Y166:Y174),5)</f>
        <v>0</v>
      </c>
      <c r="Z175" s="678"/>
      <c r="AA175" s="677">
        <f>ROUND(SUM(AA166:AA174),5)</f>
        <v>116013.39</v>
      </c>
      <c r="AB175" s="678"/>
      <c r="AC175" s="677">
        <f t="shared" si="17"/>
        <v>456790.16</v>
      </c>
      <c r="AD175" s="672"/>
      <c r="AE175" s="672"/>
      <c r="AF175" s="672"/>
      <c r="AG175" s="672"/>
      <c r="AH175" s="672"/>
      <c r="AI175" s="672"/>
      <c r="AJ175" s="672"/>
      <c r="AK175" s="672"/>
    </row>
    <row r="176" spans="1:37">
      <c r="A176" s="676"/>
      <c r="B176" s="676" t="s">
        <v>302</v>
      </c>
      <c r="C176" s="676"/>
      <c r="D176" s="676"/>
      <c r="E176" s="677"/>
      <c r="F176" s="678"/>
      <c r="G176" s="677"/>
      <c r="H176" s="678"/>
      <c r="I176" s="677"/>
      <c r="J176" s="678"/>
      <c r="K176" s="677"/>
      <c r="L176" s="678"/>
      <c r="M176" s="677"/>
      <c r="N176" s="678"/>
      <c r="O176" s="677"/>
      <c r="P176" s="678"/>
      <c r="Q176" s="677"/>
      <c r="R176" s="678"/>
      <c r="S176" s="677"/>
      <c r="T176" s="678"/>
      <c r="U176" s="677"/>
      <c r="V176" s="678"/>
      <c r="W176" s="677"/>
      <c r="X176" s="678"/>
      <c r="Y176" s="677"/>
      <c r="Z176" s="678"/>
      <c r="AA176" s="677"/>
      <c r="AB176" s="678"/>
      <c r="AC176" s="677"/>
      <c r="AD176" s="672"/>
      <c r="AE176" s="672"/>
      <c r="AF176" s="672"/>
      <c r="AG176" s="672"/>
      <c r="AH176" s="672"/>
      <c r="AI176" s="672"/>
      <c r="AJ176" s="672"/>
      <c r="AK176" s="672"/>
    </row>
    <row r="177" spans="1:37">
      <c r="A177" s="676"/>
      <c r="B177" s="676"/>
      <c r="C177" s="676" t="s">
        <v>303</v>
      </c>
      <c r="D177" s="676"/>
      <c r="E177" s="677">
        <v>350</v>
      </c>
      <c r="F177" s="678"/>
      <c r="G177" s="677">
        <v>0</v>
      </c>
      <c r="H177" s="678"/>
      <c r="I177" s="677">
        <v>216.76</v>
      </c>
      <c r="J177" s="678"/>
      <c r="K177" s="677">
        <v>183.24</v>
      </c>
      <c r="L177" s="678"/>
      <c r="M177" s="677">
        <v>202.43</v>
      </c>
      <c r="N177" s="678"/>
      <c r="O177" s="677">
        <v>150</v>
      </c>
      <c r="P177" s="678"/>
      <c r="Q177" s="677">
        <v>41.6</v>
      </c>
      <c r="R177" s="678"/>
      <c r="S177" s="677">
        <v>1876.31</v>
      </c>
      <c r="T177" s="678"/>
      <c r="U177" s="677">
        <v>150</v>
      </c>
      <c r="V177" s="678"/>
      <c r="W177" s="677">
        <v>150</v>
      </c>
      <c r="X177" s="678"/>
      <c r="Y177" s="677">
        <v>550</v>
      </c>
      <c r="Z177" s="678"/>
      <c r="AA177" s="677">
        <v>900</v>
      </c>
      <c r="AB177" s="678"/>
      <c r="AC177" s="677">
        <f>ROUND(SUM(E177:AA177),5)</f>
        <v>4770.34</v>
      </c>
      <c r="AD177" s="672"/>
      <c r="AE177" s="672"/>
      <c r="AF177" s="672"/>
      <c r="AG177" s="672"/>
      <c r="AH177" s="672"/>
      <c r="AI177" s="672"/>
      <c r="AJ177" s="672"/>
      <c r="AK177" s="672"/>
    </row>
    <row r="178" spans="1:37">
      <c r="A178" s="676"/>
      <c r="B178" s="676"/>
      <c r="C178" s="676" t="s">
        <v>304</v>
      </c>
      <c r="D178" s="676"/>
      <c r="E178" s="677"/>
      <c r="F178" s="678"/>
      <c r="G178" s="677"/>
      <c r="H178" s="678"/>
      <c r="I178" s="677"/>
      <c r="J178" s="678"/>
      <c r="K178" s="677"/>
      <c r="L178" s="678"/>
      <c r="M178" s="677"/>
      <c r="N178" s="678"/>
      <c r="O178" s="677"/>
      <c r="P178" s="678"/>
      <c r="Q178" s="677"/>
      <c r="R178" s="678"/>
      <c r="S178" s="677"/>
      <c r="T178" s="678"/>
      <c r="U178" s="677"/>
      <c r="V178" s="678"/>
      <c r="W178" s="677"/>
      <c r="X178" s="678"/>
      <c r="Y178" s="677"/>
      <c r="Z178" s="678"/>
      <c r="AA178" s="677"/>
      <c r="AB178" s="678"/>
      <c r="AC178" s="677"/>
      <c r="AD178" s="672"/>
      <c r="AE178" s="672"/>
      <c r="AF178" s="672"/>
      <c r="AG178" s="672"/>
      <c r="AH178" s="672"/>
      <c r="AI178" s="672"/>
      <c r="AJ178" s="672"/>
      <c r="AK178" s="672"/>
    </row>
    <row r="179" spans="1:37">
      <c r="A179" s="676"/>
      <c r="B179" s="676"/>
      <c r="C179" s="676"/>
      <c r="D179" s="676" t="s">
        <v>305</v>
      </c>
      <c r="E179" s="677">
        <v>37946.730000000003</v>
      </c>
      <c r="F179" s="678"/>
      <c r="G179" s="677">
        <v>659.66</v>
      </c>
      <c r="H179" s="678"/>
      <c r="I179" s="677">
        <v>21289.26</v>
      </c>
      <c r="J179" s="678"/>
      <c r="K179" s="677">
        <v>43669.36</v>
      </c>
      <c r="L179" s="678"/>
      <c r="M179" s="677">
        <v>18356.689999999999</v>
      </c>
      <c r="N179" s="678"/>
      <c r="O179" s="677">
        <v>19363.28</v>
      </c>
      <c r="P179" s="678"/>
      <c r="Q179" s="677">
        <v>22656.82</v>
      </c>
      <c r="R179" s="678"/>
      <c r="S179" s="677">
        <v>26860.61</v>
      </c>
      <c r="T179" s="678"/>
      <c r="U179" s="677">
        <v>19490.47</v>
      </c>
      <c r="V179" s="678"/>
      <c r="W179" s="677">
        <v>20032.86</v>
      </c>
      <c r="X179" s="678"/>
      <c r="Y179" s="677">
        <v>19051.669999999998</v>
      </c>
      <c r="Z179" s="678"/>
      <c r="AA179" s="677">
        <v>-4855.75</v>
      </c>
      <c r="AB179" s="678"/>
      <c r="AC179" s="677">
        <f t="shared" ref="AC179:AC190" si="18">ROUND(SUM(E179:AA179),5)</f>
        <v>244521.66</v>
      </c>
      <c r="AD179" s="684"/>
      <c r="AE179" s="672"/>
      <c r="AF179" s="672"/>
      <c r="AG179" s="672"/>
      <c r="AH179" s="672"/>
      <c r="AI179" s="672"/>
      <c r="AJ179" s="672"/>
      <c r="AK179" s="672"/>
    </row>
    <row r="180" spans="1:37">
      <c r="A180" s="676"/>
      <c r="B180" s="676"/>
      <c r="C180" s="676"/>
      <c r="D180" s="676" t="s">
        <v>306</v>
      </c>
      <c r="E180" s="677">
        <v>10571.71</v>
      </c>
      <c r="F180" s="678"/>
      <c r="G180" s="677">
        <v>0</v>
      </c>
      <c r="H180" s="678"/>
      <c r="I180" s="677">
        <v>5034.33</v>
      </c>
      <c r="J180" s="678"/>
      <c r="K180" s="677">
        <v>10178.39</v>
      </c>
      <c r="L180" s="678"/>
      <c r="M180" s="677">
        <v>4106.8500000000004</v>
      </c>
      <c r="N180" s="678"/>
      <c r="O180" s="677">
        <v>4657.05</v>
      </c>
      <c r="P180" s="678"/>
      <c r="Q180" s="677">
        <v>5205.1400000000003</v>
      </c>
      <c r="R180" s="678"/>
      <c r="S180" s="677">
        <v>4556.55</v>
      </c>
      <c r="T180" s="678"/>
      <c r="U180" s="677">
        <v>4519.6099999999997</v>
      </c>
      <c r="V180" s="678"/>
      <c r="W180" s="677">
        <v>4975.26</v>
      </c>
      <c r="X180" s="678"/>
      <c r="Y180" s="677">
        <v>5246.19</v>
      </c>
      <c r="Z180" s="678"/>
      <c r="AA180" s="677">
        <v>-279.83999999999997</v>
      </c>
      <c r="AB180" s="678"/>
      <c r="AC180" s="677">
        <f t="shared" si="18"/>
        <v>58771.24</v>
      </c>
      <c r="AD180" s="684"/>
      <c r="AE180" s="672"/>
      <c r="AF180" s="672"/>
      <c r="AG180" s="672"/>
      <c r="AH180" s="672"/>
      <c r="AI180" s="672"/>
      <c r="AJ180" s="672"/>
      <c r="AK180" s="672"/>
    </row>
    <row r="181" spans="1:37">
      <c r="A181" s="676"/>
      <c r="B181" s="676"/>
      <c r="C181" s="676"/>
      <c r="D181" s="676" t="s">
        <v>307</v>
      </c>
      <c r="E181" s="677">
        <v>9788.34</v>
      </c>
      <c r="F181" s="678"/>
      <c r="G181" s="677">
        <v>0</v>
      </c>
      <c r="H181" s="678"/>
      <c r="I181" s="677">
        <v>8583.1200000000008</v>
      </c>
      <c r="J181" s="678"/>
      <c r="K181" s="677">
        <v>15957.65</v>
      </c>
      <c r="L181" s="678"/>
      <c r="M181" s="677">
        <v>6975.75</v>
      </c>
      <c r="N181" s="678"/>
      <c r="O181" s="677">
        <v>8756.0400000000009</v>
      </c>
      <c r="P181" s="678"/>
      <c r="Q181" s="677">
        <v>7216.59</v>
      </c>
      <c r="R181" s="678"/>
      <c r="S181" s="677">
        <v>9047.42</v>
      </c>
      <c r="T181" s="678"/>
      <c r="U181" s="677">
        <v>7487.52</v>
      </c>
      <c r="V181" s="678"/>
      <c r="W181" s="677">
        <v>8423.4599999999991</v>
      </c>
      <c r="X181" s="678"/>
      <c r="Y181" s="677">
        <v>10783.83</v>
      </c>
      <c r="Z181" s="678"/>
      <c r="AA181" s="677">
        <v>-1178.6500000000001</v>
      </c>
      <c r="AB181" s="678"/>
      <c r="AC181" s="677">
        <f t="shared" si="18"/>
        <v>91841.07</v>
      </c>
      <c r="AD181" s="684"/>
      <c r="AE181" s="672"/>
      <c r="AF181" s="672"/>
      <c r="AG181" s="672"/>
      <c r="AH181" s="672"/>
      <c r="AI181" s="672"/>
      <c r="AJ181" s="672"/>
      <c r="AK181" s="672"/>
    </row>
    <row r="182" spans="1:37">
      <c r="A182" s="676"/>
      <c r="B182" s="676"/>
      <c r="C182" s="676"/>
      <c r="D182" s="676" t="s">
        <v>308</v>
      </c>
      <c r="E182" s="677">
        <v>1570.27</v>
      </c>
      <c r="F182" s="678"/>
      <c r="G182" s="677">
        <v>0</v>
      </c>
      <c r="H182" s="678"/>
      <c r="I182" s="677">
        <v>0</v>
      </c>
      <c r="J182" s="678"/>
      <c r="K182" s="677">
        <v>0</v>
      </c>
      <c r="L182" s="678"/>
      <c r="M182" s="677">
        <v>0</v>
      </c>
      <c r="N182" s="678"/>
      <c r="O182" s="677">
        <v>0</v>
      </c>
      <c r="P182" s="678"/>
      <c r="Q182" s="677">
        <v>0</v>
      </c>
      <c r="R182" s="678"/>
      <c r="S182" s="677">
        <v>0</v>
      </c>
      <c r="T182" s="678"/>
      <c r="U182" s="677">
        <v>0</v>
      </c>
      <c r="V182" s="678"/>
      <c r="W182" s="677">
        <v>0</v>
      </c>
      <c r="X182" s="678"/>
      <c r="Y182" s="677">
        <v>0</v>
      </c>
      <c r="Z182" s="678"/>
      <c r="AA182" s="677">
        <v>0</v>
      </c>
      <c r="AB182" s="678"/>
      <c r="AC182" s="677">
        <f t="shared" si="18"/>
        <v>1570.27</v>
      </c>
      <c r="AD182" s="684"/>
      <c r="AE182" s="672"/>
      <c r="AF182" s="672"/>
      <c r="AG182" s="672"/>
      <c r="AH182" s="672"/>
      <c r="AI182" s="672"/>
      <c r="AJ182" s="672"/>
      <c r="AK182" s="672"/>
    </row>
    <row r="183" spans="1:37">
      <c r="A183" s="676"/>
      <c r="B183" s="676"/>
      <c r="C183" s="676"/>
      <c r="D183" s="676" t="s">
        <v>309</v>
      </c>
      <c r="E183" s="677">
        <v>13163.24</v>
      </c>
      <c r="F183" s="678"/>
      <c r="G183" s="677">
        <v>4520.91</v>
      </c>
      <c r="H183" s="678"/>
      <c r="I183" s="677">
        <v>6208.23</v>
      </c>
      <c r="J183" s="678"/>
      <c r="K183" s="677">
        <v>8685.85</v>
      </c>
      <c r="L183" s="678"/>
      <c r="M183" s="677">
        <v>5479.95</v>
      </c>
      <c r="N183" s="678"/>
      <c r="O183" s="677">
        <v>5869.21</v>
      </c>
      <c r="P183" s="678"/>
      <c r="Q183" s="677">
        <v>6810.59</v>
      </c>
      <c r="R183" s="678"/>
      <c r="S183" s="677">
        <v>13592.21</v>
      </c>
      <c r="T183" s="678"/>
      <c r="U183" s="677">
        <v>5851.88</v>
      </c>
      <c r="V183" s="678"/>
      <c r="W183" s="677">
        <v>7596.3</v>
      </c>
      <c r="X183" s="678"/>
      <c r="Y183" s="677">
        <v>2263.29</v>
      </c>
      <c r="Z183" s="678"/>
      <c r="AA183" s="677">
        <v>-4060.33</v>
      </c>
      <c r="AB183" s="678"/>
      <c r="AC183" s="677">
        <f t="shared" si="18"/>
        <v>75981.33</v>
      </c>
      <c r="AD183" s="684"/>
      <c r="AE183" s="672"/>
      <c r="AF183" s="672"/>
      <c r="AG183" s="672"/>
      <c r="AH183" s="672"/>
      <c r="AI183" s="672"/>
      <c r="AJ183" s="672"/>
      <c r="AK183" s="672"/>
    </row>
    <row r="184" spans="1:37">
      <c r="A184" s="676"/>
      <c r="B184" s="676"/>
      <c r="C184" s="676"/>
      <c r="D184" s="676" t="s">
        <v>310</v>
      </c>
      <c r="E184" s="677">
        <v>4927.78</v>
      </c>
      <c r="F184" s="678"/>
      <c r="G184" s="677">
        <v>1534.88</v>
      </c>
      <c r="H184" s="678"/>
      <c r="I184" s="677">
        <v>1933.34</v>
      </c>
      <c r="J184" s="678"/>
      <c r="K184" s="677">
        <v>3477.64</v>
      </c>
      <c r="L184" s="678"/>
      <c r="M184" s="677">
        <v>1347.87</v>
      </c>
      <c r="N184" s="678"/>
      <c r="O184" s="677">
        <v>2620.94</v>
      </c>
      <c r="P184" s="678"/>
      <c r="Q184" s="677">
        <v>2418.6</v>
      </c>
      <c r="R184" s="678"/>
      <c r="S184" s="677">
        <v>2825.69</v>
      </c>
      <c r="T184" s="678"/>
      <c r="U184" s="677">
        <v>1026.26</v>
      </c>
      <c r="V184" s="678"/>
      <c r="W184" s="677">
        <v>1297.81</v>
      </c>
      <c r="X184" s="678"/>
      <c r="Y184" s="677">
        <v>504.18</v>
      </c>
      <c r="Z184" s="678"/>
      <c r="AA184" s="677">
        <v>-5844.52</v>
      </c>
      <c r="AB184" s="678"/>
      <c r="AC184" s="677">
        <f t="shared" si="18"/>
        <v>18070.47</v>
      </c>
      <c r="AD184" s="684"/>
      <c r="AE184" s="672"/>
      <c r="AF184" s="672"/>
      <c r="AG184" s="672"/>
      <c r="AH184" s="672"/>
      <c r="AI184" s="672"/>
      <c r="AJ184" s="672"/>
      <c r="AK184" s="672"/>
    </row>
    <row r="185" spans="1:37">
      <c r="A185" s="676"/>
      <c r="B185" s="676"/>
      <c r="C185" s="676"/>
      <c r="D185" s="676" t="s">
        <v>311</v>
      </c>
      <c r="E185" s="677">
        <v>2916.54</v>
      </c>
      <c r="F185" s="678"/>
      <c r="G185" s="677">
        <v>657.81</v>
      </c>
      <c r="H185" s="678"/>
      <c r="I185" s="677">
        <v>828.58</v>
      </c>
      <c r="J185" s="678"/>
      <c r="K185" s="677">
        <v>1530.04</v>
      </c>
      <c r="L185" s="678"/>
      <c r="M185" s="677">
        <v>577.66</v>
      </c>
      <c r="N185" s="678"/>
      <c r="O185" s="677">
        <v>1123.26</v>
      </c>
      <c r="P185" s="678"/>
      <c r="Q185" s="677">
        <v>1036.54</v>
      </c>
      <c r="R185" s="678"/>
      <c r="S185" s="677">
        <v>1208.48</v>
      </c>
      <c r="T185" s="678"/>
      <c r="U185" s="677">
        <v>439.82</v>
      </c>
      <c r="V185" s="678"/>
      <c r="W185" s="677">
        <v>556.21</v>
      </c>
      <c r="X185" s="678"/>
      <c r="Y185" s="677">
        <v>-1108.3699999999999</v>
      </c>
      <c r="Z185" s="678"/>
      <c r="AA185" s="677">
        <v>-2967.81</v>
      </c>
      <c r="AB185" s="678"/>
      <c r="AC185" s="677">
        <f t="shared" si="18"/>
        <v>6798.76</v>
      </c>
      <c r="AD185" s="684"/>
      <c r="AE185" s="672"/>
      <c r="AF185" s="672"/>
      <c r="AG185" s="672"/>
      <c r="AH185" s="672"/>
      <c r="AI185" s="672"/>
      <c r="AJ185" s="672"/>
      <c r="AK185" s="672"/>
    </row>
    <row r="186" spans="1:37">
      <c r="A186" s="676"/>
      <c r="B186" s="676"/>
      <c r="C186" s="676"/>
      <c r="D186" s="676" t="s">
        <v>312</v>
      </c>
      <c r="E186" s="677">
        <v>3145.61</v>
      </c>
      <c r="F186" s="678"/>
      <c r="G186" s="677">
        <v>2141.5700000000002</v>
      </c>
      <c r="H186" s="678"/>
      <c r="I186" s="677">
        <v>2969.01</v>
      </c>
      <c r="J186" s="678"/>
      <c r="K186" s="677">
        <v>2339.39</v>
      </c>
      <c r="L186" s="678"/>
      <c r="M186" s="677">
        <v>2689.47</v>
      </c>
      <c r="N186" s="678"/>
      <c r="O186" s="677">
        <v>2915.45</v>
      </c>
      <c r="P186" s="678"/>
      <c r="Q186" s="677">
        <v>3288.82</v>
      </c>
      <c r="R186" s="678"/>
      <c r="S186" s="677">
        <v>6576.37</v>
      </c>
      <c r="T186" s="678"/>
      <c r="U186" s="677">
        <v>2694.63</v>
      </c>
      <c r="V186" s="678"/>
      <c r="W186" s="677">
        <v>2930.7</v>
      </c>
      <c r="X186" s="678"/>
      <c r="Y186" s="677">
        <v>526.27</v>
      </c>
      <c r="Z186" s="678"/>
      <c r="AA186" s="677">
        <v>-1676.46</v>
      </c>
      <c r="AB186" s="678"/>
      <c r="AC186" s="677">
        <f t="shared" si="18"/>
        <v>30540.83</v>
      </c>
      <c r="AD186" s="684"/>
      <c r="AE186" s="672"/>
      <c r="AF186" s="672"/>
      <c r="AG186" s="672"/>
      <c r="AH186" s="672"/>
      <c r="AI186" s="672"/>
      <c r="AJ186" s="672"/>
      <c r="AK186" s="672"/>
    </row>
    <row r="187" spans="1:37">
      <c r="A187" s="676"/>
      <c r="B187" s="676"/>
      <c r="C187" s="676"/>
      <c r="D187" s="676" t="s">
        <v>313</v>
      </c>
      <c r="E187" s="677">
        <v>1479.18</v>
      </c>
      <c r="F187" s="678"/>
      <c r="G187" s="677">
        <v>0</v>
      </c>
      <c r="H187" s="678"/>
      <c r="I187" s="677">
        <v>0</v>
      </c>
      <c r="J187" s="678"/>
      <c r="K187" s="677">
        <v>0</v>
      </c>
      <c r="L187" s="678"/>
      <c r="M187" s="677">
        <v>0</v>
      </c>
      <c r="N187" s="678"/>
      <c r="O187" s="677">
        <v>0</v>
      </c>
      <c r="P187" s="678"/>
      <c r="Q187" s="677">
        <v>0</v>
      </c>
      <c r="R187" s="678"/>
      <c r="S187" s="677">
        <v>0</v>
      </c>
      <c r="T187" s="678"/>
      <c r="U187" s="677">
        <v>0</v>
      </c>
      <c r="V187" s="678"/>
      <c r="W187" s="677">
        <v>0</v>
      </c>
      <c r="X187" s="678"/>
      <c r="Y187" s="677">
        <v>0</v>
      </c>
      <c r="Z187" s="678"/>
      <c r="AA187" s="677">
        <v>0</v>
      </c>
      <c r="AB187" s="678"/>
      <c r="AC187" s="677">
        <f t="shared" si="18"/>
        <v>1479.18</v>
      </c>
      <c r="AD187" s="684"/>
      <c r="AE187" s="672"/>
      <c r="AF187" s="672"/>
      <c r="AG187" s="672"/>
      <c r="AH187" s="672"/>
      <c r="AI187" s="672"/>
      <c r="AJ187" s="672"/>
      <c r="AK187" s="672"/>
    </row>
    <row r="188" spans="1:37" ht="15.75" thickBot="1">
      <c r="A188" s="676"/>
      <c r="B188" s="676"/>
      <c r="C188" s="676"/>
      <c r="D188" s="676" t="s">
        <v>314</v>
      </c>
      <c r="E188" s="682">
        <v>6289.47</v>
      </c>
      <c r="F188" s="678"/>
      <c r="G188" s="682">
        <v>2278.59</v>
      </c>
      <c r="H188" s="678"/>
      <c r="I188" s="682">
        <v>3404.69</v>
      </c>
      <c r="J188" s="678"/>
      <c r="K188" s="682">
        <v>2602.83</v>
      </c>
      <c r="L188" s="678"/>
      <c r="M188" s="682">
        <v>2418.41</v>
      </c>
      <c r="N188" s="678"/>
      <c r="O188" s="682">
        <v>2725.55</v>
      </c>
      <c r="P188" s="678"/>
      <c r="Q188" s="682">
        <v>2945.99</v>
      </c>
      <c r="R188" s="678"/>
      <c r="S188" s="682">
        <v>8254.69</v>
      </c>
      <c r="T188" s="678"/>
      <c r="U188" s="682">
        <v>1630.3</v>
      </c>
      <c r="V188" s="678"/>
      <c r="W188" s="682">
        <v>2087.2600000000002</v>
      </c>
      <c r="X188" s="678"/>
      <c r="Y188" s="682">
        <v>267.25</v>
      </c>
      <c r="Z188" s="678"/>
      <c r="AA188" s="682">
        <v>-2376.14</v>
      </c>
      <c r="AB188" s="678"/>
      <c r="AC188" s="682">
        <f t="shared" si="18"/>
        <v>32528.89</v>
      </c>
      <c r="AD188" s="684"/>
      <c r="AE188" s="672"/>
      <c r="AF188" s="672"/>
      <c r="AG188" s="672"/>
      <c r="AH188" s="672"/>
      <c r="AI188" s="672"/>
      <c r="AJ188" s="672"/>
      <c r="AK188" s="672"/>
    </row>
    <row r="189" spans="1:37" ht="15.75" thickBot="1">
      <c r="A189" s="676"/>
      <c r="B189" s="676"/>
      <c r="C189" s="676" t="s">
        <v>315</v>
      </c>
      <c r="D189" s="676"/>
      <c r="E189" s="683">
        <f>ROUND(SUM(E178:E188),5)</f>
        <v>91798.87</v>
      </c>
      <c r="F189" s="678"/>
      <c r="G189" s="683">
        <f>ROUND(SUM(G178:G188),5)</f>
        <v>11793.42</v>
      </c>
      <c r="H189" s="678"/>
      <c r="I189" s="683">
        <f>ROUND(SUM(I178:I188),5)</f>
        <v>50250.559999999998</v>
      </c>
      <c r="J189" s="678"/>
      <c r="K189" s="683">
        <f>ROUND(SUM(K178:K188),5)</f>
        <v>88441.15</v>
      </c>
      <c r="L189" s="678"/>
      <c r="M189" s="683">
        <f>ROUND(SUM(M178:M188),5)</f>
        <v>41952.65</v>
      </c>
      <c r="N189" s="678"/>
      <c r="O189" s="683">
        <f>ROUND(SUM(O178:O188),5)</f>
        <v>48030.78</v>
      </c>
      <c r="P189" s="678"/>
      <c r="Q189" s="683">
        <f>ROUND(SUM(Q178:Q188),5)</f>
        <v>51579.09</v>
      </c>
      <c r="R189" s="678"/>
      <c r="S189" s="683">
        <f>ROUND(SUM(S178:S188),5)</f>
        <v>72922.02</v>
      </c>
      <c r="T189" s="678"/>
      <c r="U189" s="683">
        <f>ROUND(SUM(U178:U188),5)</f>
        <v>43140.49</v>
      </c>
      <c r="V189" s="678"/>
      <c r="W189" s="683">
        <f>ROUND(SUM(W178:W188),5)</f>
        <v>47899.86</v>
      </c>
      <c r="X189" s="678"/>
      <c r="Y189" s="683">
        <f>ROUND(SUM(Y178:Y188),5)</f>
        <v>37534.31</v>
      </c>
      <c r="Z189" s="678"/>
      <c r="AA189" s="683">
        <f>ROUND(SUM(AA178:AA188),5)</f>
        <v>-23239.5</v>
      </c>
      <c r="AB189" s="678"/>
      <c r="AC189" s="683">
        <f t="shared" si="18"/>
        <v>562103.69999999995</v>
      </c>
      <c r="AD189" s="672"/>
      <c r="AE189" s="672"/>
      <c r="AF189" s="672"/>
      <c r="AG189" s="672"/>
      <c r="AH189" s="672"/>
      <c r="AI189" s="672"/>
      <c r="AJ189" s="672"/>
      <c r="AK189" s="672"/>
    </row>
    <row r="190" spans="1:37">
      <c r="A190" s="676"/>
      <c r="B190" s="676" t="s">
        <v>316</v>
      </c>
      <c r="C190" s="676"/>
      <c r="D190" s="676"/>
      <c r="E190" s="677">
        <f>ROUND(SUM(E176:E177)+E189,5)</f>
        <v>92148.87</v>
      </c>
      <c r="F190" s="678"/>
      <c r="G190" s="677">
        <f>ROUND(SUM(G176:G177)+G189,5)</f>
        <v>11793.42</v>
      </c>
      <c r="H190" s="678"/>
      <c r="I190" s="677">
        <f>ROUND(SUM(I176:I177)+I189,5)</f>
        <v>50467.32</v>
      </c>
      <c r="J190" s="678"/>
      <c r="K190" s="677">
        <f>ROUND(SUM(K176:K177)+K189,5)</f>
        <v>88624.39</v>
      </c>
      <c r="L190" s="678"/>
      <c r="M190" s="677">
        <f>ROUND(SUM(M176:M177)+M189,5)</f>
        <v>42155.08</v>
      </c>
      <c r="N190" s="678"/>
      <c r="O190" s="677">
        <f>ROUND(SUM(O176:O177)+O189,5)</f>
        <v>48180.78</v>
      </c>
      <c r="P190" s="678"/>
      <c r="Q190" s="677">
        <f>ROUND(SUM(Q176:Q177)+Q189,5)</f>
        <v>51620.69</v>
      </c>
      <c r="R190" s="678"/>
      <c r="S190" s="677">
        <f>ROUND(SUM(S176:S177)+S189,5)</f>
        <v>74798.33</v>
      </c>
      <c r="T190" s="678"/>
      <c r="U190" s="677">
        <f>ROUND(SUM(U176:U177)+U189,5)</f>
        <v>43290.49</v>
      </c>
      <c r="V190" s="678"/>
      <c r="W190" s="677">
        <f>ROUND(SUM(W176:W177)+W189,5)</f>
        <v>48049.86</v>
      </c>
      <c r="X190" s="678"/>
      <c r="Y190" s="677">
        <f>ROUND(SUM(Y176:Y177)+Y189,5)</f>
        <v>38084.31</v>
      </c>
      <c r="Z190" s="678"/>
      <c r="AA190" s="677">
        <f>ROUND(SUM(AA176:AA177)+AA189,5)</f>
        <v>-22339.5</v>
      </c>
      <c r="AB190" s="678"/>
      <c r="AC190" s="677">
        <f t="shared" si="18"/>
        <v>566874.04</v>
      </c>
      <c r="AD190" s="672"/>
      <c r="AE190" s="672"/>
      <c r="AF190" s="672"/>
      <c r="AG190" s="672"/>
      <c r="AH190" s="672"/>
      <c r="AI190" s="672"/>
      <c r="AJ190" s="672"/>
      <c r="AK190" s="672"/>
    </row>
    <row r="191" spans="1:37">
      <c r="A191" s="676"/>
      <c r="B191" s="676" t="s">
        <v>317</v>
      </c>
      <c r="C191" s="676"/>
      <c r="D191" s="676"/>
      <c r="E191" s="677"/>
      <c r="F191" s="678"/>
      <c r="G191" s="677"/>
      <c r="H191" s="678"/>
      <c r="I191" s="677"/>
      <c r="J191" s="678"/>
      <c r="K191" s="677"/>
      <c r="L191" s="678"/>
      <c r="M191" s="677"/>
      <c r="N191" s="678"/>
      <c r="O191" s="677"/>
      <c r="P191" s="678"/>
      <c r="Q191" s="677"/>
      <c r="R191" s="678"/>
      <c r="S191" s="677"/>
      <c r="T191" s="678"/>
      <c r="U191" s="677"/>
      <c r="V191" s="678"/>
      <c r="W191" s="677"/>
      <c r="X191" s="678"/>
      <c r="Y191" s="677"/>
      <c r="Z191" s="678"/>
      <c r="AA191" s="677"/>
      <c r="AB191" s="678"/>
      <c r="AC191" s="677"/>
      <c r="AD191" s="672"/>
      <c r="AE191" s="672"/>
      <c r="AF191" s="672"/>
      <c r="AG191" s="672"/>
      <c r="AH191" s="672"/>
      <c r="AI191" s="672"/>
      <c r="AJ191" s="672"/>
      <c r="AK191" s="672"/>
    </row>
    <row r="192" spans="1:37">
      <c r="A192" s="676"/>
      <c r="B192" s="676"/>
      <c r="C192" s="676" t="s">
        <v>318</v>
      </c>
      <c r="D192" s="676"/>
      <c r="E192" s="677">
        <v>7043.29</v>
      </c>
      <c r="F192" s="678"/>
      <c r="G192" s="677">
        <v>6672.32</v>
      </c>
      <c r="H192" s="678"/>
      <c r="I192" s="677">
        <v>7220.65</v>
      </c>
      <c r="J192" s="678"/>
      <c r="K192" s="677">
        <v>8378.42</v>
      </c>
      <c r="L192" s="678"/>
      <c r="M192" s="677">
        <v>5086.67</v>
      </c>
      <c r="N192" s="678"/>
      <c r="O192" s="677">
        <v>6057.21</v>
      </c>
      <c r="P192" s="678"/>
      <c r="Q192" s="677">
        <v>5087.38</v>
      </c>
      <c r="R192" s="678"/>
      <c r="S192" s="677">
        <v>6135.34</v>
      </c>
      <c r="T192" s="678"/>
      <c r="U192" s="677">
        <v>5089.88</v>
      </c>
      <c r="V192" s="678"/>
      <c r="W192" s="677">
        <v>5130.54</v>
      </c>
      <c r="X192" s="678"/>
      <c r="Y192" s="677">
        <v>5048.6499999999996</v>
      </c>
      <c r="Z192" s="678"/>
      <c r="AA192" s="677">
        <v>5059.6000000000004</v>
      </c>
      <c r="AB192" s="678"/>
      <c r="AC192" s="677">
        <f t="shared" ref="AC192:AC207" si="19">ROUND(SUM(E192:AA192),5)</f>
        <v>72009.95</v>
      </c>
      <c r="AD192" s="672"/>
      <c r="AE192" s="672"/>
      <c r="AF192" s="672"/>
      <c r="AG192" s="672"/>
      <c r="AH192" s="672"/>
      <c r="AI192" s="672"/>
      <c r="AJ192" s="672"/>
      <c r="AK192" s="672"/>
    </row>
    <row r="193" spans="1:37">
      <c r="A193" s="676"/>
      <c r="B193" s="676"/>
      <c r="C193" s="676" t="s">
        <v>319</v>
      </c>
      <c r="D193" s="676"/>
      <c r="E193" s="677">
        <v>3351.84</v>
      </c>
      <c r="F193" s="678"/>
      <c r="G193" s="677">
        <v>2217.11</v>
      </c>
      <c r="H193" s="678"/>
      <c r="I193" s="677">
        <v>6507.75</v>
      </c>
      <c r="J193" s="678"/>
      <c r="K193" s="677">
        <v>2678.51</v>
      </c>
      <c r="L193" s="678"/>
      <c r="M193" s="677">
        <v>10776.58</v>
      </c>
      <c r="N193" s="678"/>
      <c r="O193" s="677">
        <v>6108.88</v>
      </c>
      <c r="P193" s="678"/>
      <c r="Q193" s="677">
        <v>8803.41</v>
      </c>
      <c r="R193" s="678"/>
      <c r="S193" s="677">
        <v>2485.1999999999998</v>
      </c>
      <c r="T193" s="678"/>
      <c r="U193" s="677">
        <v>4439.4799999999996</v>
      </c>
      <c r="V193" s="678"/>
      <c r="W193" s="677">
        <v>5354.81</v>
      </c>
      <c r="X193" s="678"/>
      <c r="Y193" s="677">
        <v>5558.51</v>
      </c>
      <c r="Z193" s="678"/>
      <c r="AA193" s="677">
        <v>6954.34</v>
      </c>
      <c r="AB193" s="678"/>
      <c r="AC193" s="677">
        <f t="shared" si="19"/>
        <v>65236.42</v>
      </c>
      <c r="AD193" s="672"/>
      <c r="AE193" s="672"/>
      <c r="AF193" s="672"/>
      <c r="AG193" s="672"/>
      <c r="AH193" s="672"/>
      <c r="AI193" s="672"/>
      <c r="AJ193" s="672"/>
      <c r="AK193" s="672"/>
    </row>
    <row r="194" spans="1:37">
      <c r="A194" s="676"/>
      <c r="B194" s="676"/>
      <c r="C194" s="676" t="s">
        <v>320</v>
      </c>
      <c r="D194" s="676"/>
      <c r="E194" s="677">
        <v>70.41</v>
      </c>
      <c r="F194" s="678"/>
      <c r="G194" s="677">
        <v>70.41</v>
      </c>
      <c r="H194" s="678"/>
      <c r="I194" s="677">
        <v>140.82</v>
      </c>
      <c r="J194" s="678"/>
      <c r="K194" s="677">
        <v>70.41</v>
      </c>
      <c r="L194" s="678"/>
      <c r="M194" s="677">
        <v>70.41</v>
      </c>
      <c r="N194" s="678"/>
      <c r="O194" s="677">
        <v>73.930000000000007</v>
      </c>
      <c r="P194" s="678"/>
      <c r="Q194" s="677">
        <v>73.930000000000007</v>
      </c>
      <c r="R194" s="678"/>
      <c r="S194" s="677">
        <v>73.930000000000007</v>
      </c>
      <c r="T194" s="678"/>
      <c r="U194" s="677">
        <v>1119.93</v>
      </c>
      <c r="V194" s="678"/>
      <c r="W194" s="677">
        <v>73.930000000000007</v>
      </c>
      <c r="X194" s="678"/>
      <c r="Y194" s="677">
        <v>73.930000000000007</v>
      </c>
      <c r="Z194" s="678"/>
      <c r="AA194" s="677">
        <v>147.86000000000001</v>
      </c>
      <c r="AB194" s="678"/>
      <c r="AC194" s="677">
        <f t="shared" si="19"/>
        <v>2059.9</v>
      </c>
      <c r="AD194" s="672"/>
      <c r="AE194" s="672"/>
      <c r="AF194" s="672"/>
      <c r="AG194" s="672"/>
      <c r="AH194" s="672"/>
      <c r="AI194" s="672"/>
      <c r="AJ194" s="672"/>
      <c r="AK194" s="672"/>
    </row>
    <row r="195" spans="1:37">
      <c r="A195" s="676"/>
      <c r="B195" s="676"/>
      <c r="C195" s="676" t="s">
        <v>321</v>
      </c>
      <c r="D195" s="676"/>
      <c r="E195" s="677">
        <v>5865.96</v>
      </c>
      <c r="F195" s="678"/>
      <c r="G195" s="677">
        <v>2648.34</v>
      </c>
      <c r="H195" s="678"/>
      <c r="I195" s="677">
        <v>600.36</v>
      </c>
      <c r="J195" s="678"/>
      <c r="K195" s="677">
        <v>609.20000000000005</v>
      </c>
      <c r="L195" s="678"/>
      <c r="M195" s="677">
        <v>5650.34</v>
      </c>
      <c r="N195" s="678"/>
      <c r="O195" s="677">
        <v>589.38</v>
      </c>
      <c r="P195" s="678"/>
      <c r="Q195" s="677">
        <v>609.11</v>
      </c>
      <c r="R195" s="678"/>
      <c r="S195" s="677">
        <v>598.22</v>
      </c>
      <c r="T195" s="678"/>
      <c r="U195" s="677">
        <v>589.38</v>
      </c>
      <c r="V195" s="678"/>
      <c r="W195" s="677">
        <v>589.38</v>
      </c>
      <c r="X195" s="678"/>
      <c r="Y195" s="677">
        <v>589.38</v>
      </c>
      <c r="Z195" s="678"/>
      <c r="AA195" s="677">
        <v>607.04999999999995</v>
      </c>
      <c r="AB195" s="678"/>
      <c r="AC195" s="677">
        <f t="shared" si="19"/>
        <v>19546.099999999999</v>
      </c>
      <c r="AD195" s="672"/>
      <c r="AE195" s="672"/>
      <c r="AF195" s="672"/>
      <c r="AG195" s="672"/>
      <c r="AH195" s="672"/>
      <c r="AI195" s="672"/>
      <c r="AJ195" s="672"/>
      <c r="AK195" s="672"/>
    </row>
    <row r="196" spans="1:37">
      <c r="A196" s="676"/>
      <c r="B196" s="676"/>
      <c r="C196" s="676" t="s">
        <v>322</v>
      </c>
      <c r="D196" s="676"/>
      <c r="E196" s="677">
        <v>9.8699999999999992</v>
      </c>
      <c r="F196" s="678"/>
      <c r="G196" s="677">
        <v>26.13</v>
      </c>
      <c r="H196" s="678"/>
      <c r="I196" s="677">
        <v>0</v>
      </c>
      <c r="J196" s="678"/>
      <c r="K196" s="677">
        <v>26.13</v>
      </c>
      <c r="L196" s="678"/>
      <c r="M196" s="677">
        <v>26.63</v>
      </c>
      <c r="N196" s="678"/>
      <c r="O196" s="677">
        <v>33.76</v>
      </c>
      <c r="P196" s="678"/>
      <c r="Q196" s="677">
        <v>33.76</v>
      </c>
      <c r="R196" s="678"/>
      <c r="S196" s="677">
        <v>71.92</v>
      </c>
      <c r="T196" s="678"/>
      <c r="U196" s="677">
        <v>0</v>
      </c>
      <c r="V196" s="678"/>
      <c r="W196" s="677">
        <v>64.78</v>
      </c>
      <c r="X196" s="678"/>
      <c r="Y196" s="677">
        <v>50.76</v>
      </c>
      <c r="Z196" s="678"/>
      <c r="AA196" s="677">
        <v>40.9</v>
      </c>
      <c r="AB196" s="678"/>
      <c r="AC196" s="677">
        <f t="shared" si="19"/>
        <v>384.64</v>
      </c>
      <c r="AD196" s="672"/>
      <c r="AE196" s="672"/>
      <c r="AF196" s="672"/>
      <c r="AG196" s="672"/>
      <c r="AH196" s="672"/>
      <c r="AI196" s="672"/>
      <c r="AJ196" s="672"/>
      <c r="AK196" s="672"/>
    </row>
    <row r="197" spans="1:37">
      <c r="A197" s="676"/>
      <c r="B197" s="676"/>
      <c r="C197" s="676" t="s">
        <v>323</v>
      </c>
      <c r="D197" s="676"/>
      <c r="E197" s="677">
        <v>0</v>
      </c>
      <c r="F197" s="678"/>
      <c r="G197" s="677">
        <v>0</v>
      </c>
      <c r="H197" s="678"/>
      <c r="I197" s="677">
        <v>0</v>
      </c>
      <c r="J197" s="678"/>
      <c r="K197" s="677">
        <v>1191.68</v>
      </c>
      <c r="L197" s="678"/>
      <c r="M197" s="677">
        <v>0</v>
      </c>
      <c r="N197" s="678"/>
      <c r="O197" s="677">
        <v>0</v>
      </c>
      <c r="P197" s="678"/>
      <c r="Q197" s="677">
        <v>0</v>
      </c>
      <c r="R197" s="678"/>
      <c r="S197" s="677">
        <v>1413.4</v>
      </c>
      <c r="T197" s="678"/>
      <c r="U197" s="677">
        <v>0</v>
      </c>
      <c r="V197" s="678"/>
      <c r="W197" s="677">
        <v>0</v>
      </c>
      <c r="X197" s="678"/>
      <c r="Y197" s="677">
        <v>0</v>
      </c>
      <c r="Z197" s="678"/>
      <c r="AA197" s="677">
        <v>0</v>
      </c>
      <c r="AB197" s="678"/>
      <c r="AC197" s="677">
        <f t="shared" si="19"/>
        <v>2605.08</v>
      </c>
      <c r="AD197" s="672"/>
      <c r="AE197" s="672"/>
      <c r="AF197" s="672"/>
      <c r="AG197" s="672"/>
      <c r="AH197" s="672"/>
      <c r="AI197" s="672"/>
      <c r="AJ197" s="672"/>
      <c r="AK197" s="672"/>
    </row>
    <row r="198" spans="1:37">
      <c r="A198" s="676"/>
      <c r="B198" s="676"/>
      <c r="C198" s="676" t="s">
        <v>324</v>
      </c>
      <c r="D198" s="676"/>
      <c r="E198" s="677">
        <v>0</v>
      </c>
      <c r="F198" s="678"/>
      <c r="G198" s="677">
        <v>0</v>
      </c>
      <c r="H198" s="678"/>
      <c r="I198" s="677">
        <v>291</v>
      </c>
      <c r="J198" s="678"/>
      <c r="K198" s="677">
        <v>0</v>
      </c>
      <c r="L198" s="678"/>
      <c r="M198" s="677">
        <v>0</v>
      </c>
      <c r="N198" s="678"/>
      <c r="O198" s="677">
        <v>0</v>
      </c>
      <c r="P198" s="678"/>
      <c r="Q198" s="677">
        <v>0</v>
      </c>
      <c r="R198" s="678"/>
      <c r="S198" s="677">
        <v>0</v>
      </c>
      <c r="T198" s="678"/>
      <c r="U198" s="677">
        <v>291</v>
      </c>
      <c r="V198" s="678"/>
      <c r="W198" s="677">
        <v>0</v>
      </c>
      <c r="X198" s="678"/>
      <c r="Y198" s="677">
        <v>0</v>
      </c>
      <c r="Z198" s="678"/>
      <c r="AA198" s="677">
        <v>0</v>
      </c>
      <c r="AB198" s="678"/>
      <c r="AC198" s="677">
        <f t="shared" si="19"/>
        <v>582</v>
      </c>
      <c r="AD198" s="672"/>
      <c r="AE198" s="672"/>
      <c r="AF198" s="672"/>
      <c r="AG198" s="672"/>
      <c r="AH198" s="672"/>
      <c r="AI198" s="672"/>
      <c r="AJ198" s="672"/>
      <c r="AK198" s="672"/>
    </row>
    <row r="199" spans="1:37">
      <c r="A199" s="676"/>
      <c r="B199" s="676"/>
      <c r="C199" s="676" t="s">
        <v>325</v>
      </c>
      <c r="D199" s="676"/>
      <c r="E199" s="677">
        <v>-4576.1899999999996</v>
      </c>
      <c r="F199" s="678"/>
      <c r="G199" s="677">
        <v>0</v>
      </c>
      <c r="H199" s="678"/>
      <c r="I199" s="677">
        <v>2413.4</v>
      </c>
      <c r="J199" s="678"/>
      <c r="K199" s="677">
        <v>0</v>
      </c>
      <c r="L199" s="678"/>
      <c r="M199" s="677">
        <v>871.45</v>
      </c>
      <c r="N199" s="678"/>
      <c r="O199" s="677">
        <v>1180.0999999999999</v>
      </c>
      <c r="P199" s="678"/>
      <c r="Q199" s="677">
        <v>0</v>
      </c>
      <c r="R199" s="678"/>
      <c r="S199" s="677">
        <v>130.54</v>
      </c>
      <c r="T199" s="678"/>
      <c r="U199" s="677">
        <v>0</v>
      </c>
      <c r="V199" s="678"/>
      <c r="W199" s="677">
        <v>701.82</v>
      </c>
      <c r="X199" s="678"/>
      <c r="Y199" s="677">
        <v>71.66</v>
      </c>
      <c r="Z199" s="678"/>
      <c r="AA199" s="677">
        <v>1644.93</v>
      </c>
      <c r="AB199" s="678"/>
      <c r="AC199" s="677">
        <f t="shared" si="19"/>
        <v>2437.71</v>
      </c>
      <c r="AD199" s="672"/>
      <c r="AE199" s="672"/>
      <c r="AF199" s="672"/>
      <c r="AG199" s="672"/>
      <c r="AH199" s="672"/>
      <c r="AI199" s="672"/>
      <c r="AJ199" s="672"/>
      <c r="AK199" s="672"/>
    </row>
    <row r="200" spans="1:37">
      <c r="A200" s="676"/>
      <c r="B200" s="676"/>
      <c r="C200" s="676" t="s">
        <v>326</v>
      </c>
      <c r="D200" s="676"/>
      <c r="E200" s="677">
        <v>420</v>
      </c>
      <c r="F200" s="678"/>
      <c r="G200" s="677">
        <v>0</v>
      </c>
      <c r="H200" s="678"/>
      <c r="I200" s="677">
        <v>0</v>
      </c>
      <c r="J200" s="678"/>
      <c r="K200" s="677">
        <v>700</v>
      </c>
      <c r="L200" s="678"/>
      <c r="M200" s="677">
        <v>3565.25</v>
      </c>
      <c r="N200" s="678"/>
      <c r="O200" s="677">
        <v>250</v>
      </c>
      <c r="P200" s="678"/>
      <c r="Q200" s="677">
        <v>362.5</v>
      </c>
      <c r="R200" s="678"/>
      <c r="S200" s="677">
        <v>0</v>
      </c>
      <c r="T200" s="678"/>
      <c r="U200" s="677">
        <v>674.66</v>
      </c>
      <c r="V200" s="678"/>
      <c r="W200" s="677">
        <v>0</v>
      </c>
      <c r="X200" s="678"/>
      <c r="Y200" s="677">
        <v>400</v>
      </c>
      <c r="Z200" s="678"/>
      <c r="AA200" s="677">
        <v>500</v>
      </c>
      <c r="AB200" s="678"/>
      <c r="AC200" s="677">
        <f t="shared" si="19"/>
        <v>6872.41</v>
      </c>
      <c r="AD200" s="672"/>
      <c r="AE200" s="672"/>
      <c r="AF200" s="672"/>
      <c r="AG200" s="672"/>
      <c r="AH200" s="672"/>
      <c r="AI200" s="672"/>
      <c r="AJ200" s="672"/>
      <c r="AK200" s="672"/>
    </row>
    <row r="201" spans="1:37">
      <c r="A201" s="676"/>
      <c r="B201" s="676"/>
      <c r="C201" s="676" t="s">
        <v>327</v>
      </c>
      <c r="D201" s="676"/>
      <c r="E201" s="677">
        <v>3344.25</v>
      </c>
      <c r="F201" s="678"/>
      <c r="G201" s="677">
        <v>4718.0600000000004</v>
      </c>
      <c r="H201" s="678"/>
      <c r="I201" s="677">
        <v>4114.8100000000004</v>
      </c>
      <c r="J201" s="678"/>
      <c r="K201" s="677">
        <v>5299.94</v>
      </c>
      <c r="L201" s="678"/>
      <c r="M201" s="677">
        <v>8073.49</v>
      </c>
      <c r="N201" s="678"/>
      <c r="O201" s="677">
        <v>8802.44</v>
      </c>
      <c r="P201" s="678"/>
      <c r="Q201" s="677">
        <v>12833.86</v>
      </c>
      <c r="R201" s="678"/>
      <c r="S201" s="677">
        <v>11039.56</v>
      </c>
      <c r="T201" s="678"/>
      <c r="U201" s="677">
        <v>-2291.89</v>
      </c>
      <c r="V201" s="678"/>
      <c r="W201" s="677">
        <v>772.89</v>
      </c>
      <c r="X201" s="678"/>
      <c r="Y201" s="677">
        <v>955.64</v>
      </c>
      <c r="Z201" s="678"/>
      <c r="AA201" s="677">
        <v>733.9</v>
      </c>
      <c r="AB201" s="678"/>
      <c r="AC201" s="677">
        <f t="shared" si="19"/>
        <v>58396.95</v>
      </c>
      <c r="AD201" s="672"/>
      <c r="AE201" s="672"/>
      <c r="AF201" s="672"/>
      <c r="AG201" s="672"/>
      <c r="AH201" s="672"/>
      <c r="AI201" s="672"/>
      <c r="AJ201" s="672"/>
      <c r="AK201" s="672"/>
    </row>
    <row r="202" spans="1:37">
      <c r="A202" s="676"/>
      <c r="B202" s="676"/>
      <c r="C202" s="676" t="s">
        <v>328</v>
      </c>
      <c r="D202" s="676"/>
      <c r="E202" s="677">
        <v>0</v>
      </c>
      <c r="F202" s="678"/>
      <c r="G202" s="677">
        <v>1653.5</v>
      </c>
      <c r="H202" s="678"/>
      <c r="I202" s="677">
        <v>773.5</v>
      </c>
      <c r="J202" s="678"/>
      <c r="K202" s="677">
        <v>0</v>
      </c>
      <c r="L202" s="678"/>
      <c r="M202" s="677">
        <v>0</v>
      </c>
      <c r="N202" s="678"/>
      <c r="O202" s="677">
        <v>0</v>
      </c>
      <c r="P202" s="678"/>
      <c r="Q202" s="677">
        <v>0</v>
      </c>
      <c r="R202" s="678"/>
      <c r="S202" s="677">
        <v>0</v>
      </c>
      <c r="T202" s="678"/>
      <c r="U202" s="677">
        <v>0</v>
      </c>
      <c r="V202" s="678"/>
      <c r="W202" s="677">
        <v>0</v>
      </c>
      <c r="X202" s="678"/>
      <c r="Y202" s="677">
        <v>0</v>
      </c>
      <c r="Z202" s="678"/>
      <c r="AA202" s="677">
        <v>432</v>
      </c>
      <c r="AB202" s="678"/>
      <c r="AC202" s="677">
        <f t="shared" si="19"/>
        <v>2859</v>
      </c>
      <c r="AD202" s="672"/>
      <c r="AE202" s="672"/>
      <c r="AF202" s="672"/>
      <c r="AG202" s="672"/>
      <c r="AH202" s="672"/>
      <c r="AI202" s="672"/>
      <c r="AJ202" s="672"/>
      <c r="AK202" s="672"/>
    </row>
    <row r="203" spans="1:37">
      <c r="A203" s="676"/>
      <c r="B203" s="676"/>
      <c r="C203" s="676" t="s">
        <v>329</v>
      </c>
      <c r="D203" s="676"/>
      <c r="E203" s="677">
        <v>1555</v>
      </c>
      <c r="F203" s="678"/>
      <c r="G203" s="677">
        <v>2825</v>
      </c>
      <c r="H203" s="678"/>
      <c r="I203" s="677">
        <v>3325</v>
      </c>
      <c r="J203" s="678"/>
      <c r="K203" s="677">
        <v>2751</v>
      </c>
      <c r="L203" s="678"/>
      <c r="M203" s="677">
        <v>1920</v>
      </c>
      <c r="N203" s="678"/>
      <c r="O203" s="677">
        <v>1885</v>
      </c>
      <c r="P203" s="678"/>
      <c r="Q203" s="677">
        <v>1610.85</v>
      </c>
      <c r="R203" s="678"/>
      <c r="S203" s="677">
        <v>1475</v>
      </c>
      <c r="T203" s="678"/>
      <c r="U203" s="677">
        <v>1600</v>
      </c>
      <c r="V203" s="678"/>
      <c r="W203" s="677">
        <v>975</v>
      </c>
      <c r="X203" s="678"/>
      <c r="Y203" s="677">
        <v>350</v>
      </c>
      <c r="Z203" s="678"/>
      <c r="AA203" s="677">
        <v>975</v>
      </c>
      <c r="AB203" s="678"/>
      <c r="AC203" s="677">
        <f t="shared" si="19"/>
        <v>21246.85</v>
      </c>
      <c r="AD203" s="672"/>
      <c r="AE203" s="672"/>
      <c r="AF203" s="672"/>
      <c r="AG203" s="672"/>
      <c r="AH203" s="672"/>
      <c r="AI203" s="672"/>
      <c r="AJ203" s="672"/>
      <c r="AK203" s="672"/>
    </row>
    <row r="204" spans="1:37">
      <c r="A204" s="676"/>
      <c r="B204" s="676"/>
      <c r="C204" s="676" t="s">
        <v>330</v>
      </c>
      <c r="D204" s="676"/>
      <c r="E204" s="677">
        <v>773.22</v>
      </c>
      <c r="F204" s="678"/>
      <c r="G204" s="677">
        <v>253.03</v>
      </c>
      <c r="H204" s="678"/>
      <c r="I204" s="677">
        <v>1039.74</v>
      </c>
      <c r="J204" s="678"/>
      <c r="K204" s="677">
        <v>927.85</v>
      </c>
      <c r="L204" s="678"/>
      <c r="M204" s="677">
        <v>1521.85</v>
      </c>
      <c r="N204" s="678"/>
      <c r="O204" s="677">
        <v>1039.74</v>
      </c>
      <c r="P204" s="678"/>
      <c r="Q204" s="677">
        <v>927.85</v>
      </c>
      <c r="R204" s="678"/>
      <c r="S204" s="677">
        <v>927.85</v>
      </c>
      <c r="T204" s="678"/>
      <c r="U204" s="677">
        <v>1039.74</v>
      </c>
      <c r="V204" s="678"/>
      <c r="W204" s="677">
        <v>927.85</v>
      </c>
      <c r="X204" s="678"/>
      <c r="Y204" s="677">
        <v>927.85</v>
      </c>
      <c r="Z204" s="678"/>
      <c r="AA204" s="677">
        <v>1039.74</v>
      </c>
      <c r="AB204" s="678"/>
      <c r="AC204" s="677">
        <f t="shared" si="19"/>
        <v>11346.31</v>
      </c>
      <c r="AD204" s="672"/>
      <c r="AE204" s="672"/>
      <c r="AF204" s="672"/>
      <c r="AG204" s="672"/>
      <c r="AH204" s="672"/>
      <c r="AI204" s="672"/>
      <c r="AJ204" s="672"/>
      <c r="AK204" s="672"/>
    </row>
    <row r="205" spans="1:37">
      <c r="A205" s="676"/>
      <c r="B205" s="676"/>
      <c r="C205" s="676" t="s">
        <v>331</v>
      </c>
      <c r="D205" s="676"/>
      <c r="E205" s="677">
        <v>0</v>
      </c>
      <c r="F205" s="678"/>
      <c r="G205" s="677">
        <v>0</v>
      </c>
      <c r="H205" s="678"/>
      <c r="I205" s="677">
        <v>0</v>
      </c>
      <c r="J205" s="678"/>
      <c r="K205" s="677">
        <v>0</v>
      </c>
      <c r="L205" s="678"/>
      <c r="M205" s="677">
        <v>0</v>
      </c>
      <c r="N205" s="678"/>
      <c r="O205" s="677">
        <v>2000</v>
      </c>
      <c r="P205" s="678"/>
      <c r="Q205" s="677">
        <v>1495</v>
      </c>
      <c r="R205" s="678"/>
      <c r="S205" s="677">
        <v>0</v>
      </c>
      <c r="T205" s="678"/>
      <c r="U205" s="677">
        <v>257.8</v>
      </c>
      <c r="V205" s="678"/>
      <c r="W205" s="677">
        <v>0</v>
      </c>
      <c r="X205" s="678"/>
      <c r="Y205" s="677">
        <v>304</v>
      </c>
      <c r="Z205" s="678"/>
      <c r="AA205" s="677">
        <v>719</v>
      </c>
      <c r="AB205" s="678"/>
      <c r="AC205" s="677">
        <f t="shared" si="19"/>
        <v>4775.8</v>
      </c>
      <c r="AD205" s="672"/>
      <c r="AE205" s="672"/>
      <c r="AF205" s="672"/>
      <c r="AG205" s="672"/>
      <c r="AH205" s="672"/>
      <c r="AI205" s="672"/>
      <c r="AJ205" s="672"/>
      <c r="AK205" s="672"/>
    </row>
    <row r="206" spans="1:37" ht="15.75" thickBot="1">
      <c r="A206" s="676"/>
      <c r="B206" s="676"/>
      <c r="C206" s="676" t="s">
        <v>332</v>
      </c>
      <c r="D206" s="676"/>
      <c r="E206" s="680">
        <v>0</v>
      </c>
      <c r="F206" s="678"/>
      <c r="G206" s="680">
        <v>0</v>
      </c>
      <c r="H206" s="678"/>
      <c r="I206" s="680">
        <v>0</v>
      </c>
      <c r="J206" s="678"/>
      <c r="K206" s="680">
        <v>0</v>
      </c>
      <c r="L206" s="678"/>
      <c r="M206" s="680">
        <v>0</v>
      </c>
      <c r="N206" s="678"/>
      <c r="O206" s="680">
        <v>0</v>
      </c>
      <c r="P206" s="678"/>
      <c r="Q206" s="680">
        <v>18</v>
      </c>
      <c r="R206" s="678"/>
      <c r="S206" s="680">
        <v>0</v>
      </c>
      <c r="T206" s="678"/>
      <c r="U206" s="680">
        <v>245.36</v>
      </c>
      <c r="V206" s="678"/>
      <c r="W206" s="680">
        <v>0</v>
      </c>
      <c r="X206" s="678"/>
      <c r="Y206" s="680">
        <v>0</v>
      </c>
      <c r="Z206" s="678"/>
      <c r="AA206" s="680">
        <v>0</v>
      </c>
      <c r="AB206" s="678"/>
      <c r="AC206" s="680">
        <f t="shared" si="19"/>
        <v>263.36</v>
      </c>
      <c r="AD206" s="672"/>
      <c r="AE206" s="672"/>
      <c r="AF206" s="672"/>
      <c r="AG206" s="672"/>
      <c r="AH206" s="672"/>
      <c r="AI206" s="672"/>
      <c r="AJ206" s="672"/>
      <c r="AK206" s="672"/>
    </row>
    <row r="207" spans="1:37">
      <c r="A207" s="676"/>
      <c r="B207" s="676" t="s">
        <v>333</v>
      </c>
      <c r="C207" s="676"/>
      <c r="D207" s="676"/>
      <c r="E207" s="677">
        <f>ROUND(SUM(E191:E206),5)</f>
        <v>17857.650000000001</v>
      </c>
      <c r="F207" s="678"/>
      <c r="G207" s="677">
        <f>ROUND(SUM(G191:G206),5)</f>
        <v>21083.9</v>
      </c>
      <c r="H207" s="678"/>
      <c r="I207" s="677">
        <f>ROUND(SUM(I191:I206),5)</f>
        <v>26427.03</v>
      </c>
      <c r="J207" s="678"/>
      <c r="K207" s="677">
        <f>ROUND(SUM(K191:K206),5)</f>
        <v>22633.14</v>
      </c>
      <c r="L207" s="678"/>
      <c r="M207" s="677">
        <f>ROUND(SUM(M191:M206),5)</f>
        <v>37562.67</v>
      </c>
      <c r="N207" s="678"/>
      <c r="O207" s="677">
        <f>ROUND(SUM(O191:O206),5)</f>
        <v>28020.44</v>
      </c>
      <c r="P207" s="678"/>
      <c r="Q207" s="677">
        <f>ROUND(SUM(Q191:Q206),5)</f>
        <v>31855.65</v>
      </c>
      <c r="R207" s="678"/>
      <c r="S207" s="677">
        <f>ROUND(SUM(S191:S206),5)</f>
        <v>24350.959999999999</v>
      </c>
      <c r="T207" s="678"/>
      <c r="U207" s="677">
        <f>ROUND(SUM(U191:U206),5)</f>
        <v>13055.34</v>
      </c>
      <c r="V207" s="678"/>
      <c r="W207" s="677">
        <f>ROUND(SUM(W191:W206),5)</f>
        <v>14591</v>
      </c>
      <c r="X207" s="678"/>
      <c r="Y207" s="677">
        <f>ROUND(SUM(Y191:Y206),5)</f>
        <v>14330.38</v>
      </c>
      <c r="Z207" s="678"/>
      <c r="AA207" s="677">
        <f>ROUND(SUM(AA191:AA206),5)</f>
        <v>18854.32</v>
      </c>
      <c r="AB207" s="678"/>
      <c r="AC207" s="677">
        <f t="shared" si="19"/>
        <v>270622.48</v>
      </c>
      <c r="AD207" s="672"/>
      <c r="AE207" s="672"/>
      <c r="AF207" s="672"/>
      <c r="AG207" s="672"/>
      <c r="AH207" s="672"/>
      <c r="AI207" s="672"/>
      <c r="AJ207" s="672"/>
      <c r="AK207" s="672"/>
    </row>
    <row r="208" spans="1:37">
      <c r="A208" s="676"/>
      <c r="B208" s="676" t="s">
        <v>334</v>
      </c>
      <c r="C208" s="676"/>
      <c r="D208" s="676"/>
      <c r="E208" s="677"/>
      <c r="F208" s="678"/>
      <c r="G208" s="677"/>
      <c r="H208" s="678"/>
      <c r="I208" s="677"/>
      <c r="J208" s="678"/>
      <c r="K208" s="677"/>
      <c r="L208" s="678"/>
      <c r="M208" s="677"/>
      <c r="N208" s="678"/>
      <c r="O208" s="677"/>
      <c r="P208" s="678"/>
      <c r="Q208" s="677"/>
      <c r="R208" s="678"/>
      <c r="S208" s="677"/>
      <c r="T208" s="678"/>
      <c r="U208" s="677"/>
      <c r="V208" s="678"/>
      <c r="W208" s="677"/>
      <c r="X208" s="678"/>
      <c r="Y208" s="677"/>
      <c r="Z208" s="678"/>
      <c r="AA208" s="677"/>
      <c r="AB208" s="678"/>
      <c r="AC208" s="677"/>
      <c r="AD208" s="672"/>
      <c r="AE208" s="672"/>
      <c r="AF208" s="672"/>
      <c r="AG208" s="672"/>
      <c r="AH208" s="672"/>
      <c r="AI208" s="672"/>
      <c r="AJ208" s="672"/>
      <c r="AK208" s="672"/>
    </row>
    <row r="209" spans="1:37">
      <c r="A209" s="676"/>
      <c r="B209" s="676"/>
      <c r="C209" s="676" t="s">
        <v>335</v>
      </c>
      <c r="D209" s="676"/>
      <c r="E209" s="677">
        <v>5392.11</v>
      </c>
      <c r="F209" s="678"/>
      <c r="G209" s="677">
        <v>3351.64</v>
      </c>
      <c r="H209" s="678"/>
      <c r="I209" s="677">
        <v>3361.16</v>
      </c>
      <c r="J209" s="678"/>
      <c r="K209" s="677">
        <v>3365.41</v>
      </c>
      <c r="L209" s="678"/>
      <c r="M209" s="677">
        <v>3631.62</v>
      </c>
      <c r="N209" s="678"/>
      <c r="O209" s="677">
        <v>3419.43</v>
      </c>
      <c r="P209" s="678"/>
      <c r="Q209" s="677">
        <v>4451.67</v>
      </c>
      <c r="R209" s="678"/>
      <c r="S209" s="677">
        <v>3661.57</v>
      </c>
      <c r="T209" s="678"/>
      <c r="U209" s="677">
        <v>3925.67</v>
      </c>
      <c r="V209" s="678"/>
      <c r="W209" s="677">
        <v>3225.57</v>
      </c>
      <c r="X209" s="678"/>
      <c r="Y209" s="677">
        <v>3293.36</v>
      </c>
      <c r="Z209" s="678"/>
      <c r="AA209" s="677">
        <v>4061.16</v>
      </c>
      <c r="AB209" s="678"/>
      <c r="AC209" s="677">
        <f t="shared" ref="AC209:AC214" si="20">ROUND(SUM(E209:AA209),5)</f>
        <v>45140.37</v>
      </c>
      <c r="AD209" s="672"/>
      <c r="AE209" s="672"/>
      <c r="AF209" s="672"/>
      <c r="AG209" s="672"/>
      <c r="AH209" s="672"/>
      <c r="AI209" s="672"/>
      <c r="AJ209" s="672"/>
      <c r="AK209" s="672"/>
    </row>
    <row r="210" spans="1:37">
      <c r="A210" s="676"/>
      <c r="B210" s="676"/>
      <c r="C210" s="676" t="s">
        <v>336</v>
      </c>
      <c r="D210" s="676"/>
      <c r="E210" s="677">
        <v>6061.34</v>
      </c>
      <c r="F210" s="678"/>
      <c r="G210" s="677">
        <v>4785.55</v>
      </c>
      <c r="H210" s="678"/>
      <c r="I210" s="677">
        <v>2764.56</v>
      </c>
      <c r="J210" s="678"/>
      <c r="K210" s="677">
        <v>15235.78</v>
      </c>
      <c r="L210" s="678"/>
      <c r="M210" s="677">
        <v>-2636.25</v>
      </c>
      <c r="N210" s="678"/>
      <c r="O210" s="677">
        <v>-34550.83</v>
      </c>
      <c r="P210" s="678"/>
      <c r="Q210" s="677">
        <v>-1047.55</v>
      </c>
      <c r="R210" s="678"/>
      <c r="S210" s="677">
        <v>5533.45</v>
      </c>
      <c r="T210" s="678"/>
      <c r="U210" s="677">
        <v>9025.59</v>
      </c>
      <c r="V210" s="678"/>
      <c r="W210" s="677">
        <v>614.85</v>
      </c>
      <c r="X210" s="678"/>
      <c r="Y210" s="677">
        <v>11794.04</v>
      </c>
      <c r="Z210" s="678"/>
      <c r="AA210" s="677">
        <v>5644.86</v>
      </c>
      <c r="AB210" s="678"/>
      <c r="AC210" s="677">
        <f t="shared" si="20"/>
        <v>23225.39</v>
      </c>
      <c r="AD210" s="672"/>
      <c r="AE210" s="672"/>
      <c r="AF210" s="672"/>
      <c r="AG210" s="672"/>
      <c r="AH210" s="672"/>
      <c r="AI210" s="672"/>
      <c r="AJ210" s="672"/>
      <c r="AK210" s="672"/>
    </row>
    <row r="211" spans="1:37">
      <c r="A211" s="676"/>
      <c r="B211" s="676"/>
      <c r="C211" s="676" t="s">
        <v>337</v>
      </c>
      <c r="D211" s="676"/>
      <c r="E211" s="677">
        <v>100</v>
      </c>
      <c r="F211" s="678"/>
      <c r="G211" s="677">
        <v>70</v>
      </c>
      <c r="H211" s="678"/>
      <c r="I211" s="677">
        <v>45</v>
      </c>
      <c r="J211" s="678"/>
      <c r="K211" s="677">
        <v>0</v>
      </c>
      <c r="L211" s="678"/>
      <c r="M211" s="677">
        <v>654</v>
      </c>
      <c r="N211" s="678"/>
      <c r="O211" s="677">
        <v>109</v>
      </c>
      <c r="P211" s="678"/>
      <c r="Q211" s="677">
        <v>70</v>
      </c>
      <c r="R211" s="678"/>
      <c r="S211" s="677">
        <v>100</v>
      </c>
      <c r="T211" s="678"/>
      <c r="U211" s="677">
        <v>0</v>
      </c>
      <c r="V211" s="678"/>
      <c r="W211" s="677">
        <v>220</v>
      </c>
      <c r="X211" s="678"/>
      <c r="Y211" s="677">
        <v>109</v>
      </c>
      <c r="Z211" s="678"/>
      <c r="AA211" s="677">
        <v>878</v>
      </c>
      <c r="AB211" s="678"/>
      <c r="AC211" s="677">
        <f t="shared" si="20"/>
        <v>2355</v>
      </c>
      <c r="AD211" s="672"/>
      <c r="AE211" s="672"/>
      <c r="AF211" s="672"/>
      <c r="AG211" s="672"/>
      <c r="AH211" s="672"/>
      <c r="AI211" s="672"/>
      <c r="AJ211" s="672"/>
      <c r="AK211" s="672"/>
    </row>
    <row r="212" spans="1:37">
      <c r="A212" s="676"/>
      <c r="B212" s="676"/>
      <c r="C212" s="676" t="s">
        <v>338</v>
      </c>
      <c r="D212" s="676"/>
      <c r="E212" s="677">
        <v>638</v>
      </c>
      <c r="F212" s="678"/>
      <c r="G212" s="677">
        <v>0</v>
      </c>
      <c r="H212" s="678"/>
      <c r="I212" s="677">
        <v>2524.9699999999998</v>
      </c>
      <c r="J212" s="678"/>
      <c r="K212" s="677">
        <v>0</v>
      </c>
      <c r="L212" s="678"/>
      <c r="M212" s="677">
        <v>0</v>
      </c>
      <c r="N212" s="678"/>
      <c r="O212" s="677">
        <v>0</v>
      </c>
      <c r="P212" s="678"/>
      <c r="Q212" s="677">
        <v>0</v>
      </c>
      <c r="R212" s="678"/>
      <c r="S212" s="677">
        <v>0</v>
      </c>
      <c r="T212" s="678"/>
      <c r="U212" s="677">
        <v>0</v>
      </c>
      <c r="V212" s="678"/>
      <c r="W212" s="677">
        <v>0</v>
      </c>
      <c r="X212" s="678"/>
      <c r="Y212" s="677">
        <v>0</v>
      </c>
      <c r="Z212" s="678"/>
      <c r="AA212" s="677">
        <v>0</v>
      </c>
      <c r="AB212" s="678"/>
      <c r="AC212" s="677">
        <f t="shared" si="20"/>
        <v>3162.97</v>
      </c>
      <c r="AD212" s="672"/>
      <c r="AE212" s="672"/>
      <c r="AF212" s="672"/>
      <c r="AG212" s="672"/>
      <c r="AH212" s="672"/>
      <c r="AI212" s="672"/>
      <c r="AJ212" s="672"/>
      <c r="AK212" s="672"/>
    </row>
    <row r="213" spans="1:37" ht="15.75" thickBot="1">
      <c r="A213" s="676"/>
      <c r="B213" s="676"/>
      <c r="C213" s="676" t="s">
        <v>339</v>
      </c>
      <c r="D213" s="676"/>
      <c r="E213" s="680">
        <v>0</v>
      </c>
      <c r="F213" s="678"/>
      <c r="G213" s="680">
        <v>0</v>
      </c>
      <c r="H213" s="678"/>
      <c r="I213" s="680">
        <v>0</v>
      </c>
      <c r="J213" s="678"/>
      <c r="K213" s="680">
        <v>0</v>
      </c>
      <c r="L213" s="678"/>
      <c r="M213" s="680">
        <v>0</v>
      </c>
      <c r="N213" s="678"/>
      <c r="O213" s="680">
        <v>0</v>
      </c>
      <c r="P213" s="678"/>
      <c r="Q213" s="680">
        <v>2296.63</v>
      </c>
      <c r="R213" s="678"/>
      <c r="S213" s="680">
        <v>787.5</v>
      </c>
      <c r="T213" s="678"/>
      <c r="U213" s="680">
        <v>0</v>
      </c>
      <c r="V213" s="678"/>
      <c r="W213" s="680">
        <v>2270.17</v>
      </c>
      <c r="X213" s="678"/>
      <c r="Y213" s="680">
        <v>0</v>
      </c>
      <c r="Z213" s="678"/>
      <c r="AA213" s="680">
        <v>0</v>
      </c>
      <c r="AB213" s="678"/>
      <c r="AC213" s="680">
        <f t="shared" si="20"/>
        <v>5354.3</v>
      </c>
      <c r="AD213" s="672"/>
      <c r="AE213" s="672"/>
      <c r="AF213" s="672"/>
      <c r="AG213" s="672"/>
      <c r="AH213" s="672"/>
      <c r="AI213" s="672"/>
      <c r="AJ213" s="672"/>
      <c r="AK213" s="672"/>
    </row>
    <row r="214" spans="1:37">
      <c r="A214" s="676"/>
      <c r="B214" s="676" t="s">
        <v>340</v>
      </c>
      <c r="C214" s="676"/>
      <c r="D214" s="676"/>
      <c r="E214" s="677">
        <f>ROUND(SUM(E208:E213),5)</f>
        <v>12191.45</v>
      </c>
      <c r="F214" s="678"/>
      <c r="G214" s="677">
        <f>ROUND(SUM(G208:G213),5)</f>
        <v>8207.19</v>
      </c>
      <c r="H214" s="678"/>
      <c r="I214" s="677">
        <f>ROUND(SUM(I208:I213),5)</f>
        <v>8695.69</v>
      </c>
      <c r="J214" s="678"/>
      <c r="K214" s="677">
        <f>ROUND(SUM(K208:K213),5)</f>
        <v>18601.189999999999</v>
      </c>
      <c r="L214" s="678"/>
      <c r="M214" s="677">
        <f>ROUND(SUM(M208:M213),5)</f>
        <v>1649.37</v>
      </c>
      <c r="N214" s="678"/>
      <c r="O214" s="677">
        <f>ROUND(SUM(O208:O213),5)</f>
        <v>-31022.400000000001</v>
      </c>
      <c r="P214" s="678"/>
      <c r="Q214" s="677">
        <f>ROUND(SUM(Q208:Q213),5)</f>
        <v>5770.75</v>
      </c>
      <c r="R214" s="678"/>
      <c r="S214" s="677">
        <f>ROUND(SUM(S208:S213),5)</f>
        <v>10082.52</v>
      </c>
      <c r="T214" s="678"/>
      <c r="U214" s="677">
        <f>ROUND(SUM(U208:U213),5)</f>
        <v>12951.26</v>
      </c>
      <c r="V214" s="678"/>
      <c r="W214" s="677">
        <f>ROUND(SUM(W208:W213),5)</f>
        <v>6330.59</v>
      </c>
      <c r="X214" s="678"/>
      <c r="Y214" s="677">
        <f>ROUND(SUM(Y208:Y213),5)</f>
        <v>15196.4</v>
      </c>
      <c r="Z214" s="678"/>
      <c r="AA214" s="677">
        <f>ROUND(SUM(AA208:AA213),5)</f>
        <v>10584.02</v>
      </c>
      <c r="AB214" s="678"/>
      <c r="AC214" s="677">
        <f t="shared" si="20"/>
        <v>79238.03</v>
      </c>
      <c r="AD214" s="672"/>
      <c r="AE214" s="672"/>
      <c r="AF214" s="672"/>
      <c r="AG214" s="672"/>
      <c r="AH214" s="672"/>
      <c r="AI214" s="672"/>
      <c r="AJ214" s="672"/>
      <c r="AK214" s="672"/>
    </row>
    <row r="215" spans="1:37">
      <c r="A215" s="676"/>
      <c r="B215" s="676" t="s">
        <v>341</v>
      </c>
      <c r="C215" s="676"/>
      <c r="D215" s="676"/>
      <c r="E215" s="677"/>
      <c r="F215" s="678"/>
      <c r="G215" s="677"/>
      <c r="H215" s="678"/>
      <c r="I215" s="677"/>
      <c r="J215" s="678"/>
      <c r="K215" s="677"/>
      <c r="L215" s="678"/>
      <c r="M215" s="677"/>
      <c r="N215" s="678"/>
      <c r="O215" s="677"/>
      <c r="P215" s="678"/>
      <c r="Q215" s="677"/>
      <c r="R215" s="678"/>
      <c r="S215" s="677"/>
      <c r="T215" s="678"/>
      <c r="U215" s="677"/>
      <c r="V215" s="678"/>
      <c r="W215" s="677"/>
      <c r="X215" s="678"/>
      <c r="Y215" s="677"/>
      <c r="Z215" s="678"/>
      <c r="AA215" s="677"/>
      <c r="AB215" s="678"/>
      <c r="AC215" s="677"/>
      <c r="AD215" s="672"/>
      <c r="AE215" s="672"/>
      <c r="AF215" s="672"/>
      <c r="AG215" s="672"/>
      <c r="AH215" s="672"/>
      <c r="AI215" s="672"/>
      <c r="AJ215" s="672"/>
      <c r="AK215" s="672"/>
    </row>
    <row r="216" spans="1:37">
      <c r="A216" s="676"/>
      <c r="B216" s="676"/>
      <c r="C216" s="676" t="s">
        <v>342</v>
      </c>
      <c r="D216" s="676"/>
      <c r="E216" s="677">
        <v>151.05000000000001</v>
      </c>
      <c r="F216" s="678"/>
      <c r="G216" s="677">
        <v>-865.19</v>
      </c>
      <c r="H216" s="678"/>
      <c r="I216" s="677">
        <v>183.87</v>
      </c>
      <c r="J216" s="678"/>
      <c r="K216" s="677">
        <v>140.83000000000001</v>
      </c>
      <c r="L216" s="678"/>
      <c r="M216" s="677">
        <v>23.49</v>
      </c>
      <c r="N216" s="678"/>
      <c r="O216" s="677">
        <v>22.02</v>
      </c>
      <c r="P216" s="678"/>
      <c r="Q216" s="677">
        <v>22.02</v>
      </c>
      <c r="R216" s="678"/>
      <c r="S216" s="677">
        <v>22.02</v>
      </c>
      <c r="T216" s="678"/>
      <c r="U216" s="677">
        <v>71.58</v>
      </c>
      <c r="V216" s="678"/>
      <c r="W216" s="677">
        <v>788.24</v>
      </c>
      <c r="X216" s="678"/>
      <c r="Y216" s="677">
        <v>157.22</v>
      </c>
      <c r="Z216" s="678"/>
      <c r="AA216" s="677">
        <v>150.55000000000001</v>
      </c>
      <c r="AB216" s="678"/>
      <c r="AC216" s="677">
        <f t="shared" ref="AC216:AC221" si="21">ROUND(SUM(E216:AA216),5)</f>
        <v>867.7</v>
      </c>
      <c r="AD216" s="672"/>
      <c r="AE216" s="672"/>
      <c r="AF216" s="672"/>
      <c r="AG216" s="672"/>
      <c r="AH216" s="672"/>
      <c r="AI216" s="672"/>
      <c r="AJ216" s="672"/>
      <c r="AK216" s="672"/>
    </row>
    <row r="217" spans="1:37">
      <c r="A217" s="676"/>
      <c r="B217" s="676"/>
      <c r="C217" s="676" t="s">
        <v>343</v>
      </c>
      <c r="D217" s="676"/>
      <c r="E217" s="677">
        <v>1279.02</v>
      </c>
      <c r="F217" s="678"/>
      <c r="G217" s="677">
        <v>1896.71</v>
      </c>
      <c r="H217" s="678"/>
      <c r="I217" s="677">
        <v>1591.6</v>
      </c>
      <c r="J217" s="678"/>
      <c r="K217" s="677">
        <v>689.45</v>
      </c>
      <c r="L217" s="678"/>
      <c r="M217" s="677">
        <v>1622.02</v>
      </c>
      <c r="N217" s="678"/>
      <c r="O217" s="677">
        <v>1391.86</v>
      </c>
      <c r="P217" s="678"/>
      <c r="Q217" s="677">
        <v>2267.52</v>
      </c>
      <c r="R217" s="678"/>
      <c r="S217" s="677">
        <v>1641</v>
      </c>
      <c r="T217" s="678"/>
      <c r="U217" s="677">
        <v>559.86</v>
      </c>
      <c r="V217" s="678"/>
      <c r="W217" s="677">
        <v>1325.4</v>
      </c>
      <c r="X217" s="678"/>
      <c r="Y217" s="677">
        <v>1358.91</v>
      </c>
      <c r="Z217" s="678"/>
      <c r="AA217" s="677">
        <v>2075.14</v>
      </c>
      <c r="AB217" s="678"/>
      <c r="AC217" s="677">
        <f t="shared" si="21"/>
        <v>17698.490000000002</v>
      </c>
      <c r="AD217" s="672"/>
      <c r="AE217" s="672"/>
      <c r="AF217" s="672"/>
      <c r="AG217" s="672"/>
      <c r="AH217" s="672"/>
      <c r="AI217" s="672"/>
      <c r="AJ217" s="672"/>
      <c r="AK217" s="672"/>
    </row>
    <row r="218" spans="1:37">
      <c r="A218" s="676"/>
      <c r="B218" s="676"/>
      <c r="C218" s="676" t="s">
        <v>344</v>
      </c>
      <c r="D218" s="676"/>
      <c r="E218" s="677">
        <v>1332.89</v>
      </c>
      <c r="F218" s="678"/>
      <c r="G218" s="677">
        <v>1230.94</v>
      </c>
      <c r="H218" s="678"/>
      <c r="I218" s="677">
        <v>1310.8</v>
      </c>
      <c r="J218" s="678"/>
      <c r="K218" s="677">
        <v>968.67</v>
      </c>
      <c r="L218" s="678"/>
      <c r="M218" s="677">
        <v>474.18</v>
      </c>
      <c r="N218" s="678"/>
      <c r="O218" s="677">
        <v>412.79</v>
      </c>
      <c r="P218" s="678"/>
      <c r="Q218" s="677">
        <v>550.44000000000005</v>
      </c>
      <c r="R218" s="678"/>
      <c r="S218" s="677">
        <v>613.01</v>
      </c>
      <c r="T218" s="678"/>
      <c r="U218" s="677">
        <v>174.73</v>
      </c>
      <c r="V218" s="678"/>
      <c r="W218" s="677">
        <v>802.03</v>
      </c>
      <c r="X218" s="678"/>
      <c r="Y218" s="677">
        <v>908.6</v>
      </c>
      <c r="Z218" s="678"/>
      <c r="AA218" s="677">
        <v>1143.98</v>
      </c>
      <c r="AB218" s="678"/>
      <c r="AC218" s="677">
        <f t="shared" si="21"/>
        <v>9923.06</v>
      </c>
      <c r="AD218" s="672"/>
      <c r="AE218" s="672"/>
      <c r="AF218" s="672"/>
      <c r="AG218" s="672"/>
      <c r="AH218" s="672"/>
      <c r="AI218" s="672"/>
      <c r="AJ218" s="672"/>
      <c r="AK218" s="672"/>
    </row>
    <row r="219" spans="1:37" ht="15.75" thickBot="1">
      <c r="A219" s="676"/>
      <c r="B219" s="676"/>
      <c r="C219" s="676" t="s">
        <v>345</v>
      </c>
      <c r="D219" s="676"/>
      <c r="E219" s="680">
        <v>246.29</v>
      </c>
      <c r="F219" s="678"/>
      <c r="G219" s="680">
        <v>426.47</v>
      </c>
      <c r="H219" s="678"/>
      <c r="I219" s="680">
        <v>246.29</v>
      </c>
      <c r="J219" s="678"/>
      <c r="K219" s="680">
        <v>392.59</v>
      </c>
      <c r="L219" s="678"/>
      <c r="M219" s="680">
        <v>136.30000000000001</v>
      </c>
      <c r="N219" s="678"/>
      <c r="O219" s="680">
        <v>356.28</v>
      </c>
      <c r="P219" s="678"/>
      <c r="Q219" s="680">
        <v>246.29</v>
      </c>
      <c r="R219" s="678"/>
      <c r="S219" s="680">
        <v>246.29</v>
      </c>
      <c r="T219" s="678"/>
      <c r="U219" s="680">
        <v>246.29</v>
      </c>
      <c r="V219" s="678"/>
      <c r="W219" s="680">
        <v>240.47</v>
      </c>
      <c r="X219" s="678"/>
      <c r="Y219" s="680">
        <v>240.47</v>
      </c>
      <c r="Z219" s="678"/>
      <c r="AA219" s="680">
        <v>240.47</v>
      </c>
      <c r="AB219" s="678"/>
      <c r="AC219" s="680">
        <f t="shared" si="21"/>
        <v>3264.5</v>
      </c>
      <c r="AD219" s="672"/>
      <c r="AE219" s="672"/>
      <c r="AF219" s="672"/>
      <c r="AG219" s="672"/>
      <c r="AH219" s="672"/>
      <c r="AI219" s="672"/>
      <c r="AJ219" s="672"/>
      <c r="AK219" s="672"/>
    </row>
    <row r="220" spans="1:37">
      <c r="A220" s="676"/>
      <c r="B220" s="676" t="s">
        <v>346</v>
      </c>
      <c r="C220" s="676"/>
      <c r="D220" s="676"/>
      <c r="E220" s="677">
        <f>ROUND(SUM(E215:E219),5)</f>
        <v>3009.25</v>
      </c>
      <c r="F220" s="678"/>
      <c r="G220" s="677">
        <f>ROUND(SUM(G215:G219),5)</f>
        <v>2688.93</v>
      </c>
      <c r="H220" s="678"/>
      <c r="I220" s="677">
        <f>ROUND(SUM(I215:I219),5)</f>
        <v>3332.56</v>
      </c>
      <c r="J220" s="678"/>
      <c r="K220" s="677">
        <f>ROUND(SUM(K215:K219),5)</f>
        <v>2191.54</v>
      </c>
      <c r="L220" s="678"/>
      <c r="M220" s="677">
        <f>ROUND(SUM(M215:M219),5)</f>
        <v>2255.9899999999998</v>
      </c>
      <c r="N220" s="678"/>
      <c r="O220" s="677">
        <f>ROUND(SUM(O215:O219),5)</f>
        <v>2182.9499999999998</v>
      </c>
      <c r="P220" s="678"/>
      <c r="Q220" s="677">
        <f>ROUND(SUM(Q215:Q219),5)</f>
        <v>3086.27</v>
      </c>
      <c r="R220" s="678"/>
      <c r="S220" s="677">
        <f>ROUND(SUM(S215:S219),5)</f>
        <v>2522.3200000000002</v>
      </c>
      <c r="T220" s="678"/>
      <c r="U220" s="677">
        <f>ROUND(SUM(U215:U219),5)</f>
        <v>1052.46</v>
      </c>
      <c r="V220" s="678"/>
      <c r="W220" s="677">
        <f>ROUND(SUM(W215:W219),5)</f>
        <v>3156.14</v>
      </c>
      <c r="X220" s="678"/>
      <c r="Y220" s="677">
        <f>ROUND(SUM(Y215:Y219),5)</f>
        <v>2665.2</v>
      </c>
      <c r="Z220" s="678"/>
      <c r="AA220" s="677">
        <f>ROUND(SUM(AA215:AA219),5)</f>
        <v>3610.14</v>
      </c>
      <c r="AB220" s="678"/>
      <c r="AC220" s="677">
        <f t="shared" si="21"/>
        <v>31753.75</v>
      </c>
      <c r="AD220" s="672"/>
      <c r="AE220" s="672"/>
      <c r="AF220" s="672"/>
      <c r="AG220" s="672"/>
      <c r="AH220" s="672"/>
      <c r="AI220" s="672"/>
      <c r="AJ220" s="672"/>
      <c r="AK220" s="672"/>
    </row>
    <row r="221" spans="1:37">
      <c r="A221" s="676"/>
      <c r="B221" s="676" t="s">
        <v>347</v>
      </c>
      <c r="C221" s="676"/>
      <c r="D221" s="676"/>
      <c r="E221" s="677">
        <v>0</v>
      </c>
      <c r="F221" s="678"/>
      <c r="G221" s="677">
        <v>0</v>
      </c>
      <c r="H221" s="678"/>
      <c r="I221" s="677">
        <v>23000</v>
      </c>
      <c r="J221" s="678"/>
      <c r="K221" s="677">
        <v>1050.98</v>
      </c>
      <c r="L221" s="678"/>
      <c r="M221" s="677">
        <v>0</v>
      </c>
      <c r="N221" s="678"/>
      <c r="O221" s="677">
        <v>52</v>
      </c>
      <c r="P221" s="678"/>
      <c r="Q221" s="677">
        <v>2603.9899999999998</v>
      </c>
      <c r="R221" s="678"/>
      <c r="S221" s="677">
        <v>0</v>
      </c>
      <c r="T221" s="678"/>
      <c r="U221" s="677">
        <v>0</v>
      </c>
      <c r="V221" s="678"/>
      <c r="W221" s="677">
        <v>68367.3</v>
      </c>
      <c r="X221" s="678"/>
      <c r="Y221" s="677">
        <v>7431.8</v>
      </c>
      <c r="Z221" s="678"/>
      <c r="AA221" s="677">
        <v>22940.3</v>
      </c>
      <c r="AB221" s="678"/>
      <c r="AC221" s="677">
        <f t="shared" si="21"/>
        <v>125446.37</v>
      </c>
      <c r="AD221" s="672"/>
      <c r="AE221" s="672"/>
      <c r="AF221" s="672"/>
      <c r="AG221" s="672"/>
      <c r="AH221" s="672"/>
      <c r="AI221" s="672"/>
      <c r="AJ221" s="672"/>
      <c r="AK221" s="672"/>
    </row>
    <row r="222" spans="1:37">
      <c r="A222" s="676"/>
      <c r="B222" s="676" t="s">
        <v>348</v>
      </c>
      <c r="C222" s="676"/>
      <c r="D222" s="676"/>
      <c r="E222" s="677"/>
      <c r="F222" s="678"/>
      <c r="G222" s="677"/>
      <c r="H222" s="678"/>
      <c r="I222" s="677"/>
      <c r="J222" s="678"/>
      <c r="K222" s="677"/>
      <c r="L222" s="678"/>
      <c r="M222" s="677"/>
      <c r="N222" s="678"/>
      <c r="O222" s="677"/>
      <c r="P222" s="678"/>
      <c r="Q222" s="677"/>
      <c r="R222" s="678"/>
      <c r="S222" s="677"/>
      <c r="T222" s="678"/>
      <c r="U222" s="677"/>
      <c r="V222" s="678"/>
      <c r="W222" s="677"/>
      <c r="X222" s="678"/>
      <c r="Y222" s="677"/>
      <c r="Z222" s="678"/>
      <c r="AA222" s="677"/>
      <c r="AB222" s="678"/>
      <c r="AC222" s="677"/>
      <c r="AD222" s="672"/>
      <c r="AE222" s="672"/>
      <c r="AF222" s="672"/>
      <c r="AG222" s="672"/>
      <c r="AH222" s="672"/>
      <c r="AI222" s="672"/>
      <c r="AJ222" s="672"/>
      <c r="AK222" s="672"/>
    </row>
    <row r="223" spans="1:37">
      <c r="A223" s="676"/>
      <c r="B223" s="676"/>
      <c r="C223" s="676" t="s">
        <v>349</v>
      </c>
      <c r="D223" s="676"/>
      <c r="E223" s="677"/>
      <c r="F223" s="678"/>
      <c r="G223" s="677"/>
      <c r="H223" s="678"/>
      <c r="I223" s="677"/>
      <c r="J223" s="678"/>
      <c r="K223" s="677"/>
      <c r="L223" s="678"/>
      <c r="M223" s="677"/>
      <c r="N223" s="678"/>
      <c r="O223" s="677"/>
      <c r="P223" s="678"/>
      <c r="Q223" s="677"/>
      <c r="R223" s="678"/>
      <c r="S223" s="677"/>
      <c r="T223" s="678"/>
      <c r="U223" s="677"/>
      <c r="V223" s="678"/>
      <c r="W223" s="677"/>
      <c r="X223" s="678"/>
      <c r="Y223" s="677"/>
      <c r="Z223" s="678"/>
      <c r="AA223" s="677"/>
      <c r="AB223" s="678"/>
      <c r="AC223" s="677"/>
      <c r="AD223" s="672"/>
      <c r="AE223" s="672"/>
      <c r="AF223" s="672"/>
      <c r="AG223" s="672"/>
      <c r="AH223" s="672"/>
      <c r="AI223" s="672"/>
      <c r="AJ223" s="672"/>
      <c r="AK223" s="672"/>
    </row>
    <row r="224" spans="1:37">
      <c r="A224" s="676"/>
      <c r="B224" s="676"/>
      <c r="C224" s="676"/>
      <c r="D224" s="676" t="s">
        <v>350</v>
      </c>
      <c r="E224" s="677">
        <v>0</v>
      </c>
      <c r="F224" s="678"/>
      <c r="G224" s="677">
        <v>0</v>
      </c>
      <c r="H224" s="678"/>
      <c r="I224" s="677">
        <v>1296.3499999999999</v>
      </c>
      <c r="J224" s="678"/>
      <c r="K224" s="677">
        <v>0</v>
      </c>
      <c r="L224" s="678"/>
      <c r="M224" s="677">
        <v>0</v>
      </c>
      <c r="N224" s="678"/>
      <c r="O224" s="677">
        <v>0</v>
      </c>
      <c r="P224" s="678"/>
      <c r="Q224" s="677">
        <v>0</v>
      </c>
      <c r="R224" s="678"/>
      <c r="S224" s="677">
        <v>0</v>
      </c>
      <c r="T224" s="678"/>
      <c r="U224" s="677">
        <v>0</v>
      </c>
      <c r="V224" s="678"/>
      <c r="W224" s="677">
        <v>0</v>
      </c>
      <c r="X224" s="678"/>
      <c r="Y224" s="677">
        <v>0</v>
      </c>
      <c r="Z224" s="678"/>
      <c r="AA224" s="677">
        <v>0</v>
      </c>
      <c r="AB224" s="678"/>
      <c r="AC224" s="677">
        <f t="shared" ref="AC224:AC232" si="22">ROUND(SUM(E224:AA224),5)</f>
        <v>1296.3499999999999</v>
      </c>
      <c r="AD224" s="672"/>
      <c r="AE224" s="672"/>
      <c r="AF224" s="672"/>
      <c r="AG224" s="672"/>
      <c r="AH224" s="672"/>
      <c r="AI224" s="672"/>
      <c r="AJ224" s="672"/>
      <c r="AK224" s="672"/>
    </row>
    <row r="225" spans="1:37">
      <c r="A225" s="676"/>
      <c r="B225" s="676"/>
      <c r="C225" s="676"/>
      <c r="D225" s="676" t="s">
        <v>351</v>
      </c>
      <c r="E225" s="677">
        <v>0</v>
      </c>
      <c r="F225" s="678"/>
      <c r="G225" s="677">
        <v>0</v>
      </c>
      <c r="H225" s="678"/>
      <c r="I225" s="677">
        <v>19522.93</v>
      </c>
      <c r="J225" s="678"/>
      <c r="K225" s="677">
        <v>0</v>
      </c>
      <c r="L225" s="678"/>
      <c r="M225" s="677">
        <v>0</v>
      </c>
      <c r="N225" s="678"/>
      <c r="O225" s="677">
        <v>0</v>
      </c>
      <c r="P225" s="678"/>
      <c r="Q225" s="677">
        <v>0</v>
      </c>
      <c r="R225" s="678"/>
      <c r="S225" s="677">
        <v>0</v>
      </c>
      <c r="T225" s="678"/>
      <c r="U225" s="677">
        <v>0</v>
      </c>
      <c r="V225" s="678"/>
      <c r="W225" s="677">
        <v>0</v>
      </c>
      <c r="X225" s="678"/>
      <c r="Y225" s="677">
        <v>0</v>
      </c>
      <c r="Z225" s="678"/>
      <c r="AA225" s="677">
        <v>66369.88</v>
      </c>
      <c r="AB225" s="678"/>
      <c r="AC225" s="677">
        <f t="shared" si="22"/>
        <v>85892.81</v>
      </c>
      <c r="AD225" s="672"/>
      <c r="AE225" s="672"/>
      <c r="AF225" s="672"/>
      <c r="AG225" s="672"/>
      <c r="AH225" s="672"/>
      <c r="AI225" s="672"/>
      <c r="AJ225" s="672"/>
      <c r="AK225" s="672"/>
    </row>
    <row r="226" spans="1:37">
      <c r="A226" s="676"/>
      <c r="B226" s="676"/>
      <c r="C226" s="676"/>
      <c r="D226" s="676" t="s">
        <v>352</v>
      </c>
      <c r="E226" s="677">
        <v>0</v>
      </c>
      <c r="F226" s="678"/>
      <c r="G226" s="677">
        <v>0</v>
      </c>
      <c r="H226" s="678"/>
      <c r="I226" s="677">
        <v>9898.0400000000009</v>
      </c>
      <c r="J226" s="678"/>
      <c r="K226" s="677">
        <v>0</v>
      </c>
      <c r="L226" s="678"/>
      <c r="M226" s="677">
        <v>0</v>
      </c>
      <c r="N226" s="678"/>
      <c r="O226" s="677">
        <v>0</v>
      </c>
      <c r="P226" s="678"/>
      <c r="Q226" s="677">
        <v>0</v>
      </c>
      <c r="R226" s="678"/>
      <c r="S226" s="677">
        <v>0</v>
      </c>
      <c r="T226" s="678"/>
      <c r="U226" s="677">
        <v>0</v>
      </c>
      <c r="V226" s="678"/>
      <c r="W226" s="677">
        <v>0</v>
      </c>
      <c r="X226" s="678"/>
      <c r="Y226" s="677">
        <v>0</v>
      </c>
      <c r="Z226" s="678"/>
      <c r="AA226" s="677">
        <v>23414.799999999999</v>
      </c>
      <c r="AB226" s="678"/>
      <c r="AC226" s="677">
        <f t="shared" si="22"/>
        <v>33312.839999999997</v>
      </c>
      <c r="AD226" s="672"/>
      <c r="AE226" s="672"/>
      <c r="AF226" s="672"/>
      <c r="AG226" s="672"/>
      <c r="AH226" s="672"/>
      <c r="AI226" s="672"/>
      <c r="AJ226" s="672"/>
      <c r="AK226" s="672"/>
    </row>
    <row r="227" spans="1:37">
      <c r="A227" s="676"/>
      <c r="B227" s="676"/>
      <c r="C227" s="676"/>
      <c r="D227" s="676" t="s">
        <v>353</v>
      </c>
      <c r="E227" s="677">
        <v>0</v>
      </c>
      <c r="F227" s="678"/>
      <c r="G227" s="677">
        <v>0</v>
      </c>
      <c r="H227" s="678"/>
      <c r="I227" s="677">
        <v>1196.6400000000001</v>
      </c>
      <c r="J227" s="678"/>
      <c r="K227" s="677">
        <v>0</v>
      </c>
      <c r="L227" s="678"/>
      <c r="M227" s="677">
        <v>0</v>
      </c>
      <c r="N227" s="678"/>
      <c r="O227" s="677">
        <v>0</v>
      </c>
      <c r="P227" s="678"/>
      <c r="Q227" s="677">
        <v>0</v>
      </c>
      <c r="R227" s="678"/>
      <c r="S227" s="677">
        <v>0</v>
      </c>
      <c r="T227" s="678"/>
      <c r="U227" s="677">
        <v>0</v>
      </c>
      <c r="V227" s="678"/>
      <c r="W227" s="677">
        <v>0</v>
      </c>
      <c r="X227" s="678"/>
      <c r="Y227" s="677">
        <v>0</v>
      </c>
      <c r="Z227" s="678"/>
      <c r="AA227" s="677">
        <v>3589.93</v>
      </c>
      <c r="AB227" s="678"/>
      <c r="AC227" s="677">
        <f t="shared" si="22"/>
        <v>4786.57</v>
      </c>
      <c r="AD227" s="672"/>
      <c r="AE227" s="672"/>
      <c r="AF227" s="672"/>
      <c r="AG227" s="672"/>
      <c r="AH227" s="672"/>
      <c r="AI227" s="672"/>
      <c r="AJ227" s="672"/>
      <c r="AK227" s="672"/>
    </row>
    <row r="228" spans="1:37">
      <c r="A228" s="676"/>
      <c r="B228" s="676"/>
      <c r="C228" s="676"/>
      <c r="D228" s="676" t="s">
        <v>354</v>
      </c>
      <c r="E228" s="677">
        <v>0</v>
      </c>
      <c r="F228" s="678"/>
      <c r="G228" s="677">
        <v>0</v>
      </c>
      <c r="H228" s="678"/>
      <c r="I228" s="677">
        <v>9204.43</v>
      </c>
      <c r="J228" s="678"/>
      <c r="K228" s="677">
        <v>0</v>
      </c>
      <c r="L228" s="678"/>
      <c r="M228" s="677">
        <v>0</v>
      </c>
      <c r="N228" s="678"/>
      <c r="O228" s="677">
        <v>0</v>
      </c>
      <c r="P228" s="678"/>
      <c r="Q228" s="677">
        <v>0</v>
      </c>
      <c r="R228" s="678"/>
      <c r="S228" s="677">
        <v>0</v>
      </c>
      <c r="T228" s="678"/>
      <c r="U228" s="677">
        <v>0</v>
      </c>
      <c r="V228" s="678"/>
      <c r="W228" s="677">
        <v>0</v>
      </c>
      <c r="X228" s="678"/>
      <c r="Y228" s="677">
        <v>0</v>
      </c>
      <c r="Z228" s="678"/>
      <c r="AA228" s="677">
        <v>15769.18</v>
      </c>
      <c r="AB228" s="678"/>
      <c r="AC228" s="677">
        <f t="shared" si="22"/>
        <v>24973.61</v>
      </c>
      <c r="AD228" s="672"/>
      <c r="AE228" s="672"/>
      <c r="AF228" s="672"/>
      <c r="AG228" s="672"/>
      <c r="AH228" s="672"/>
      <c r="AI228" s="672"/>
      <c r="AJ228" s="672"/>
      <c r="AK228" s="672"/>
    </row>
    <row r="229" spans="1:37">
      <c r="A229" s="676"/>
      <c r="B229" s="676"/>
      <c r="C229" s="676"/>
      <c r="D229" s="676" t="s">
        <v>355</v>
      </c>
      <c r="E229" s="677">
        <v>0</v>
      </c>
      <c r="F229" s="678"/>
      <c r="G229" s="677">
        <v>0</v>
      </c>
      <c r="H229" s="678"/>
      <c r="I229" s="677">
        <v>3944.76</v>
      </c>
      <c r="J229" s="678"/>
      <c r="K229" s="677">
        <v>0</v>
      </c>
      <c r="L229" s="678"/>
      <c r="M229" s="677">
        <v>0</v>
      </c>
      <c r="N229" s="678"/>
      <c r="O229" s="677">
        <v>0</v>
      </c>
      <c r="P229" s="678"/>
      <c r="Q229" s="677">
        <v>0</v>
      </c>
      <c r="R229" s="678"/>
      <c r="S229" s="677">
        <v>0</v>
      </c>
      <c r="T229" s="678"/>
      <c r="U229" s="677">
        <v>0</v>
      </c>
      <c r="V229" s="678"/>
      <c r="W229" s="677">
        <v>0</v>
      </c>
      <c r="X229" s="678"/>
      <c r="Y229" s="677">
        <v>0</v>
      </c>
      <c r="Z229" s="678"/>
      <c r="AA229" s="677">
        <v>-3944.76</v>
      </c>
      <c r="AB229" s="678"/>
      <c r="AC229" s="677">
        <f t="shared" si="22"/>
        <v>0</v>
      </c>
      <c r="AD229" s="672"/>
      <c r="AE229" s="672"/>
      <c r="AF229" s="672"/>
      <c r="AG229" s="672"/>
      <c r="AH229" s="672"/>
      <c r="AI229" s="672"/>
      <c r="AJ229" s="672"/>
      <c r="AK229" s="672"/>
    </row>
    <row r="230" spans="1:37">
      <c r="A230" s="676"/>
      <c r="B230" s="676"/>
      <c r="C230" s="676"/>
      <c r="D230" s="676" t="s">
        <v>356</v>
      </c>
      <c r="E230" s="677">
        <v>0</v>
      </c>
      <c r="F230" s="678"/>
      <c r="G230" s="677">
        <v>0</v>
      </c>
      <c r="H230" s="678"/>
      <c r="I230" s="677">
        <v>12539.28</v>
      </c>
      <c r="J230" s="678"/>
      <c r="K230" s="677">
        <v>0</v>
      </c>
      <c r="L230" s="678"/>
      <c r="M230" s="677">
        <v>0</v>
      </c>
      <c r="N230" s="678"/>
      <c r="O230" s="677">
        <v>0</v>
      </c>
      <c r="P230" s="678"/>
      <c r="Q230" s="677">
        <v>0</v>
      </c>
      <c r="R230" s="678"/>
      <c r="S230" s="677">
        <v>0</v>
      </c>
      <c r="T230" s="678"/>
      <c r="U230" s="677">
        <v>0</v>
      </c>
      <c r="V230" s="678"/>
      <c r="W230" s="677">
        <v>0</v>
      </c>
      <c r="X230" s="678"/>
      <c r="Y230" s="677">
        <v>0</v>
      </c>
      <c r="Z230" s="678"/>
      <c r="AA230" s="677">
        <v>37617.839999999997</v>
      </c>
      <c r="AB230" s="678"/>
      <c r="AC230" s="677">
        <f t="shared" si="22"/>
        <v>50157.120000000003</v>
      </c>
      <c r="AD230" s="672"/>
      <c r="AE230" s="672"/>
      <c r="AF230" s="672"/>
      <c r="AG230" s="672"/>
      <c r="AH230" s="672"/>
      <c r="AI230" s="672"/>
      <c r="AJ230" s="672"/>
      <c r="AK230" s="672"/>
    </row>
    <row r="231" spans="1:37" ht="15.75" thickBot="1">
      <c r="A231" s="676"/>
      <c r="B231" s="676"/>
      <c r="C231" s="676"/>
      <c r="D231" s="676" t="s">
        <v>357</v>
      </c>
      <c r="E231" s="680">
        <v>0</v>
      </c>
      <c r="F231" s="678"/>
      <c r="G231" s="680">
        <v>0</v>
      </c>
      <c r="H231" s="678"/>
      <c r="I231" s="680">
        <v>521.94000000000005</v>
      </c>
      <c r="J231" s="678"/>
      <c r="K231" s="680">
        <v>0</v>
      </c>
      <c r="L231" s="678"/>
      <c r="M231" s="680">
        <v>0</v>
      </c>
      <c r="N231" s="678"/>
      <c r="O231" s="680">
        <v>0</v>
      </c>
      <c r="P231" s="678"/>
      <c r="Q231" s="680">
        <v>0</v>
      </c>
      <c r="R231" s="678"/>
      <c r="S231" s="680">
        <v>0</v>
      </c>
      <c r="T231" s="678"/>
      <c r="U231" s="680">
        <v>0</v>
      </c>
      <c r="V231" s="678"/>
      <c r="W231" s="680">
        <v>0</v>
      </c>
      <c r="X231" s="678"/>
      <c r="Y231" s="680">
        <v>0</v>
      </c>
      <c r="Z231" s="678"/>
      <c r="AA231" s="680">
        <v>-521.94000000000005</v>
      </c>
      <c r="AB231" s="678"/>
      <c r="AC231" s="680">
        <f t="shared" si="22"/>
        <v>0</v>
      </c>
      <c r="AD231" s="672"/>
      <c r="AE231" s="672"/>
      <c r="AF231" s="672"/>
      <c r="AG231" s="672"/>
      <c r="AH231" s="672"/>
      <c r="AI231" s="672"/>
      <c r="AJ231" s="672"/>
      <c r="AK231" s="672"/>
    </row>
    <row r="232" spans="1:37">
      <c r="A232" s="676"/>
      <c r="B232" s="676"/>
      <c r="C232" s="676" t="s">
        <v>358</v>
      </c>
      <c r="D232" s="676"/>
      <c r="E232" s="677">
        <f>ROUND(SUM(E223:E231),5)</f>
        <v>0</v>
      </c>
      <c r="F232" s="678"/>
      <c r="G232" s="677">
        <f>ROUND(SUM(G223:G231),5)</f>
        <v>0</v>
      </c>
      <c r="H232" s="678"/>
      <c r="I232" s="677">
        <f>ROUND(SUM(I223:I231),5)</f>
        <v>58124.37</v>
      </c>
      <c r="J232" s="678"/>
      <c r="K232" s="677">
        <f>ROUND(SUM(K223:K231),5)</f>
        <v>0</v>
      </c>
      <c r="L232" s="678"/>
      <c r="M232" s="677">
        <f>ROUND(SUM(M223:M231),5)</f>
        <v>0</v>
      </c>
      <c r="N232" s="678"/>
      <c r="O232" s="677">
        <f>ROUND(SUM(O223:O231),5)</f>
        <v>0</v>
      </c>
      <c r="P232" s="678"/>
      <c r="Q232" s="677">
        <f>ROUND(SUM(Q223:Q231),5)</f>
        <v>0</v>
      </c>
      <c r="R232" s="678"/>
      <c r="S232" s="677">
        <f>ROUND(SUM(S223:S231),5)</f>
        <v>0</v>
      </c>
      <c r="T232" s="678"/>
      <c r="U232" s="677">
        <f>ROUND(SUM(U223:U231),5)</f>
        <v>0</v>
      </c>
      <c r="V232" s="678"/>
      <c r="W232" s="677">
        <f>ROUND(SUM(W223:W231),5)</f>
        <v>0</v>
      </c>
      <c r="X232" s="678"/>
      <c r="Y232" s="677">
        <f>ROUND(SUM(Y223:Y231),5)</f>
        <v>0</v>
      </c>
      <c r="Z232" s="678"/>
      <c r="AA232" s="677">
        <f>ROUND(SUM(AA223:AA231),5)</f>
        <v>142294.93</v>
      </c>
      <c r="AB232" s="678"/>
      <c r="AC232" s="677">
        <f t="shared" si="22"/>
        <v>200419.3</v>
      </c>
      <c r="AD232" s="672"/>
      <c r="AE232" s="672"/>
      <c r="AF232" s="672"/>
      <c r="AG232" s="672"/>
      <c r="AH232" s="672"/>
      <c r="AI232" s="672"/>
      <c r="AJ232" s="672"/>
      <c r="AK232" s="672"/>
    </row>
    <row r="233" spans="1:37">
      <c r="A233" s="676"/>
      <c r="B233" s="676"/>
      <c r="C233" s="676" t="s">
        <v>359</v>
      </c>
      <c r="D233" s="676"/>
      <c r="E233" s="677"/>
      <c r="F233" s="678"/>
      <c r="G233" s="677"/>
      <c r="H233" s="678"/>
      <c r="I233" s="677"/>
      <c r="J233" s="678"/>
      <c r="K233" s="677"/>
      <c r="L233" s="678"/>
      <c r="M233" s="677"/>
      <c r="N233" s="678"/>
      <c r="O233" s="677"/>
      <c r="P233" s="678"/>
      <c r="Q233" s="677"/>
      <c r="R233" s="678"/>
      <c r="S233" s="677"/>
      <c r="T233" s="678"/>
      <c r="U233" s="677"/>
      <c r="V233" s="678"/>
      <c r="W233" s="677"/>
      <c r="X233" s="678"/>
      <c r="Y233" s="677"/>
      <c r="Z233" s="678"/>
      <c r="AA233" s="677"/>
      <c r="AB233" s="678"/>
      <c r="AC233" s="677"/>
      <c r="AD233" s="672"/>
      <c r="AE233" s="672"/>
      <c r="AF233" s="672"/>
      <c r="AG233" s="672"/>
      <c r="AH233" s="672"/>
      <c r="AI233" s="672"/>
      <c r="AJ233" s="672"/>
      <c r="AK233" s="672"/>
    </row>
    <row r="234" spans="1:37">
      <c r="A234" s="676"/>
      <c r="B234" s="676"/>
      <c r="C234" s="676"/>
      <c r="D234" s="676" t="s">
        <v>360</v>
      </c>
      <c r="E234" s="677">
        <v>0</v>
      </c>
      <c r="F234" s="678"/>
      <c r="G234" s="677">
        <v>0</v>
      </c>
      <c r="H234" s="678"/>
      <c r="I234" s="677">
        <v>7801.51</v>
      </c>
      <c r="J234" s="678"/>
      <c r="K234" s="677">
        <v>0</v>
      </c>
      <c r="L234" s="678"/>
      <c r="M234" s="677">
        <v>0</v>
      </c>
      <c r="N234" s="678"/>
      <c r="O234" s="677">
        <v>0</v>
      </c>
      <c r="P234" s="678"/>
      <c r="Q234" s="677">
        <v>0</v>
      </c>
      <c r="R234" s="678"/>
      <c r="S234" s="677">
        <v>0</v>
      </c>
      <c r="T234" s="678"/>
      <c r="U234" s="677">
        <v>0</v>
      </c>
      <c r="V234" s="678"/>
      <c r="W234" s="677">
        <v>0</v>
      </c>
      <c r="X234" s="678"/>
      <c r="Y234" s="677">
        <v>0</v>
      </c>
      <c r="Z234" s="678"/>
      <c r="AA234" s="677">
        <v>88079.54</v>
      </c>
      <c r="AB234" s="678"/>
      <c r="AC234" s="677">
        <f t="shared" ref="AC234:AC242" si="23">ROUND(SUM(E234:AA234),5)</f>
        <v>95881.05</v>
      </c>
      <c r="AD234" s="672"/>
      <c r="AE234" s="672"/>
      <c r="AF234" s="672"/>
      <c r="AG234" s="672"/>
      <c r="AH234" s="672"/>
      <c r="AI234" s="672"/>
      <c r="AJ234" s="672"/>
      <c r="AK234" s="672"/>
    </row>
    <row r="235" spans="1:37">
      <c r="A235" s="676"/>
      <c r="B235" s="676"/>
      <c r="C235" s="676"/>
      <c r="D235" s="676" t="s">
        <v>361</v>
      </c>
      <c r="E235" s="677">
        <v>0</v>
      </c>
      <c r="F235" s="678"/>
      <c r="G235" s="677">
        <v>0</v>
      </c>
      <c r="H235" s="678"/>
      <c r="I235" s="677">
        <v>8008.2</v>
      </c>
      <c r="J235" s="678"/>
      <c r="K235" s="677">
        <v>0</v>
      </c>
      <c r="L235" s="678"/>
      <c r="M235" s="677">
        <v>0</v>
      </c>
      <c r="N235" s="678"/>
      <c r="O235" s="677">
        <v>0</v>
      </c>
      <c r="P235" s="678"/>
      <c r="Q235" s="677">
        <v>0</v>
      </c>
      <c r="R235" s="678"/>
      <c r="S235" s="677">
        <v>0</v>
      </c>
      <c r="T235" s="678"/>
      <c r="U235" s="677">
        <v>0</v>
      </c>
      <c r="V235" s="678"/>
      <c r="W235" s="677">
        <v>0</v>
      </c>
      <c r="X235" s="678"/>
      <c r="Y235" s="677">
        <v>0</v>
      </c>
      <c r="Z235" s="678"/>
      <c r="AA235" s="677">
        <v>60256.46</v>
      </c>
      <c r="AB235" s="678"/>
      <c r="AC235" s="677">
        <f t="shared" si="23"/>
        <v>68264.66</v>
      </c>
      <c r="AD235" s="672"/>
      <c r="AE235" s="672"/>
      <c r="AF235" s="672"/>
      <c r="AG235" s="672"/>
      <c r="AH235" s="672"/>
      <c r="AI235" s="672"/>
      <c r="AJ235" s="672"/>
      <c r="AK235" s="672"/>
    </row>
    <row r="236" spans="1:37">
      <c r="A236" s="676"/>
      <c r="B236" s="676"/>
      <c r="C236" s="676"/>
      <c r="D236" s="676" t="s">
        <v>362</v>
      </c>
      <c r="E236" s="677">
        <v>0</v>
      </c>
      <c r="F236" s="678"/>
      <c r="G236" s="677">
        <v>0</v>
      </c>
      <c r="H236" s="678"/>
      <c r="I236" s="677">
        <v>2208.81</v>
      </c>
      <c r="J236" s="678"/>
      <c r="K236" s="677">
        <v>0</v>
      </c>
      <c r="L236" s="678"/>
      <c r="M236" s="677">
        <v>0</v>
      </c>
      <c r="N236" s="678"/>
      <c r="O236" s="677">
        <v>0</v>
      </c>
      <c r="P236" s="678"/>
      <c r="Q236" s="677">
        <v>0</v>
      </c>
      <c r="R236" s="678"/>
      <c r="S236" s="677">
        <v>0</v>
      </c>
      <c r="T236" s="678"/>
      <c r="U236" s="677">
        <v>0</v>
      </c>
      <c r="V236" s="678"/>
      <c r="W236" s="677">
        <v>0</v>
      </c>
      <c r="X236" s="678"/>
      <c r="Y236" s="677">
        <v>0</v>
      </c>
      <c r="Z236" s="678"/>
      <c r="AA236" s="677">
        <v>1437.13</v>
      </c>
      <c r="AB236" s="678"/>
      <c r="AC236" s="677">
        <f t="shared" si="23"/>
        <v>3645.94</v>
      </c>
      <c r="AD236" s="672"/>
      <c r="AE236" s="672"/>
      <c r="AF236" s="672"/>
      <c r="AG236" s="672"/>
      <c r="AH236" s="672"/>
      <c r="AI236" s="672"/>
      <c r="AJ236" s="672"/>
      <c r="AK236" s="672"/>
    </row>
    <row r="237" spans="1:37">
      <c r="A237" s="676"/>
      <c r="B237" s="676"/>
      <c r="C237" s="676"/>
      <c r="D237" s="676" t="s">
        <v>363</v>
      </c>
      <c r="E237" s="677">
        <v>0</v>
      </c>
      <c r="F237" s="678"/>
      <c r="G237" s="677">
        <v>0</v>
      </c>
      <c r="H237" s="678"/>
      <c r="I237" s="677">
        <v>9795.98</v>
      </c>
      <c r="J237" s="678"/>
      <c r="K237" s="677">
        <v>0</v>
      </c>
      <c r="L237" s="678"/>
      <c r="M237" s="677">
        <v>0</v>
      </c>
      <c r="N237" s="678"/>
      <c r="O237" s="677">
        <v>0</v>
      </c>
      <c r="P237" s="678"/>
      <c r="Q237" s="677">
        <v>0</v>
      </c>
      <c r="R237" s="678"/>
      <c r="S237" s="677">
        <v>0</v>
      </c>
      <c r="T237" s="678"/>
      <c r="U237" s="677">
        <v>0</v>
      </c>
      <c r="V237" s="678"/>
      <c r="W237" s="677">
        <v>0</v>
      </c>
      <c r="X237" s="678"/>
      <c r="Y237" s="677">
        <v>0</v>
      </c>
      <c r="Z237" s="678"/>
      <c r="AA237" s="677">
        <v>36939.32</v>
      </c>
      <c r="AB237" s="678"/>
      <c r="AC237" s="677">
        <f t="shared" si="23"/>
        <v>46735.3</v>
      </c>
      <c r="AD237" s="672"/>
      <c r="AE237" s="672"/>
      <c r="AF237" s="672"/>
      <c r="AG237" s="672"/>
      <c r="AH237" s="672"/>
      <c r="AI237" s="672"/>
      <c r="AJ237" s="672"/>
      <c r="AK237" s="672"/>
    </row>
    <row r="238" spans="1:37" ht="15.75" thickBot="1">
      <c r="A238" s="676"/>
      <c r="B238" s="676"/>
      <c r="C238" s="676"/>
      <c r="D238" s="676" t="s">
        <v>364</v>
      </c>
      <c r="E238" s="680">
        <v>0</v>
      </c>
      <c r="F238" s="678"/>
      <c r="G238" s="680">
        <v>0</v>
      </c>
      <c r="H238" s="678"/>
      <c r="I238" s="680">
        <v>250</v>
      </c>
      <c r="J238" s="678"/>
      <c r="K238" s="680">
        <v>0</v>
      </c>
      <c r="L238" s="678"/>
      <c r="M238" s="680">
        <v>0</v>
      </c>
      <c r="N238" s="678"/>
      <c r="O238" s="680">
        <v>0</v>
      </c>
      <c r="P238" s="678"/>
      <c r="Q238" s="680">
        <v>0</v>
      </c>
      <c r="R238" s="678"/>
      <c r="S238" s="680">
        <v>0</v>
      </c>
      <c r="T238" s="678"/>
      <c r="U238" s="680">
        <v>0</v>
      </c>
      <c r="V238" s="678"/>
      <c r="W238" s="680">
        <v>0</v>
      </c>
      <c r="X238" s="678"/>
      <c r="Y238" s="680">
        <v>0</v>
      </c>
      <c r="Z238" s="678"/>
      <c r="AA238" s="680">
        <v>-250</v>
      </c>
      <c r="AB238" s="678"/>
      <c r="AC238" s="680">
        <f t="shared" si="23"/>
        <v>0</v>
      </c>
      <c r="AD238" s="672"/>
      <c r="AE238" s="672"/>
      <c r="AF238" s="672"/>
      <c r="AG238" s="672"/>
      <c r="AH238" s="672"/>
      <c r="AI238" s="672"/>
      <c r="AJ238" s="672"/>
      <c r="AK238" s="672"/>
    </row>
    <row r="239" spans="1:37">
      <c r="A239" s="676"/>
      <c r="B239" s="676"/>
      <c r="C239" s="676" t="s">
        <v>365</v>
      </c>
      <c r="D239" s="676"/>
      <c r="E239" s="677">
        <f>ROUND(SUM(E233:E238),5)</f>
        <v>0</v>
      </c>
      <c r="F239" s="678"/>
      <c r="G239" s="677">
        <f>ROUND(SUM(G233:G238),5)</f>
        <v>0</v>
      </c>
      <c r="H239" s="678"/>
      <c r="I239" s="677">
        <f>ROUND(SUM(I233:I238),5)</f>
        <v>28064.5</v>
      </c>
      <c r="J239" s="678"/>
      <c r="K239" s="677">
        <f>ROUND(SUM(K233:K238),5)</f>
        <v>0</v>
      </c>
      <c r="L239" s="678"/>
      <c r="M239" s="677">
        <f>ROUND(SUM(M233:M238),5)</f>
        <v>0</v>
      </c>
      <c r="N239" s="678"/>
      <c r="O239" s="677">
        <f>ROUND(SUM(O233:O238),5)</f>
        <v>0</v>
      </c>
      <c r="P239" s="678"/>
      <c r="Q239" s="677">
        <f>ROUND(SUM(Q233:Q238),5)</f>
        <v>0</v>
      </c>
      <c r="R239" s="678"/>
      <c r="S239" s="677">
        <f>ROUND(SUM(S233:S238),5)</f>
        <v>0</v>
      </c>
      <c r="T239" s="678"/>
      <c r="U239" s="677">
        <f>ROUND(SUM(U233:U238),5)</f>
        <v>0</v>
      </c>
      <c r="V239" s="678"/>
      <c r="W239" s="677">
        <f>ROUND(SUM(W233:W238),5)</f>
        <v>0</v>
      </c>
      <c r="X239" s="678"/>
      <c r="Y239" s="677">
        <f>ROUND(SUM(Y233:Y238),5)</f>
        <v>0</v>
      </c>
      <c r="Z239" s="678"/>
      <c r="AA239" s="677">
        <f>ROUND(SUM(AA233:AA238),5)</f>
        <v>186462.45</v>
      </c>
      <c r="AB239" s="678"/>
      <c r="AC239" s="677">
        <f t="shared" si="23"/>
        <v>214526.95</v>
      </c>
      <c r="AD239" s="672"/>
      <c r="AE239" s="672"/>
      <c r="AF239" s="672"/>
      <c r="AG239" s="672"/>
      <c r="AH239" s="672"/>
      <c r="AI239" s="672"/>
      <c r="AJ239" s="672"/>
      <c r="AK239" s="672"/>
    </row>
    <row r="240" spans="1:37">
      <c r="A240" s="676"/>
      <c r="B240" s="676"/>
      <c r="C240" s="676" t="s">
        <v>366</v>
      </c>
      <c r="D240" s="676"/>
      <c r="E240" s="677">
        <v>0</v>
      </c>
      <c r="F240" s="678"/>
      <c r="G240" s="677">
        <v>0</v>
      </c>
      <c r="H240" s="678"/>
      <c r="I240" s="677">
        <v>1363.65</v>
      </c>
      <c r="J240" s="678"/>
      <c r="K240" s="677">
        <v>0</v>
      </c>
      <c r="L240" s="678"/>
      <c r="M240" s="677">
        <v>0</v>
      </c>
      <c r="N240" s="678"/>
      <c r="O240" s="677">
        <v>0</v>
      </c>
      <c r="P240" s="678"/>
      <c r="Q240" s="677">
        <v>0</v>
      </c>
      <c r="R240" s="678"/>
      <c r="S240" s="677">
        <v>0</v>
      </c>
      <c r="T240" s="678"/>
      <c r="U240" s="677">
        <v>0</v>
      </c>
      <c r="V240" s="678"/>
      <c r="W240" s="677">
        <v>0</v>
      </c>
      <c r="X240" s="678"/>
      <c r="Y240" s="677">
        <v>0</v>
      </c>
      <c r="Z240" s="678"/>
      <c r="AA240" s="677">
        <v>1111.52</v>
      </c>
      <c r="AB240" s="678"/>
      <c r="AC240" s="677">
        <f t="shared" si="23"/>
        <v>2475.17</v>
      </c>
      <c r="AD240" s="672"/>
      <c r="AE240" s="672"/>
      <c r="AF240" s="672"/>
      <c r="AG240" s="672"/>
      <c r="AH240" s="672"/>
      <c r="AI240" s="672"/>
      <c r="AJ240" s="672"/>
      <c r="AK240" s="672"/>
    </row>
    <row r="241" spans="1:37" ht="15.75" thickBot="1">
      <c r="A241" s="676"/>
      <c r="B241" s="676"/>
      <c r="C241" s="676" t="s">
        <v>367</v>
      </c>
      <c r="D241" s="676"/>
      <c r="E241" s="680">
        <v>0</v>
      </c>
      <c r="F241" s="678"/>
      <c r="G241" s="680">
        <v>0</v>
      </c>
      <c r="H241" s="678"/>
      <c r="I241" s="680">
        <v>1012.13</v>
      </c>
      <c r="J241" s="678"/>
      <c r="K241" s="680">
        <v>0</v>
      </c>
      <c r="L241" s="678"/>
      <c r="M241" s="680">
        <v>0</v>
      </c>
      <c r="N241" s="678"/>
      <c r="O241" s="680">
        <v>0</v>
      </c>
      <c r="P241" s="678"/>
      <c r="Q241" s="680">
        <v>0</v>
      </c>
      <c r="R241" s="678"/>
      <c r="S241" s="680">
        <v>0</v>
      </c>
      <c r="T241" s="678"/>
      <c r="U241" s="680">
        <v>0</v>
      </c>
      <c r="V241" s="678"/>
      <c r="W241" s="680">
        <v>0</v>
      </c>
      <c r="X241" s="678"/>
      <c r="Y241" s="680">
        <v>0</v>
      </c>
      <c r="Z241" s="678"/>
      <c r="AA241" s="680">
        <v>3588.48</v>
      </c>
      <c r="AB241" s="678"/>
      <c r="AC241" s="680">
        <f t="shared" si="23"/>
        <v>4600.6099999999997</v>
      </c>
      <c r="AD241" s="672"/>
      <c r="AE241" s="672"/>
      <c r="AF241" s="672"/>
      <c r="AG241" s="672"/>
      <c r="AH241" s="672"/>
      <c r="AI241" s="672"/>
      <c r="AJ241" s="672"/>
      <c r="AK241" s="672"/>
    </row>
    <row r="242" spans="1:37">
      <c r="A242" s="676"/>
      <c r="B242" s="676" t="s">
        <v>368</v>
      </c>
      <c r="C242" s="676"/>
      <c r="D242" s="676"/>
      <c r="E242" s="677">
        <f>ROUND(E222+E232+SUM(E239:E241),5)</f>
        <v>0</v>
      </c>
      <c r="F242" s="678"/>
      <c r="G242" s="677">
        <f>ROUND(G222+G232+SUM(G239:G241),5)</f>
        <v>0</v>
      </c>
      <c r="H242" s="678"/>
      <c r="I242" s="677">
        <f>ROUND(I222+I232+SUM(I239:I241),5)</f>
        <v>88564.65</v>
      </c>
      <c r="J242" s="678"/>
      <c r="K242" s="677">
        <f>ROUND(K222+K232+SUM(K239:K241),5)</f>
        <v>0</v>
      </c>
      <c r="L242" s="678"/>
      <c r="M242" s="677">
        <f>ROUND(M222+M232+SUM(M239:M241),5)</f>
        <v>0</v>
      </c>
      <c r="N242" s="678"/>
      <c r="O242" s="677">
        <f>ROUND(O222+O232+SUM(O239:O241),5)</f>
        <v>0</v>
      </c>
      <c r="P242" s="678"/>
      <c r="Q242" s="677">
        <f>ROUND(Q222+Q232+SUM(Q239:Q241),5)</f>
        <v>0</v>
      </c>
      <c r="R242" s="678"/>
      <c r="S242" s="677">
        <f>ROUND(S222+S232+SUM(S239:S241),5)</f>
        <v>0</v>
      </c>
      <c r="T242" s="678"/>
      <c r="U242" s="677">
        <f>ROUND(U222+U232+SUM(U239:U241),5)</f>
        <v>0</v>
      </c>
      <c r="V242" s="678"/>
      <c r="W242" s="677">
        <f>ROUND(W222+W232+SUM(W239:W241),5)</f>
        <v>0</v>
      </c>
      <c r="X242" s="678"/>
      <c r="Y242" s="677">
        <f>ROUND(Y222+Y232+SUM(Y239:Y241),5)</f>
        <v>0</v>
      </c>
      <c r="Z242" s="678"/>
      <c r="AA242" s="677">
        <f>ROUND(AA222+AA232+SUM(AA239:AA241),5)</f>
        <v>333457.38</v>
      </c>
      <c r="AB242" s="678"/>
      <c r="AC242" s="677">
        <f t="shared" si="23"/>
        <v>422022.03</v>
      </c>
      <c r="AD242" s="672"/>
      <c r="AE242" s="672"/>
      <c r="AF242" s="672"/>
      <c r="AG242" s="672"/>
      <c r="AH242" s="672"/>
      <c r="AI242" s="672"/>
      <c r="AJ242" s="672"/>
      <c r="AK242" s="672"/>
    </row>
    <row r="243" spans="1:37">
      <c r="A243" s="676"/>
      <c r="B243" s="676" t="s">
        <v>369</v>
      </c>
      <c r="C243" s="676"/>
      <c r="D243" s="676"/>
      <c r="E243" s="677"/>
      <c r="F243" s="678"/>
      <c r="G243" s="677"/>
      <c r="H243" s="678"/>
      <c r="I243" s="677"/>
      <c r="J243" s="678"/>
      <c r="K243" s="677"/>
      <c r="L243" s="678"/>
      <c r="M243" s="677"/>
      <c r="N243" s="678"/>
      <c r="O243" s="677"/>
      <c r="P243" s="678"/>
      <c r="Q243" s="677"/>
      <c r="R243" s="678"/>
      <c r="S243" s="677"/>
      <c r="T243" s="678"/>
      <c r="U243" s="677"/>
      <c r="V243" s="678"/>
      <c r="W243" s="677"/>
      <c r="X243" s="678"/>
      <c r="Y243" s="677"/>
      <c r="Z243" s="678"/>
      <c r="AA243" s="677"/>
      <c r="AB243" s="678"/>
      <c r="AC243" s="677"/>
      <c r="AD243" s="672"/>
      <c r="AE243" s="672"/>
      <c r="AF243" s="672"/>
      <c r="AG243" s="672"/>
      <c r="AH243" s="672"/>
      <c r="AI243" s="672"/>
      <c r="AJ243" s="672"/>
      <c r="AK243" s="672"/>
    </row>
    <row r="244" spans="1:37">
      <c r="A244" s="676"/>
      <c r="B244" s="676"/>
      <c r="C244" s="676" t="s">
        <v>370</v>
      </c>
      <c r="D244" s="676"/>
      <c r="E244" s="677">
        <v>0</v>
      </c>
      <c r="F244" s="678"/>
      <c r="G244" s="677">
        <v>0</v>
      </c>
      <c r="H244" s="678"/>
      <c r="I244" s="677">
        <v>2386.39</v>
      </c>
      <c r="J244" s="678"/>
      <c r="K244" s="677">
        <v>0</v>
      </c>
      <c r="L244" s="678"/>
      <c r="M244" s="677">
        <v>0</v>
      </c>
      <c r="N244" s="678"/>
      <c r="O244" s="677">
        <v>3501.77</v>
      </c>
      <c r="P244" s="678"/>
      <c r="Q244" s="677">
        <v>0</v>
      </c>
      <c r="R244" s="678"/>
      <c r="S244" s="677">
        <v>0</v>
      </c>
      <c r="T244" s="678"/>
      <c r="U244" s="677">
        <v>3501.77</v>
      </c>
      <c r="V244" s="678"/>
      <c r="W244" s="677">
        <v>0</v>
      </c>
      <c r="X244" s="678"/>
      <c r="Y244" s="677">
        <v>0</v>
      </c>
      <c r="Z244" s="678"/>
      <c r="AA244" s="677">
        <v>5707</v>
      </c>
      <c r="AB244" s="678"/>
      <c r="AC244" s="677">
        <f t="shared" ref="AC244:AC254" si="24">ROUND(SUM(E244:AA244),5)</f>
        <v>15096.93</v>
      </c>
      <c r="AD244" s="672"/>
      <c r="AE244" s="672"/>
      <c r="AF244" s="672"/>
      <c r="AG244" s="672"/>
      <c r="AH244" s="672"/>
      <c r="AI244" s="672"/>
      <c r="AJ244" s="672"/>
      <c r="AK244" s="672"/>
    </row>
    <row r="245" spans="1:37">
      <c r="A245" s="676"/>
      <c r="B245" s="676"/>
      <c r="C245" s="676" t="s">
        <v>371</v>
      </c>
      <c r="D245" s="676"/>
      <c r="E245" s="677">
        <v>0</v>
      </c>
      <c r="F245" s="678"/>
      <c r="G245" s="677">
        <v>0</v>
      </c>
      <c r="H245" s="678"/>
      <c r="I245" s="677">
        <v>2282.64</v>
      </c>
      <c r="J245" s="678"/>
      <c r="K245" s="677">
        <v>0</v>
      </c>
      <c r="L245" s="678"/>
      <c r="M245" s="677">
        <v>0</v>
      </c>
      <c r="N245" s="678"/>
      <c r="O245" s="677">
        <v>724.22</v>
      </c>
      <c r="P245" s="678"/>
      <c r="Q245" s="677">
        <v>0</v>
      </c>
      <c r="R245" s="678"/>
      <c r="S245" s="677">
        <v>0</v>
      </c>
      <c r="T245" s="678"/>
      <c r="U245" s="677">
        <v>724.22</v>
      </c>
      <c r="V245" s="678"/>
      <c r="W245" s="677">
        <v>0</v>
      </c>
      <c r="X245" s="678"/>
      <c r="Y245" s="677">
        <v>0</v>
      </c>
      <c r="Z245" s="678"/>
      <c r="AA245" s="677">
        <v>1180.29</v>
      </c>
      <c r="AB245" s="678"/>
      <c r="AC245" s="677">
        <f t="shared" si="24"/>
        <v>4911.37</v>
      </c>
      <c r="AD245" s="672"/>
      <c r="AE245" s="672"/>
      <c r="AF245" s="672"/>
      <c r="AG245" s="672"/>
      <c r="AH245" s="672"/>
      <c r="AI245" s="672"/>
      <c r="AJ245" s="672"/>
      <c r="AK245" s="672"/>
    </row>
    <row r="246" spans="1:37">
      <c r="A246" s="676"/>
      <c r="B246" s="676"/>
      <c r="C246" s="676" t="s">
        <v>372</v>
      </c>
      <c r="D246" s="676"/>
      <c r="E246" s="677">
        <v>0</v>
      </c>
      <c r="F246" s="678"/>
      <c r="G246" s="677">
        <v>0</v>
      </c>
      <c r="H246" s="678"/>
      <c r="I246" s="677">
        <v>2178.88</v>
      </c>
      <c r="J246" s="678"/>
      <c r="K246" s="677">
        <v>0</v>
      </c>
      <c r="L246" s="678"/>
      <c r="M246" s="677">
        <v>0</v>
      </c>
      <c r="N246" s="678"/>
      <c r="O246" s="677">
        <v>1206.68</v>
      </c>
      <c r="P246" s="678"/>
      <c r="Q246" s="677">
        <v>0</v>
      </c>
      <c r="R246" s="678"/>
      <c r="S246" s="677">
        <v>0</v>
      </c>
      <c r="T246" s="678"/>
      <c r="U246" s="677">
        <v>1206.68</v>
      </c>
      <c r="V246" s="678"/>
      <c r="W246" s="677">
        <v>0</v>
      </c>
      <c r="X246" s="678"/>
      <c r="Y246" s="677">
        <v>0</v>
      </c>
      <c r="Z246" s="678"/>
      <c r="AA246" s="677">
        <v>1966.58</v>
      </c>
      <c r="AB246" s="678"/>
      <c r="AC246" s="677">
        <f t="shared" si="24"/>
        <v>6558.82</v>
      </c>
      <c r="AD246" s="672"/>
      <c r="AE246" s="672"/>
      <c r="AF246" s="672"/>
      <c r="AG246" s="672"/>
      <c r="AH246" s="672"/>
      <c r="AI246" s="672"/>
      <c r="AJ246" s="672"/>
      <c r="AK246" s="672"/>
    </row>
    <row r="247" spans="1:37">
      <c r="A247" s="676"/>
      <c r="B247" s="676"/>
      <c r="C247" s="676" t="s">
        <v>373</v>
      </c>
      <c r="D247" s="676"/>
      <c r="E247" s="677">
        <v>0</v>
      </c>
      <c r="F247" s="678"/>
      <c r="G247" s="677">
        <v>0</v>
      </c>
      <c r="H247" s="678"/>
      <c r="I247" s="677">
        <v>311.27</v>
      </c>
      <c r="J247" s="678"/>
      <c r="K247" s="677">
        <v>0</v>
      </c>
      <c r="L247" s="678"/>
      <c r="M247" s="677">
        <v>0</v>
      </c>
      <c r="N247" s="678"/>
      <c r="O247" s="677">
        <v>1691.23</v>
      </c>
      <c r="P247" s="678"/>
      <c r="Q247" s="677">
        <v>0</v>
      </c>
      <c r="R247" s="678"/>
      <c r="S247" s="677">
        <v>0</v>
      </c>
      <c r="T247" s="678"/>
      <c r="U247" s="677">
        <v>1691.23</v>
      </c>
      <c r="V247" s="678"/>
      <c r="W247" s="677">
        <v>0</v>
      </c>
      <c r="X247" s="678"/>
      <c r="Y247" s="677">
        <v>0</v>
      </c>
      <c r="Z247" s="678"/>
      <c r="AA247" s="677">
        <v>2756.28</v>
      </c>
      <c r="AB247" s="678"/>
      <c r="AC247" s="677">
        <f t="shared" si="24"/>
        <v>6450.01</v>
      </c>
      <c r="AD247" s="672"/>
      <c r="AE247" s="672"/>
      <c r="AF247" s="672"/>
      <c r="AG247" s="672"/>
      <c r="AH247" s="672"/>
      <c r="AI247" s="672"/>
      <c r="AJ247" s="672"/>
      <c r="AK247" s="672"/>
    </row>
    <row r="248" spans="1:37">
      <c r="A248" s="676"/>
      <c r="B248" s="676"/>
      <c r="C248" s="676" t="s">
        <v>374</v>
      </c>
      <c r="D248" s="676"/>
      <c r="E248" s="677">
        <v>0</v>
      </c>
      <c r="F248" s="678"/>
      <c r="G248" s="677">
        <v>0</v>
      </c>
      <c r="H248" s="678"/>
      <c r="I248" s="677">
        <v>1245.08</v>
      </c>
      <c r="J248" s="678"/>
      <c r="K248" s="677">
        <v>0</v>
      </c>
      <c r="L248" s="678"/>
      <c r="M248" s="677">
        <v>0</v>
      </c>
      <c r="N248" s="678"/>
      <c r="O248" s="677">
        <v>1206.68</v>
      </c>
      <c r="P248" s="678"/>
      <c r="Q248" s="677">
        <v>0</v>
      </c>
      <c r="R248" s="678"/>
      <c r="S248" s="677">
        <v>0</v>
      </c>
      <c r="T248" s="678"/>
      <c r="U248" s="677">
        <v>1206.68</v>
      </c>
      <c r="V248" s="678"/>
      <c r="W248" s="677">
        <v>0</v>
      </c>
      <c r="X248" s="678"/>
      <c r="Y248" s="677">
        <v>0</v>
      </c>
      <c r="Z248" s="678"/>
      <c r="AA248" s="677">
        <v>1966.58</v>
      </c>
      <c r="AB248" s="678"/>
      <c r="AC248" s="677">
        <f t="shared" si="24"/>
        <v>5625.02</v>
      </c>
      <c r="AD248" s="672"/>
      <c r="AE248" s="672"/>
      <c r="AF248" s="672"/>
      <c r="AG248" s="672"/>
      <c r="AH248" s="672"/>
      <c r="AI248" s="672"/>
      <c r="AJ248" s="672"/>
      <c r="AK248" s="672"/>
    </row>
    <row r="249" spans="1:37">
      <c r="A249" s="676"/>
      <c r="B249" s="676"/>
      <c r="C249" s="676" t="s">
        <v>375</v>
      </c>
      <c r="D249" s="676"/>
      <c r="E249" s="677">
        <v>0</v>
      </c>
      <c r="F249" s="678"/>
      <c r="G249" s="677">
        <v>0</v>
      </c>
      <c r="H249" s="678"/>
      <c r="I249" s="677">
        <v>518.78</v>
      </c>
      <c r="J249" s="678"/>
      <c r="K249" s="677">
        <v>0</v>
      </c>
      <c r="L249" s="678"/>
      <c r="M249" s="677">
        <v>0</v>
      </c>
      <c r="N249" s="678"/>
      <c r="O249" s="677">
        <v>596.6</v>
      </c>
      <c r="P249" s="678"/>
      <c r="Q249" s="677">
        <v>0</v>
      </c>
      <c r="R249" s="678"/>
      <c r="S249" s="677">
        <v>0</v>
      </c>
      <c r="T249" s="678"/>
      <c r="U249" s="677">
        <v>596.6</v>
      </c>
      <c r="V249" s="678"/>
      <c r="W249" s="677">
        <v>0</v>
      </c>
      <c r="X249" s="678"/>
      <c r="Y249" s="677">
        <v>0</v>
      </c>
      <c r="Z249" s="678"/>
      <c r="AA249" s="677">
        <v>972.31</v>
      </c>
      <c r="AB249" s="678"/>
      <c r="AC249" s="677">
        <f t="shared" si="24"/>
        <v>2684.29</v>
      </c>
      <c r="AD249" s="672"/>
      <c r="AE249" s="672"/>
      <c r="AF249" s="672"/>
      <c r="AG249" s="672"/>
      <c r="AH249" s="672"/>
      <c r="AI249" s="672"/>
      <c r="AJ249" s="672"/>
      <c r="AK249" s="672"/>
    </row>
    <row r="250" spans="1:37">
      <c r="A250" s="676"/>
      <c r="B250" s="676"/>
      <c r="C250" s="676" t="s">
        <v>376</v>
      </c>
      <c r="D250" s="676"/>
      <c r="E250" s="677">
        <v>0</v>
      </c>
      <c r="F250" s="678"/>
      <c r="G250" s="677">
        <v>0</v>
      </c>
      <c r="H250" s="678"/>
      <c r="I250" s="677">
        <v>622.54</v>
      </c>
      <c r="J250" s="678"/>
      <c r="K250" s="677">
        <v>0</v>
      </c>
      <c r="L250" s="678"/>
      <c r="M250" s="677">
        <v>0</v>
      </c>
      <c r="N250" s="678"/>
      <c r="O250" s="677">
        <v>724.22</v>
      </c>
      <c r="P250" s="678"/>
      <c r="Q250" s="677">
        <v>0</v>
      </c>
      <c r="R250" s="678"/>
      <c r="S250" s="677">
        <v>0</v>
      </c>
      <c r="T250" s="678"/>
      <c r="U250" s="677">
        <v>724.22</v>
      </c>
      <c r="V250" s="678"/>
      <c r="W250" s="677">
        <v>0</v>
      </c>
      <c r="X250" s="678"/>
      <c r="Y250" s="677">
        <v>0</v>
      </c>
      <c r="Z250" s="678"/>
      <c r="AA250" s="677">
        <v>1180.29</v>
      </c>
      <c r="AB250" s="678"/>
      <c r="AC250" s="677">
        <f t="shared" si="24"/>
        <v>3251.27</v>
      </c>
      <c r="AD250" s="672"/>
      <c r="AE250" s="672"/>
      <c r="AF250" s="672"/>
      <c r="AG250" s="672"/>
      <c r="AH250" s="672"/>
      <c r="AI250" s="672"/>
      <c r="AJ250" s="672"/>
      <c r="AK250" s="672"/>
    </row>
    <row r="251" spans="1:37">
      <c r="A251" s="676"/>
      <c r="B251" s="676"/>
      <c r="C251" s="676" t="s">
        <v>377</v>
      </c>
      <c r="D251" s="676"/>
      <c r="E251" s="677">
        <v>0</v>
      </c>
      <c r="F251" s="678"/>
      <c r="G251" s="677">
        <v>0</v>
      </c>
      <c r="H251" s="678"/>
      <c r="I251" s="677">
        <v>726.3</v>
      </c>
      <c r="J251" s="678"/>
      <c r="K251" s="677">
        <v>0</v>
      </c>
      <c r="L251" s="678"/>
      <c r="M251" s="677">
        <v>0</v>
      </c>
      <c r="N251" s="678"/>
      <c r="O251" s="677">
        <v>724.22</v>
      </c>
      <c r="P251" s="678"/>
      <c r="Q251" s="677">
        <v>0</v>
      </c>
      <c r="R251" s="678"/>
      <c r="S251" s="677">
        <v>0</v>
      </c>
      <c r="T251" s="678"/>
      <c r="U251" s="677">
        <v>724.22</v>
      </c>
      <c r="V251" s="678"/>
      <c r="W251" s="677">
        <v>0</v>
      </c>
      <c r="X251" s="678"/>
      <c r="Y251" s="677">
        <v>0</v>
      </c>
      <c r="Z251" s="678"/>
      <c r="AA251" s="677">
        <v>1180.29</v>
      </c>
      <c r="AB251" s="678"/>
      <c r="AC251" s="677">
        <f t="shared" si="24"/>
        <v>3355.03</v>
      </c>
      <c r="AD251" s="672"/>
      <c r="AE251" s="672"/>
      <c r="AF251" s="672"/>
      <c r="AG251" s="672"/>
      <c r="AH251" s="672"/>
      <c r="AI251" s="672"/>
      <c r="AJ251" s="672"/>
      <c r="AK251" s="672"/>
    </row>
    <row r="252" spans="1:37" ht="15.75" thickBot="1">
      <c r="A252" s="676"/>
      <c r="B252" s="676"/>
      <c r="C252" s="676" t="s">
        <v>378</v>
      </c>
      <c r="D252" s="676"/>
      <c r="E252" s="680">
        <v>0</v>
      </c>
      <c r="F252" s="678"/>
      <c r="G252" s="680">
        <v>0</v>
      </c>
      <c r="H252" s="678"/>
      <c r="I252" s="680">
        <v>0</v>
      </c>
      <c r="J252" s="678"/>
      <c r="K252" s="680">
        <v>0</v>
      </c>
      <c r="L252" s="678"/>
      <c r="M252" s="680">
        <v>0</v>
      </c>
      <c r="N252" s="678"/>
      <c r="O252" s="680">
        <v>0</v>
      </c>
      <c r="P252" s="678"/>
      <c r="Q252" s="680">
        <v>594.33000000000004</v>
      </c>
      <c r="R252" s="678"/>
      <c r="S252" s="680">
        <v>0</v>
      </c>
      <c r="T252" s="678"/>
      <c r="U252" s="680">
        <v>536.16999999999996</v>
      </c>
      <c r="V252" s="678"/>
      <c r="W252" s="680">
        <v>0</v>
      </c>
      <c r="X252" s="678"/>
      <c r="Y252" s="680">
        <v>0</v>
      </c>
      <c r="Z252" s="678"/>
      <c r="AA252" s="680">
        <v>0</v>
      </c>
      <c r="AB252" s="678"/>
      <c r="AC252" s="680">
        <f t="shared" si="24"/>
        <v>1130.5</v>
      </c>
      <c r="AD252" s="672"/>
      <c r="AE252" s="672"/>
      <c r="AF252" s="672"/>
      <c r="AG252" s="672"/>
      <c r="AH252" s="672"/>
      <c r="AI252" s="672"/>
      <c r="AJ252" s="672"/>
      <c r="AK252" s="672"/>
    </row>
    <row r="253" spans="1:37">
      <c r="A253" s="676"/>
      <c r="B253" s="676" t="s">
        <v>379</v>
      </c>
      <c r="C253" s="676"/>
      <c r="D253" s="676"/>
      <c r="E253" s="677">
        <f>ROUND(SUM(E243:E252),5)</f>
        <v>0</v>
      </c>
      <c r="F253" s="678"/>
      <c r="G253" s="677">
        <f>ROUND(SUM(G243:G252),5)</f>
        <v>0</v>
      </c>
      <c r="H253" s="678"/>
      <c r="I253" s="677">
        <f>ROUND(SUM(I243:I252),5)</f>
        <v>10271.879999999999</v>
      </c>
      <c r="J253" s="678"/>
      <c r="K253" s="677">
        <f>ROUND(SUM(K243:K252),5)</f>
        <v>0</v>
      </c>
      <c r="L253" s="678"/>
      <c r="M253" s="677">
        <f>ROUND(SUM(M243:M252),5)</f>
        <v>0</v>
      </c>
      <c r="N253" s="678"/>
      <c r="O253" s="677">
        <f>ROUND(SUM(O243:O252),5)</f>
        <v>10375.620000000001</v>
      </c>
      <c r="P253" s="678"/>
      <c r="Q253" s="677">
        <f>ROUND(SUM(Q243:Q252),5)</f>
        <v>594.33000000000004</v>
      </c>
      <c r="R253" s="678"/>
      <c r="S253" s="677">
        <f>ROUND(SUM(S243:S252),5)</f>
        <v>0</v>
      </c>
      <c r="T253" s="678"/>
      <c r="U253" s="677">
        <f>ROUND(SUM(U243:U252),5)</f>
        <v>10911.79</v>
      </c>
      <c r="V253" s="678"/>
      <c r="W253" s="677">
        <f>ROUND(SUM(W243:W252),5)</f>
        <v>0</v>
      </c>
      <c r="X253" s="678"/>
      <c r="Y253" s="677">
        <f>ROUND(SUM(Y243:Y252),5)</f>
        <v>0</v>
      </c>
      <c r="Z253" s="678"/>
      <c r="AA253" s="677">
        <f>ROUND(SUM(AA243:AA252),5)</f>
        <v>16909.62</v>
      </c>
      <c r="AB253" s="678"/>
      <c r="AC253" s="677">
        <f t="shared" si="24"/>
        <v>49063.24</v>
      </c>
      <c r="AD253" s="672"/>
      <c r="AE253" s="672"/>
      <c r="AF253" s="672"/>
      <c r="AG253" s="672"/>
      <c r="AH253" s="672"/>
      <c r="AI253" s="672"/>
      <c r="AJ253" s="672"/>
      <c r="AK253" s="672"/>
    </row>
    <row r="254" spans="1:37">
      <c r="A254" s="676"/>
      <c r="B254" s="676" t="s">
        <v>380</v>
      </c>
      <c r="C254" s="676"/>
      <c r="D254" s="676"/>
      <c r="E254" s="677">
        <v>0</v>
      </c>
      <c r="F254" s="678"/>
      <c r="G254" s="677">
        <v>11213.66</v>
      </c>
      <c r="H254" s="678"/>
      <c r="I254" s="677">
        <v>0</v>
      </c>
      <c r="J254" s="678"/>
      <c r="K254" s="677">
        <v>0</v>
      </c>
      <c r="L254" s="678"/>
      <c r="M254" s="677">
        <v>0</v>
      </c>
      <c r="N254" s="678"/>
      <c r="O254" s="677">
        <v>0</v>
      </c>
      <c r="P254" s="678"/>
      <c r="Q254" s="677">
        <v>0</v>
      </c>
      <c r="R254" s="678"/>
      <c r="S254" s="677">
        <v>0</v>
      </c>
      <c r="T254" s="678"/>
      <c r="U254" s="677">
        <v>0</v>
      </c>
      <c r="V254" s="678"/>
      <c r="W254" s="677">
        <v>0</v>
      </c>
      <c r="X254" s="678"/>
      <c r="Y254" s="677">
        <v>0</v>
      </c>
      <c r="Z254" s="678"/>
      <c r="AA254" s="677">
        <v>0</v>
      </c>
      <c r="AB254" s="678"/>
      <c r="AC254" s="677">
        <f t="shared" si="24"/>
        <v>11213.66</v>
      </c>
      <c r="AD254" s="672"/>
      <c r="AE254" s="672"/>
      <c r="AF254" s="672"/>
      <c r="AG254" s="672"/>
      <c r="AH254" s="672"/>
      <c r="AI254" s="672"/>
      <c r="AJ254" s="672"/>
      <c r="AK254" s="672"/>
    </row>
    <row r="255" spans="1:37">
      <c r="A255" s="676"/>
      <c r="B255" s="676" t="s">
        <v>381</v>
      </c>
      <c r="C255" s="676"/>
      <c r="D255" s="676"/>
      <c r="E255" s="677"/>
      <c r="F255" s="678"/>
      <c r="G255" s="677"/>
      <c r="H255" s="678"/>
      <c r="I255" s="677"/>
      <c r="J255" s="678"/>
      <c r="K255" s="677"/>
      <c r="L255" s="678"/>
      <c r="M255" s="677"/>
      <c r="N255" s="678"/>
      <c r="O255" s="677"/>
      <c r="P255" s="678"/>
      <c r="Q255" s="677"/>
      <c r="R255" s="678"/>
      <c r="S255" s="677"/>
      <c r="T255" s="678"/>
      <c r="U255" s="677"/>
      <c r="V255" s="678"/>
      <c r="W255" s="677"/>
      <c r="X255" s="678"/>
      <c r="Y255" s="677"/>
      <c r="Z255" s="678"/>
      <c r="AA255" s="677"/>
      <c r="AB255" s="678"/>
      <c r="AC255" s="677"/>
      <c r="AD255" s="672"/>
      <c r="AE255" s="672"/>
      <c r="AF255" s="672"/>
      <c r="AG255" s="672"/>
      <c r="AH255" s="672"/>
      <c r="AI255" s="672"/>
      <c r="AJ255" s="672"/>
      <c r="AK255" s="672"/>
    </row>
    <row r="256" spans="1:37">
      <c r="A256" s="676"/>
      <c r="B256" s="676"/>
      <c r="C256" s="676" t="s">
        <v>382</v>
      </c>
      <c r="D256" s="676"/>
      <c r="E256" s="677">
        <v>16618.63</v>
      </c>
      <c r="F256" s="678"/>
      <c r="G256" s="677">
        <v>14629.18</v>
      </c>
      <c r="H256" s="678"/>
      <c r="I256" s="677">
        <v>118257.09</v>
      </c>
      <c r="J256" s="678"/>
      <c r="K256" s="677">
        <v>14633.62</v>
      </c>
      <c r="L256" s="678"/>
      <c r="M256" s="677">
        <v>14849.8</v>
      </c>
      <c r="N256" s="678"/>
      <c r="O256" s="677">
        <v>106554.95</v>
      </c>
      <c r="P256" s="678"/>
      <c r="Q256" s="677">
        <v>15577.36</v>
      </c>
      <c r="R256" s="678"/>
      <c r="S256" s="677">
        <v>26051.119999999999</v>
      </c>
      <c r="T256" s="678"/>
      <c r="U256" s="677">
        <v>57856.34</v>
      </c>
      <c r="V256" s="678"/>
      <c r="W256" s="677">
        <v>108067.84</v>
      </c>
      <c r="X256" s="678"/>
      <c r="Y256" s="677">
        <v>28576.38</v>
      </c>
      <c r="Z256" s="678"/>
      <c r="AA256" s="677">
        <v>169845.24</v>
      </c>
      <c r="AB256" s="678"/>
      <c r="AC256" s="677">
        <f t="shared" ref="AC256:AC267" si="25">ROUND(SUM(E256:AA256),5)</f>
        <v>691517.55</v>
      </c>
      <c r="AD256" s="684"/>
      <c r="AE256" s="672"/>
      <c r="AF256" s="672"/>
      <c r="AG256" s="672"/>
      <c r="AH256" s="672"/>
      <c r="AI256" s="672"/>
      <c r="AJ256" s="672"/>
      <c r="AK256" s="672"/>
    </row>
    <row r="257" spans="1:37">
      <c r="A257" s="676"/>
      <c r="B257" s="676"/>
      <c r="C257" s="676" t="s">
        <v>383</v>
      </c>
      <c r="D257" s="676"/>
      <c r="E257" s="677">
        <v>30233.88</v>
      </c>
      <c r="F257" s="678"/>
      <c r="G257" s="677">
        <v>20878.39</v>
      </c>
      <c r="H257" s="678"/>
      <c r="I257" s="677">
        <v>46913.39</v>
      </c>
      <c r="J257" s="678"/>
      <c r="K257" s="677">
        <v>28246</v>
      </c>
      <c r="L257" s="678"/>
      <c r="M257" s="677">
        <v>28673.040000000001</v>
      </c>
      <c r="N257" s="678"/>
      <c r="O257" s="677">
        <v>22037.14</v>
      </c>
      <c r="P257" s="678"/>
      <c r="Q257" s="677">
        <v>33002.78</v>
      </c>
      <c r="R257" s="678"/>
      <c r="S257" s="677">
        <v>5387.77</v>
      </c>
      <c r="T257" s="678"/>
      <c r="U257" s="677">
        <v>11965.55</v>
      </c>
      <c r="V257" s="678"/>
      <c r="W257" s="677">
        <v>22350.03</v>
      </c>
      <c r="X257" s="678"/>
      <c r="Y257" s="677">
        <v>5910.02</v>
      </c>
      <c r="Z257" s="678"/>
      <c r="AA257" s="677">
        <v>35126.5</v>
      </c>
      <c r="AB257" s="678"/>
      <c r="AC257" s="677">
        <f t="shared" si="25"/>
        <v>290724.49</v>
      </c>
      <c r="AD257" s="684"/>
      <c r="AE257" s="672"/>
      <c r="AF257" s="672"/>
      <c r="AG257" s="672"/>
      <c r="AH257" s="672"/>
      <c r="AI257" s="672"/>
      <c r="AJ257" s="672"/>
      <c r="AK257" s="672"/>
    </row>
    <row r="258" spans="1:37">
      <c r="A258" s="676"/>
      <c r="B258" s="676"/>
      <c r="C258" s="676" t="s">
        <v>384</v>
      </c>
      <c r="D258" s="676"/>
      <c r="E258" s="677">
        <v>24206.78</v>
      </c>
      <c r="F258" s="678"/>
      <c r="G258" s="677">
        <v>22219.77</v>
      </c>
      <c r="H258" s="678"/>
      <c r="I258" s="677">
        <v>58124.44</v>
      </c>
      <c r="J258" s="678"/>
      <c r="K258" s="677">
        <v>25190.09</v>
      </c>
      <c r="L258" s="678"/>
      <c r="M258" s="677">
        <v>22858.29</v>
      </c>
      <c r="N258" s="678"/>
      <c r="O258" s="677">
        <v>36718.04</v>
      </c>
      <c r="P258" s="678"/>
      <c r="Q258" s="677">
        <v>17633.95</v>
      </c>
      <c r="R258" s="678"/>
      <c r="S258" s="677">
        <v>8977.0300000000007</v>
      </c>
      <c r="T258" s="678"/>
      <c r="U258" s="677">
        <v>19936.87</v>
      </c>
      <c r="V258" s="678"/>
      <c r="W258" s="677">
        <v>37239.379999999997</v>
      </c>
      <c r="X258" s="678"/>
      <c r="Y258" s="677">
        <v>9847.2099999999991</v>
      </c>
      <c r="Z258" s="678"/>
      <c r="AA258" s="677">
        <v>58527.41</v>
      </c>
      <c r="AB258" s="678"/>
      <c r="AC258" s="677">
        <f t="shared" si="25"/>
        <v>341479.26</v>
      </c>
      <c r="AD258" s="684"/>
      <c r="AE258" s="672"/>
      <c r="AF258" s="672"/>
      <c r="AG258" s="672"/>
      <c r="AH258" s="672"/>
      <c r="AI258" s="672"/>
      <c r="AJ258" s="672"/>
      <c r="AK258" s="672"/>
    </row>
    <row r="259" spans="1:37">
      <c r="A259" s="676"/>
      <c r="B259" s="676"/>
      <c r="C259" s="676" t="s">
        <v>385</v>
      </c>
      <c r="D259" s="676"/>
      <c r="E259" s="677">
        <v>1805.7</v>
      </c>
      <c r="F259" s="678"/>
      <c r="G259" s="677">
        <v>1401.14</v>
      </c>
      <c r="H259" s="678"/>
      <c r="I259" s="677">
        <v>50875.09</v>
      </c>
      <c r="J259" s="678"/>
      <c r="K259" s="677">
        <v>1544.44</v>
      </c>
      <c r="L259" s="678"/>
      <c r="M259" s="677">
        <v>1590.21</v>
      </c>
      <c r="N259" s="678"/>
      <c r="O259" s="677">
        <v>51462.09</v>
      </c>
      <c r="P259" s="678"/>
      <c r="Q259" s="677">
        <v>2136.11</v>
      </c>
      <c r="R259" s="678"/>
      <c r="S259" s="677">
        <v>12581.74</v>
      </c>
      <c r="T259" s="678"/>
      <c r="U259" s="677">
        <v>27942.48</v>
      </c>
      <c r="V259" s="678"/>
      <c r="W259" s="677">
        <v>52192.76</v>
      </c>
      <c r="X259" s="678"/>
      <c r="Y259" s="677">
        <v>13801.34</v>
      </c>
      <c r="Z259" s="678"/>
      <c r="AA259" s="677">
        <v>82028.960000000006</v>
      </c>
      <c r="AB259" s="678"/>
      <c r="AC259" s="677">
        <f t="shared" si="25"/>
        <v>299362.06</v>
      </c>
      <c r="AD259" s="684"/>
      <c r="AE259" s="672"/>
      <c r="AF259" s="672"/>
      <c r="AG259" s="672"/>
      <c r="AH259" s="672"/>
      <c r="AI259" s="672"/>
      <c r="AJ259" s="672"/>
      <c r="AK259" s="672"/>
    </row>
    <row r="260" spans="1:37">
      <c r="A260" s="676"/>
      <c r="B260" s="676"/>
      <c r="C260" s="676" t="s">
        <v>386</v>
      </c>
      <c r="D260" s="676"/>
      <c r="E260" s="677">
        <v>409.72</v>
      </c>
      <c r="F260" s="678"/>
      <c r="G260" s="677">
        <v>341.13</v>
      </c>
      <c r="H260" s="678"/>
      <c r="I260" s="677">
        <v>35535.4</v>
      </c>
      <c r="J260" s="678"/>
      <c r="K260" s="677">
        <v>534.12</v>
      </c>
      <c r="L260" s="678"/>
      <c r="M260" s="677">
        <v>427.34</v>
      </c>
      <c r="N260" s="678"/>
      <c r="O260" s="677">
        <v>36718.050000000003</v>
      </c>
      <c r="P260" s="678"/>
      <c r="Q260" s="677">
        <v>378.23</v>
      </c>
      <c r="R260" s="678"/>
      <c r="S260" s="677">
        <v>8977.0300000000007</v>
      </c>
      <c r="T260" s="678"/>
      <c r="U260" s="677">
        <v>19936.87</v>
      </c>
      <c r="V260" s="678"/>
      <c r="W260" s="677">
        <v>37239.379999999997</v>
      </c>
      <c r="X260" s="678"/>
      <c r="Y260" s="677">
        <v>9847.2099999999991</v>
      </c>
      <c r="Z260" s="678"/>
      <c r="AA260" s="677">
        <v>58527.41</v>
      </c>
      <c r="AB260" s="678"/>
      <c r="AC260" s="677">
        <f t="shared" si="25"/>
        <v>208871.89</v>
      </c>
      <c r="AD260" s="684"/>
      <c r="AE260" s="672"/>
      <c r="AF260" s="672"/>
      <c r="AG260" s="672"/>
      <c r="AH260" s="672"/>
      <c r="AI260" s="672"/>
      <c r="AJ260" s="672"/>
      <c r="AK260" s="672"/>
    </row>
    <row r="261" spans="1:37">
      <c r="A261" s="676"/>
      <c r="B261" s="676"/>
      <c r="C261" s="676" t="s">
        <v>387</v>
      </c>
      <c r="D261" s="676"/>
      <c r="E261" s="677">
        <v>135.08000000000001</v>
      </c>
      <c r="F261" s="678"/>
      <c r="G261" s="677">
        <v>138.05000000000001</v>
      </c>
      <c r="H261" s="678"/>
      <c r="I261" s="677">
        <v>17498.03</v>
      </c>
      <c r="J261" s="678"/>
      <c r="K261" s="677">
        <v>134.01</v>
      </c>
      <c r="L261" s="678"/>
      <c r="M261" s="677">
        <v>133.9</v>
      </c>
      <c r="N261" s="678"/>
      <c r="O261" s="677">
        <v>18153.8</v>
      </c>
      <c r="P261" s="678"/>
      <c r="Q261" s="677">
        <v>131.43</v>
      </c>
      <c r="R261" s="678"/>
      <c r="S261" s="677">
        <v>4438.34</v>
      </c>
      <c r="T261" s="678"/>
      <c r="U261" s="677">
        <v>9857.01</v>
      </c>
      <c r="V261" s="678"/>
      <c r="W261" s="677">
        <v>18411.560000000001</v>
      </c>
      <c r="X261" s="678"/>
      <c r="Y261" s="677">
        <v>4868.57</v>
      </c>
      <c r="Z261" s="678"/>
      <c r="AA261" s="677">
        <v>28936.6</v>
      </c>
      <c r="AB261" s="678"/>
      <c r="AC261" s="677">
        <f t="shared" si="25"/>
        <v>102836.38</v>
      </c>
      <c r="AD261" s="684"/>
      <c r="AE261" s="672"/>
      <c r="AF261" s="672"/>
      <c r="AG261" s="672"/>
      <c r="AH261" s="672"/>
      <c r="AI261" s="672"/>
      <c r="AJ261" s="672"/>
      <c r="AK261" s="672"/>
    </row>
    <row r="262" spans="1:37">
      <c r="A262" s="676"/>
      <c r="B262" s="676"/>
      <c r="C262" s="676" t="s">
        <v>388</v>
      </c>
      <c r="D262" s="676"/>
      <c r="E262" s="677">
        <v>1417.14</v>
      </c>
      <c r="F262" s="678"/>
      <c r="G262" s="677">
        <v>1414.28</v>
      </c>
      <c r="H262" s="678"/>
      <c r="I262" s="677">
        <v>22476.83</v>
      </c>
      <c r="J262" s="678"/>
      <c r="K262" s="677">
        <v>1443.44</v>
      </c>
      <c r="L262" s="678"/>
      <c r="M262" s="677">
        <v>1468.06</v>
      </c>
      <c r="N262" s="678"/>
      <c r="O262" s="677">
        <v>22037.14</v>
      </c>
      <c r="P262" s="678"/>
      <c r="Q262" s="677">
        <v>1332.87</v>
      </c>
      <c r="R262" s="678"/>
      <c r="S262" s="677">
        <v>5387.77</v>
      </c>
      <c r="T262" s="678"/>
      <c r="U262" s="677">
        <v>11965.55</v>
      </c>
      <c r="V262" s="678"/>
      <c r="W262" s="677">
        <v>22350.03</v>
      </c>
      <c r="X262" s="678"/>
      <c r="Y262" s="677">
        <v>5910.02</v>
      </c>
      <c r="Z262" s="678"/>
      <c r="AA262" s="677">
        <v>35126.51</v>
      </c>
      <c r="AB262" s="678"/>
      <c r="AC262" s="677">
        <f t="shared" si="25"/>
        <v>132329.64000000001</v>
      </c>
      <c r="AD262" s="684"/>
      <c r="AE262" s="672"/>
      <c r="AF262" s="672"/>
      <c r="AG262" s="672"/>
      <c r="AH262" s="672"/>
      <c r="AI262" s="672"/>
      <c r="AJ262" s="672"/>
      <c r="AK262" s="672"/>
    </row>
    <row r="263" spans="1:37">
      <c r="A263" s="676"/>
      <c r="B263" s="676"/>
      <c r="C263" s="676" t="s">
        <v>389</v>
      </c>
      <c r="D263" s="676"/>
      <c r="E263" s="677">
        <v>1384</v>
      </c>
      <c r="F263" s="678"/>
      <c r="G263" s="677">
        <v>1160.4000000000001</v>
      </c>
      <c r="H263" s="678"/>
      <c r="I263" s="677">
        <v>21886.01</v>
      </c>
      <c r="J263" s="678"/>
      <c r="K263" s="677">
        <v>682.35</v>
      </c>
      <c r="L263" s="678"/>
      <c r="M263" s="677">
        <v>1114.6400000000001</v>
      </c>
      <c r="N263" s="678"/>
      <c r="O263" s="677">
        <v>22037.15</v>
      </c>
      <c r="P263" s="678"/>
      <c r="Q263" s="677">
        <v>1240.7</v>
      </c>
      <c r="R263" s="678"/>
      <c r="S263" s="677">
        <v>5387.77</v>
      </c>
      <c r="T263" s="678"/>
      <c r="U263" s="677">
        <v>11965.56</v>
      </c>
      <c r="V263" s="678"/>
      <c r="W263" s="677">
        <v>22350.03</v>
      </c>
      <c r="X263" s="678"/>
      <c r="Y263" s="677">
        <v>5910.02</v>
      </c>
      <c r="Z263" s="678"/>
      <c r="AA263" s="677">
        <v>35126.519999999997</v>
      </c>
      <c r="AB263" s="678"/>
      <c r="AC263" s="677">
        <f t="shared" si="25"/>
        <v>130245.15</v>
      </c>
      <c r="AD263" s="684"/>
      <c r="AE263" s="672"/>
      <c r="AF263" s="672"/>
      <c r="AG263" s="672"/>
      <c r="AH263" s="672"/>
      <c r="AI263" s="672"/>
      <c r="AJ263" s="672"/>
      <c r="AK263" s="672"/>
    </row>
    <row r="264" spans="1:37">
      <c r="A264" s="676"/>
      <c r="B264" s="676"/>
      <c r="C264" s="676" t="s">
        <v>390</v>
      </c>
      <c r="D264" s="676"/>
      <c r="E264" s="677">
        <v>22.72</v>
      </c>
      <c r="F264" s="678"/>
      <c r="G264" s="677">
        <v>14.9</v>
      </c>
      <c r="H264" s="678"/>
      <c r="I264" s="677">
        <v>26.78</v>
      </c>
      <c r="J264" s="678"/>
      <c r="K264" s="677">
        <v>11</v>
      </c>
      <c r="L264" s="678"/>
      <c r="M264" s="677">
        <v>31.02</v>
      </c>
      <c r="N264" s="678"/>
      <c r="O264" s="677">
        <v>0</v>
      </c>
      <c r="P264" s="678"/>
      <c r="Q264" s="677">
        <v>15.88</v>
      </c>
      <c r="R264" s="678"/>
      <c r="S264" s="677">
        <v>0</v>
      </c>
      <c r="T264" s="678"/>
      <c r="U264" s="677">
        <v>0</v>
      </c>
      <c r="V264" s="678"/>
      <c r="W264" s="677">
        <v>0</v>
      </c>
      <c r="X264" s="678"/>
      <c r="Y264" s="677">
        <v>0</v>
      </c>
      <c r="Z264" s="678"/>
      <c r="AA264" s="677">
        <v>0</v>
      </c>
      <c r="AB264" s="678"/>
      <c r="AC264" s="677">
        <f t="shared" si="25"/>
        <v>122.3</v>
      </c>
      <c r="AD264" s="684"/>
      <c r="AE264" s="672"/>
      <c r="AF264" s="672"/>
      <c r="AG264" s="672"/>
      <c r="AH264" s="672"/>
      <c r="AI264" s="672"/>
      <c r="AJ264" s="672"/>
      <c r="AK264" s="672"/>
    </row>
    <row r="265" spans="1:37" ht="15.75" thickBot="1">
      <c r="A265" s="676"/>
      <c r="B265" s="676"/>
      <c r="C265" s="676" t="s">
        <v>391</v>
      </c>
      <c r="D265" s="676"/>
      <c r="E265" s="680">
        <v>4778.42</v>
      </c>
      <c r="F265" s="678"/>
      <c r="G265" s="680">
        <v>3839.71</v>
      </c>
      <c r="H265" s="678"/>
      <c r="I265" s="680">
        <v>-8618.1299999999992</v>
      </c>
      <c r="J265" s="678"/>
      <c r="K265" s="680">
        <v>4186.6499999999996</v>
      </c>
      <c r="L265" s="678"/>
      <c r="M265" s="680">
        <v>4065.16</v>
      </c>
      <c r="N265" s="678"/>
      <c r="O265" s="680">
        <v>-8251.81</v>
      </c>
      <c r="P265" s="678"/>
      <c r="Q265" s="680">
        <v>4617.43</v>
      </c>
      <c r="R265" s="678"/>
      <c r="S265" s="680">
        <v>4691.8100000000004</v>
      </c>
      <c r="T265" s="678"/>
      <c r="U265" s="680">
        <v>-9309.24</v>
      </c>
      <c r="V265" s="678"/>
      <c r="W265" s="680">
        <v>4814.29</v>
      </c>
      <c r="X265" s="678"/>
      <c r="Y265" s="680">
        <v>4922.93</v>
      </c>
      <c r="Z265" s="678"/>
      <c r="AA265" s="680">
        <v>0</v>
      </c>
      <c r="AB265" s="678"/>
      <c r="AC265" s="680">
        <f t="shared" si="25"/>
        <v>9737.2199999999993</v>
      </c>
      <c r="AD265" s="684"/>
      <c r="AE265" s="672"/>
      <c r="AF265" s="672"/>
      <c r="AG265" s="672"/>
      <c r="AH265" s="672"/>
      <c r="AI265" s="672"/>
      <c r="AJ265" s="672"/>
      <c r="AK265" s="672"/>
    </row>
    <row r="266" spans="1:37">
      <c r="A266" s="676"/>
      <c r="B266" s="676" t="s">
        <v>392</v>
      </c>
      <c r="C266" s="676"/>
      <c r="D266" s="676"/>
      <c r="E266" s="677">
        <f>ROUND(SUM(E255:E265),5)</f>
        <v>81012.070000000007</v>
      </c>
      <c r="F266" s="678"/>
      <c r="G266" s="677">
        <f>ROUND(SUM(G255:G265),5)</f>
        <v>66036.95</v>
      </c>
      <c r="H266" s="678"/>
      <c r="I266" s="677">
        <f>ROUND(SUM(I255:I265),5)</f>
        <v>362974.93</v>
      </c>
      <c r="J266" s="678"/>
      <c r="K266" s="677">
        <f>ROUND(SUM(K255:K265),5)</f>
        <v>76605.72</v>
      </c>
      <c r="L266" s="678"/>
      <c r="M266" s="677">
        <f>ROUND(SUM(M255:M265),5)</f>
        <v>75211.460000000006</v>
      </c>
      <c r="N266" s="678"/>
      <c r="O266" s="677">
        <f>ROUND(SUM(O255:O265),5)</f>
        <v>307466.55</v>
      </c>
      <c r="P266" s="678"/>
      <c r="Q266" s="677">
        <f>ROUND(SUM(Q255:Q265),5)</f>
        <v>76066.740000000005</v>
      </c>
      <c r="R266" s="678"/>
      <c r="S266" s="677">
        <f>ROUND(SUM(S255:S265),5)</f>
        <v>81880.38</v>
      </c>
      <c r="T266" s="678"/>
      <c r="U266" s="677">
        <f>ROUND(SUM(U255:U265),5)</f>
        <v>162116.99</v>
      </c>
      <c r="V266" s="678"/>
      <c r="W266" s="677">
        <f>ROUND(SUM(W255:W265),5)</f>
        <v>325015.3</v>
      </c>
      <c r="X266" s="678"/>
      <c r="Y266" s="677">
        <f>ROUND(SUM(Y255:Y265),5)</f>
        <v>89593.7</v>
      </c>
      <c r="Z266" s="678"/>
      <c r="AA266" s="677">
        <f>ROUND(SUM(AA255:AA265),5)</f>
        <v>503245.15</v>
      </c>
      <c r="AB266" s="678"/>
      <c r="AC266" s="677">
        <f t="shared" si="25"/>
        <v>2207225.94</v>
      </c>
      <c r="AD266" s="684"/>
      <c r="AE266" s="672"/>
      <c r="AF266" s="672"/>
      <c r="AG266" s="672"/>
      <c r="AH266" s="672"/>
      <c r="AI266" s="672"/>
      <c r="AJ266" s="672"/>
      <c r="AK266" s="672"/>
    </row>
    <row r="267" spans="1:37">
      <c r="A267" s="676"/>
      <c r="B267" s="676" t="s">
        <v>393</v>
      </c>
      <c r="C267" s="676"/>
      <c r="D267" s="676"/>
      <c r="E267" s="677">
        <v>100</v>
      </c>
      <c r="F267" s="678"/>
      <c r="G267" s="677">
        <v>0</v>
      </c>
      <c r="H267" s="678"/>
      <c r="I267" s="677">
        <v>0</v>
      </c>
      <c r="J267" s="678"/>
      <c r="K267" s="677">
        <v>0</v>
      </c>
      <c r="L267" s="678"/>
      <c r="M267" s="677">
        <v>0</v>
      </c>
      <c r="N267" s="678"/>
      <c r="O267" s="677">
        <v>0</v>
      </c>
      <c r="P267" s="678"/>
      <c r="Q267" s="677">
        <v>111</v>
      </c>
      <c r="R267" s="678"/>
      <c r="S267" s="677">
        <v>0</v>
      </c>
      <c r="T267" s="678"/>
      <c r="U267" s="677">
        <v>145</v>
      </c>
      <c r="V267" s="678"/>
      <c r="W267" s="677">
        <v>60</v>
      </c>
      <c r="X267" s="678"/>
      <c r="Y267" s="677">
        <v>60</v>
      </c>
      <c r="Z267" s="678"/>
      <c r="AA267" s="677">
        <v>0</v>
      </c>
      <c r="AB267" s="678"/>
      <c r="AC267" s="677">
        <f t="shared" si="25"/>
        <v>476</v>
      </c>
      <c r="AD267" s="672"/>
      <c r="AE267" s="672"/>
      <c r="AF267" s="672"/>
      <c r="AG267" s="672"/>
      <c r="AH267" s="672"/>
      <c r="AI267" s="672"/>
      <c r="AJ267" s="672"/>
      <c r="AK267" s="672"/>
    </row>
    <row r="268" spans="1:37">
      <c r="A268" s="676"/>
      <c r="B268" s="676" t="s">
        <v>394</v>
      </c>
      <c r="C268" s="676"/>
      <c r="D268" s="676"/>
      <c r="E268" s="677"/>
      <c r="F268" s="678"/>
      <c r="G268" s="677"/>
      <c r="H268" s="678"/>
      <c r="I268" s="677"/>
      <c r="J268" s="678"/>
      <c r="K268" s="677"/>
      <c r="L268" s="678"/>
      <c r="M268" s="677"/>
      <c r="N268" s="678"/>
      <c r="O268" s="677"/>
      <c r="P268" s="678"/>
      <c r="Q268" s="677"/>
      <c r="R268" s="678"/>
      <c r="S268" s="677"/>
      <c r="T268" s="678"/>
      <c r="U268" s="677"/>
      <c r="V268" s="678"/>
      <c r="W268" s="677"/>
      <c r="X268" s="678"/>
      <c r="Y268" s="677"/>
      <c r="Z268" s="678"/>
      <c r="AA268" s="677"/>
      <c r="AB268" s="678"/>
      <c r="AC268" s="677"/>
      <c r="AD268" s="672"/>
      <c r="AE268" s="672"/>
      <c r="AF268" s="672"/>
      <c r="AG268" s="672"/>
      <c r="AH268" s="672"/>
      <c r="AI268" s="672"/>
      <c r="AJ268" s="672"/>
      <c r="AK268" s="672"/>
    </row>
    <row r="269" spans="1:37">
      <c r="A269" s="676"/>
      <c r="B269" s="676"/>
      <c r="C269" s="676" t="s">
        <v>395</v>
      </c>
      <c r="D269" s="676"/>
      <c r="E269" s="677">
        <v>15476.67</v>
      </c>
      <c r="F269" s="678"/>
      <c r="G269" s="677">
        <v>15476.67</v>
      </c>
      <c r="H269" s="678"/>
      <c r="I269" s="677">
        <v>15476.67</v>
      </c>
      <c r="J269" s="678"/>
      <c r="K269" s="677">
        <v>15476.67</v>
      </c>
      <c r="L269" s="678"/>
      <c r="M269" s="677">
        <v>15476.67</v>
      </c>
      <c r="N269" s="678"/>
      <c r="O269" s="677">
        <v>16077.04</v>
      </c>
      <c r="P269" s="678"/>
      <c r="Q269" s="677">
        <v>12166.67</v>
      </c>
      <c r="R269" s="678"/>
      <c r="S269" s="677">
        <v>18802.46</v>
      </c>
      <c r="T269" s="678"/>
      <c r="U269" s="677">
        <v>15492.46</v>
      </c>
      <c r="V269" s="678"/>
      <c r="W269" s="677">
        <v>15492.46</v>
      </c>
      <c r="X269" s="678"/>
      <c r="Y269" s="677">
        <v>14907</v>
      </c>
      <c r="Z269" s="678"/>
      <c r="AA269" s="677">
        <v>16077.92</v>
      </c>
      <c r="AB269" s="678"/>
      <c r="AC269" s="677">
        <f>ROUND(SUM(E269:AA269),5)</f>
        <v>186399.35999999999</v>
      </c>
      <c r="AD269" s="672"/>
      <c r="AE269" s="672"/>
      <c r="AF269" s="672"/>
      <c r="AG269" s="672"/>
      <c r="AH269" s="672"/>
      <c r="AI269" s="672"/>
      <c r="AJ269" s="672"/>
      <c r="AK269" s="672"/>
    </row>
    <row r="270" spans="1:37" ht="15.75" thickBot="1">
      <c r="A270" s="676"/>
      <c r="B270" s="676"/>
      <c r="C270" s="676" t="s">
        <v>396</v>
      </c>
      <c r="D270" s="676"/>
      <c r="E270" s="682">
        <v>0</v>
      </c>
      <c r="F270" s="678"/>
      <c r="G270" s="682">
        <v>0</v>
      </c>
      <c r="H270" s="678"/>
      <c r="I270" s="682">
        <v>0</v>
      </c>
      <c r="J270" s="678"/>
      <c r="K270" s="682">
        <v>0</v>
      </c>
      <c r="L270" s="678"/>
      <c r="M270" s="682">
        <v>0</v>
      </c>
      <c r="N270" s="678"/>
      <c r="O270" s="682">
        <v>0</v>
      </c>
      <c r="P270" s="678"/>
      <c r="Q270" s="682">
        <v>0</v>
      </c>
      <c r="R270" s="678"/>
      <c r="S270" s="682">
        <v>0</v>
      </c>
      <c r="T270" s="678"/>
      <c r="U270" s="682">
        <v>0</v>
      </c>
      <c r="V270" s="678"/>
      <c r="W270" s="682">
        <v>0</v>
      </c>
      <c r="X270" s="678"/>
      <c r="Y270" s="682">
        <v>1251.01</v>
      </c>
      <c r="Z270" s="678"/>
      <c r="AA270" s="682">
        <v>0</v>
      </c>
      <c r="AB270" s="678"/>
      <c r="AC270" s="682">
        <f>ROUND(SUM(E270:AA270),5)</f>
        <v>1251.01</v>
      </c>
      <c r="AD270" s="672"/>
      <c r="AE270" s="672"/>
      <c r="AF270" s="672"/>
      <c r="AG270" s="672"/>
      <c r="AH270" s="672"/>
      <c r="AI270" s="672"/>
      <c r="AJ270" s="672"/>
      <c r="AK270" s="672"/>
    </row>
    <row r="271" spans="1:37" ht="15.75" thickBot="1">
      <c r="A271" s="676"/>
      <c r="B271" s="676" t="s">
        <v>397</v>
      </c>
      <c r="C271" s="676"/>
      <c r="D271" s="676"/>
      <c r="E271" s="686">
        <f>ROUND(SUM(E268:E270),5)</f>
        <v>15476.67</v>
      </c>
      <c r="F271" s="678"/>
      <c r="G271" s="686">
        <f>ROUND(SUM(G268:G270),5)</f>
        <v>15476.67</v>
      </c>
      <c r="H271" s="678"/>
      <c r="I271" s="686">
        <f>ROUND(SUM(I268:I270),5)</f>
        <v>15476.67</v>
      </c>
      <c r="J271" s="678"/>
      <c r="K271" s="686">
        <f>ROUND(SUM(K268:K270),5)</f>
        <v>15476.67</v>
      </c>
      <c r="L271" s="678"/>
      <c r="M271" s="686">
        <f>ROUND(SUM(M268:M270),5)</f>
        <v>15476.67</v>
      </c>
      <c r="N271" s="678"/>
      <c r="O271" s="686">
        <f>ROUND(SUM(O268:O270),5)</f>
        <v>16077.04</v>
      </c>
      <c r="P271" s="678"/>
      <c r="Q271" s="686">
        <f>ROUND(SUM(Q268:Q270),5)</f>
        <v>12166.67</v>
      </c>
      <c r="R271" s="678"/>
      <c r="S271" s="686">
        <f>ROUND(SUM(S268:S270),5)</f>
        <v>18802.46</v>
      </c>
      <c r="T271" s="678"/>
      <c r="U271" s="686">
        <f>ROUND(SUM(U268:U270),5)</f>
        <v>15492.46</v>
      </c>
      <c r="V271" s="678"/>
      <c r="W271" s="686">
        <f>ROUND(SUM(W268:W270),5)</f>
        <v>15492.46</v>
      </c>
      <c r="X271" s="678"/>
      <c r="Y271" s="686">
        <f>ROUND(SUM(Y268:Y270),5)</f>
        <v>16158.01</v>
      </c>
      <c r="Z271" s="678"/>
      <c r="AA271" s="686">
        <f>ROUND(SUM(AA268:AA270),5)</f>
        <v>16077.92</v>
      </c>
      <c r="AB271" s="678"/>
      <c r="AC271" s="686">
        <f>ROUND(SUM(E271:AA271),5)</f>
        <v>187650.37</v>
      </c>
      <c r="AD271" s="672"/>
      <c r="AE271" s="672"/>
      <c r="AF271" s="672"/>
      <c r="AG271" s="672"/>
      <c r="AH271" s="672"/>
      <c r="AI271" s="672"/>
      <c r="AJ271" s="672"/>
      <c r="AK271" s="672"/>
    </row>
    <row r="272" spans="1:37" ht="15.75" thickBot="1">
      <c r="A272" s="676" t="s">
        <v>398</v>
      </c>
      <c r="B272" s="676"/>
      <c r="C272" s="676"/>
      <c r="D272" s="676"/>
      <c r="E272" s="683">
        <f>ROUND(SUM(E26:E29)+E41+E51+SUM(E115:E116)+E127+E133+E143+E148+SUM(E164:E165)+E175+E190+E207+E214+SUM(E220:E221)+E242+SUM(E253:E254)+SUM(E266:E267)+E271,5)</f>
        <v>1693026.32</v>
      </c>
      <c r="F272" s="678"/>
      <c r="G272" s="683">
        <f>ROUND(SUM(G26:G29)+G41+G51+SUM(G115:G116)+G127+G133+G143+G148+SUM(G164:G165)+G175+G190+G207+G214+SUM(G220:G221)+G242+SUM(G253:G254)+SUM(G266:G267)+G271,5)</f>
        <v>1354044.45</v>
      </c>
      <c r="H272" s="678"/>
      <c r="I272" s="683">
        <f>ROUND(SUM(I26:I29)+I41+I51+SUM(I115:I116)+I127+I133+I143+I148+SUM(I164:I165)+I175+I190+I207+I214+SUM(I220:I221)+I242+SUM(I253:I254)+SUM(I266:I267)+I271,5)</f>
        <v>2046195.36</v>
      </c>
      <c r="J272" s="678"/>
      <c r="K272" s="683">
        <f>ROUND(SUM(K26:K29)+K41+K51+SUM(K115:K116)+K127+K133+K143+K148+SUM(K164:K165)+K175+K190+K207+K214+SUM(K220:K221)+K242+SUM(K253:K254)+SUM(K266:K267)+K271,5)</f>
        <v>1532874.07</v>
      </c>
      <c r="L272" s="678"/>
      <c r="M272" s="683">
        <f>ROUND(SUM(M26:M29)+M41+M51+SUM(M115:M116)+M127+M133+M143+M148+SUM(M164:M165)+M175+M190+M207+M214+SUM(M220:M221)+M242+SUM(M253:M254)+SUM(M266:M267)+M271,5)</f>
        <v>1669680.66</v>
      </c>
      <c r="N272" s="678"/>
      <c r="O272" s="683">
        <f>ROUND(SUM(O26:O29)+O41+O51+SUM(O115:O116)+O127+O133+O143+O148+SUM(O164:O165)+O175+O190+O207+O214+SUM(O220:O221)+O242+SUM(O253:O254)+SUM(O266:O267)+O271,5)</f>
        <v>1940800.41</v>
      </c>
      <c r="P272" s="678"/>
      <c r="Q272" s="683">
        <f>ROUND(SUM(Q26:Q29)+Q41+Q51+SUM(Q115:Q116)+Q127+Q133+Q143+Q148+SUM(Q164:Q165)+Q175+Q190+Q207+Q214+SUM(Q220:Q221)+Q242+SUM(Q253:Q254)+SUM(Q266:Q267)+Q271,5)</f>
        <v>1689066.11</v>
      </c>
      <c r="R272" s="678"/>
      <c r="S272" s="683">
        <f>ROUND(SUM(S26:S29)+S41+S51+SUM(S115:S116)+S127+S133+S143+S148+SUM(S164:S165)+S175+S190+S207+S214+SUM(S220:S221)+S242+SUM(S253:S254)+SUM(S266:S267)+S271,5)</f>
        <v>1735681.73</v>
      </c>
      <c r="T272" s="678"/>
      <c r="U272" s="683">
        <f>ROUND(SUM(U26:U29)+U41+U51+SUM(U115:U116)+U127+U133+U143+U148+SUM(U164:U165)+U175+U190+U207+U214+SUM(U220:U221)+U242+SUM(U253:U254)+SUM(U266:U267)+U271,5)</f>
        <v>1685951.88</v>
      </c>
      <c r="V272" s="678"/>
      <c r="W272" s="683">
        <f>ROUND(SUM(W26:W29)+W41+W51+SUM(W115:W116)+W127+W133+W143+W148+SUM(W164:W165)+W175+W190+W207+W214+SUM(W220:W221)+W242+SUM(W253:W254)+SUM(W266:W267)+W271,5)</f>
        <v>1936720.64</v>
      </c>
      <c r="X272" s="678"/>
      <c r="Y272" s="683">
        <f>ROUND(SUM(Y26:Y29)+Y41+Y51+SUM(Y115:Y116)+Y127+Y133+Y143+Y148+SUM(Y164:Y165)+Y175+Y190+Y207+Y214+SUM(Y220:Y221)+Y242+SUM(Y253:Y254)+SUM(Y266:Y267)+Y271,5)</f>
        <v>1578891.2</v>
      </c>
      <c r="Z272" s="678"/>
      <c r="AA272" s="683">
        <f>ROUND(SUM(AA26:AA29)+AA41+AA51+SUM(AA115:AA116)+AA127+AA133+AA143+AA148+SUM(AA164:AA165)+AA175+AA190+AA207+AA214+SUM(AA220:AA221)+AA242+SUM(AA253:AA254)+SUM(AA266:AA267)+AA271,5)</f>
        <v>2393061.59</v>
      </c>
      <c r="AB272" s="678"/>
      <c r="AC272" s="683">
        <f>ROUND(SUM(E272:AA272),5)</f>
        <v>21255994.420000002</v>
      </c>
      <c r="AD272" s="672"/>
      <c r="AE272" s="672"/>
      <c r="AF272" s="672"/>
      <c r="AG272" s="672"/>
      <c r="AH272" s="672"/>
      <c r="AI272" s="672"/>
      <c r="AJ272" s="672"/>
      <c r="AK272" s="672"/>
    </row>
    <row r="273" spans="1:37">
      <c r="A273" s="676" t="s">
        <v>399</v>
      </c>
      <c r="B273" s="676"/>
      <c r="C273" s="676"/>
      <c r="D273" s="676"/>
      <c r="E273" s="677">
        <f>ROUND(E2+E25-E272,5)</f>
        <v>78178.509999999995</v>
      </c>
      <c r="F273" s="678"/>
      <c r="G273" s="677">
        <f>ROUND(G2+G25-G272,5)</f>
        <v>191457.12</v>
      </c>
      <c r="H273" s="678"/>
      <c r="I273" s="677">
        <f>ROUND(I2+I25-I272,5)</f>
        <v>-343809.49</v>
      </c>
      <c r="J273" s="678"/>
      <c r="K273" s="677">
        <f>ROUND(K2+K25-K272,5)</f>
        <v>173317.12</v>
      </c>
      <c r="L273" s="678"/>
      <c r="M273" s="677">
        <f>ROUND(M2+M25-M272,5)</f>
        <v>22248.71</v>
      </c>
      <c r="N273" s="678"/>
      <c r="O273" s="677">
        <f>ROUND(O2+O25-O272,5)</f>
        <v>-208926.24</v>
      </c>
      <c r="P273" s="678"/>
      <c r="Q273" s="677">
        <f>ROUND(Q2+Q25-Q272,5)</f>
        <v>98440.14</v>
      </c>
      <c r="R273" s="678"/>
      <c r="S273" s="677">
        <f>ROUND(S2+S25-S272,5)</f>
        <v>179774.91</v>
      </c>
      <c r="T273" s="678"/>
      <c r="U273" s="677">
        <f>ROUND(U2+U25-U272,5)</f>
        <v>114006.39</v>
      </c>
      <c r="V273" s="678"/>
      <c r="W273" s="677">
        <f>ROUND(W2+W25-W272,5)</f>
        <v>32661.11</v>
      </c>
      <c r="X273" s="678"/>
      <c r="Y273" s="677">
        <f>ROUND(Y2+Y25-Y272,5)</f>
        <v>285252.27</v>
      </c>
      <c r="Z273" s="678"/>
      <c r="AA273" s="677">
        <f>ROUND(AA2+AA25-AA272,5)</f>
        <v>-682222.58</v>
      </c>
      <c r="AB273" s="678"/>
      <c r="AC273" s="677">
        <f>ROUND(SUM(E273:AA273),5)</f>
        <v>-59622.03</v>
      </c>
      <c r="AD273" s="672"/>
      <c r="AE273" s="672"/>
      <c r="AF273" s="672"/>
      <c r="AG273" s="672"/>
      <c r="AH273" s="672"/>
      <c r="AI273" s="672"/>
      <c r="AJ273" s="672"/>
      <c r="AK273" s="672"/>
    </row>
    <row r="274" spans="1:37">
      <c r="A274" s="676" t="s">
        <v>400</v>
      </c>
      <c r="B274" s="676"/>
      <c r="C274" s="676"/>
      <c r="D274" s="676"/>
      <c r="E274" s="677"/>
      <c r="F274" s="678"/>
      <c r="G274" s="677"/>
      <c r="H274" s="678"/>
      <c r="I274" s="677"/>
      <c r="J274" s="678"/>
      <c r="K274" s="677"/>
      <c r="L274" s="678"/>
      <c r="M274" s="677"/>
      <c r="N274" s="678"/>
      <c r="O274" s="677"/>
      <c r="P274" s="678"/>
      <c r="Q274" s="677"/>
      <c r="R274" s="678"/>
      <c r="S274" s="677"/>
      <c r="T274" s="678"/>
      <c r="U274" s="677"/>
      <c r="V274" s="678"/>
      <c r="W274" s="677"/>
      <c r="X274" s="678"/>
      <c r="Y274" s="677"/>
      <c r="Z274" s="678"/>
      <c r="AA274" s="677"/>
      <c r="AB274" s="678"/>
      <c r="AC274" s="677"/>
      <c r="AD274" s="672"/>
      <c r="AE274" s="672"/>
      <c r="AF274" s="672"/>
      <c r="AG274" s="672"/>
      <c r="AH274" s="672"/>
      <c r="AI274" s="672"/>
      <c r="AJ274" s="672"/>
      <c r="AK274" s="672"/>
    </row>
    <row r="275" spans="1:37">
      <c r="A275" s="676" t="s">
        <v>401</v>
      </c>
      <c r="B275" s="676"/>
      <c r="C275" s="676"/>
      <c r="D275" s="676"/>
      <c r="E275" s="677"/>
      <c r="F275" s="678"/>
      <c r="G275" s="677"/>
      <c r="H275" s="678"/>
      <c r="I275" s="677"/>
      <c r="J275" s="678"/>
      <c r="K275" s="677"/>
      <c r="L275" s="678"/>
      <c r="M275" s="677"/>
      <c r="N275" s="678"/>
      <c r="O275" s="677"/>
      <c r="P275" s="678"/>
      <c r="Q275" s="677"/>
      <c r="R275" s="678"/>
      <c r="S275" s="677"/>
      <c r="T275" s="678"/>
      <c r="U275" s="677"/>
      <c r="V275" s="678"/>
      <c r="W275" s="677"/>
      <c r="X275" s="678"/>
      <c r="Y275" s="677"/>
      <c r="Z275" s="678"/>
      <c r="AA275" s="677"/>
      <c r="AB275" s="678"/>
      <c r="AC275" s="677"/>
      <c r="AD275" s="672"/>
      <c r="AE275" s="672"/>
      <c r="AF275" s="672"/>
      <c r="AG275" s="672"/>
      <c r="AH275" s="672"/>
      <c r="AI275" s="672"/>
      <c r="AJ275" s="672"/>
      <c r="AK275" s="672"/>
    </row>
    <row r="276" spans="1:37">
      <c r="A276" s="676" t="s">
        <v>402</v>
      </c>
      <c r="B276" s="676"/>
      <c r="C276" s="676"/>
      <c r="D276" s="676"/>
      <c r="E276" s="677"/>
      <c r="F276" s="678"/>
      <c r="G276" s="677"/>
      <c r="H276" s="678"/>
      <c r="I276" s="677"/>
      <c r="J276" s="678"/>
      <c r="K276" s="677"/>
      <c r="L276" s="678"/>
      <c r="M276" s="677"/>
      <c r="N276" s="678"/>
      <c r="O276" s="677"/>
      <c r="P276" s="678"/>
      <c r="Q276" s="677"/>
      <c r="R276" s="678"/>
      <c r="S276" s="677"/>
      <c r="T276" s="678"/>
      <c r="U276" s="677"/>
      <c r="V276" s="678"/>
      <c r="W276" s="677"/>
      <c r="X276" s="678"/>
      <c r="Y276" s="677"/>
      <c r="Z276" s="678"/>
      <c r="AA276" s="677"/>
      <c r="AB276" s="678"/>
      <c r="AC276" s="677"/>
      <c r="AD276" s="672"/>
      <c r="AE276" s="672"/>
      <c r="AF276" s="672"/>
      <c r="AG276" s="672"/>
      <c r="AH276" s="672"/>
      <c r="AI276" s="672"/>
      <c r="AJ276" s="672"/>
      <c r="AK276" s="672"/>
    </row>
    <row r="277" spans="1:37">
      <c r="A277" s="676"/>
      <c r="B277" s="676" t="s">
        <v>403</v>
      </c>
      <c r="C277" s="676"/>
      <c r="D277" s="676"/>
      <c r="E277" s="677">
        <v>0</v>
      </c>
      <c r="F277" s="678"/>
      <c r="G277" s="677">
        <v>0</v>
      </c>
      <c r="H277" s="678"/>
      <c r="I277" s="677">
        <v>0</v>
      </c>
      <c r="J277" s="678"/>
      <c r="K277" s="677">
        <v>6590</v>
      </c>
      <c r="L277" s="678"/>
      <c r="M277" s="677">
        <v>14800</v>
      </c>
      <c r="N277" s="678"/>
      <c r="O277" s="677">
        <v>12000</v>
      </c>
      <c r="P277" s="678"/>
      <c r="Q277" s="677">
        <v>0</v>
      </c>
      <c r="R277" s="678"/>
      <c r="S277" s="677">
        <v>0</v>
      </c>
      <c r="T277" s="678"/>
      <c r="U277" s="677">
        <v>0</v>
      </c>
      <c r="V277" s="678"/>
      <c r="W277" s="677">
        <v>0</v>
      </c>
      <c r="X277" s="678"/>
      <c r="Y277" s="677">
        <v>0</v>
      </c>
      <c r="Z277" s="678"/>
      <c r="AA277" s="677">
        <v>-36970.379999999997</v>
      </c>
      <c r="AB277" s="678"/>
      <c r="AC277" s="677">
        <f t="shared" ref="AC277:AC282" si="26">ROUND(SUM(E277:AA277),5)</f>
        <v>-3580.38</v>
      </c>
      <c r="AD277" s="672"/>
      <c r="AE277" s="672"/>
      <c r="AF277" s="672"/>
      <c r="AG277" s="672"/>
      <c r="AH277" s="672"/>
      <c r="AI277" s="672"/>
      <c r="AJ277" s="672"/>
      <c r="AK277" s="672"/>
    </row>
    <row r="278" spans="1:37">
      <c r="A278" s="676"/>
      <c r="B278" s="676" t="s">
        <v>404</v>
      </c>
      <c r="C278" s="676"/>
      <c r="D278" s="676"/>
      <c r="E278" s="677">
        <v>20.07</v>
      </c>
      <c r="F278" s="678"/>
      <c r="G278" s="677">
        <v>18.13</v>
      </c>
      <c r="H278" s="678"/>
      <c r="I278" s="677">
        <v>14.73</v>
      </c>
      <c r="J278" s="678"/>
      <c r="K278" s="677">
        <v>25.26</v>
      </c>
      <c r="L278" s="678"/>
      <c r="M278" s="677">
        <v>26.77</v>
      </c>
      <c r="N278" s="678"/>
      <c r="O278" s="677">
        <v>25.91</v>
      </c>
      <c r="P278" s="678"/>
      <c r="Q278" s="677">
        <v>26.78</v>
      </c>
      <c r="R278" s="678"/>
      <c r="S278" s="677">
        <v>26.79</v>
      </c>
      <c r="T278" s="678"/>
      <c r="U278" s="677">
        <v>25.93</v>
      </c>
      <c r="V278" s="678"/>
      <c r="W278" s="677">
        <v>26.79</v>
      </c>
      <c r="X278" s="678"/>
      <c r="Y278" s="677">
        <v>25.93</v>
      </c>
      <c r="Z278" s="678"/>
      <c r="AA278" s="677">
        <v>26.8</v>
      </c>
      <c r="AB278" s="678"/>
      <c r="AC278" s="677">
        <f t="shared" si="26"/>
        <v>289.89</v>
      </c>
      <c r="AD278" s="672"/>
      <c r="AE278" s="672"/>
      <c r="AF278" s="672"/>
      <c r="AG278" s="672"/>
      <c r="AH278" s="672"/>
      <c r="AI278" s="672"/>
      <c r="AJ278" s="672"/>
      <c r="AK278" s="672"/>
    </row>
    <row r="279" spans="1:37">
      <c r="A279" s="676"/>
      <c r="B279" s="676" t="s">
        <v>405</v>
      </c>
      <c r="C279" s="676"/>
      <c r="D279" s="676"/>
      <c r="E279" s="677">
        <v>0</v>
      </c>
      <c r="F279" s="678"/>
      <c r="G279" s="677">
        <v>0</v>
      </c>
      <c r="H279" s="678"/>
      <c r="I279" s="677">
        <v>0</v>
      </c>
      <c r="J279" s="678"/>
      <c r="K279" s="677">
        <v>0</v>
      </c>
      <c r="L279" s="678"/>
      <c r="M279" s="677">
        <v>0</v>
      </c>
      <c r="N279" s="678"/>
      <c r="O279" s="677">
        <v>6674.24</v>
      </c>
      <c r="P279" s="678"/>
      <c r="Q279" s="677">
        <v>0</v>
      </c>
      <c r="R279" s="678"/>
      <c r="S279" s="677">
        <v>0</v>
      </c>
      <c r="T279" s="678"/>
      <c r="U279" s="677">
        <v>0</v>
      </c>
      <c r="V279" s="678"/>
      <c r="W279" s="677">
        <v>0</v>
      </c>
      <c r="X279" s="678"/>
      <c r="Y279" s="677">
        <v>0</v>
      </c>
      <c r="Z279" s="678"/>
      <c r="AA279" s="677">
        <v>0</v>
      </c>
      <c r="AB279" s="678"/>
      <c r="AC279" s="677">
        <f t="shared" si="26"/>
        <v>6674.24</v>
      </c>
      <c r="AD279" s="672"/>
      <c r="AE279" s="672"/>
      <c r="AF279" s="672"/>
      <c r="AG279" s="672"/>
      <c r="AH279" s="672"/>
      <c r="AI279" s="672"/>
      <c r="AJ279" s="672"/>
      <c r="AK279" s="672"/>
    </row>
    <row r="280" spans="1:37" ht="15.75" thickBot="1">
      <c r="A280" s="676"/>
      <c r="B280" s="676" t="s">
        <v>406</v>
      </c>
      <c r="C280" s="676"/>
      <c r="D280" s="676"/>
      <c r="E280" s="682">
        <v>0</v>
      </c>
      <c r="F280" s="678"/>
      <c r="G280" s="682">
        <v>0</v>
      </c>
      <c r="H280" s="678"/>
      <c r="I280" s="682">
        <v>0</v>
      </c>
      <c r="J280" s="678"/>
      <c r="K280" s="682">
        <v>0</v>
      </c>
      <c r="L280" s="678"/>
      <c r="M280" s="682">
        <v>4526.83</v>
      </c>
      <c r="N280" s="678"/>
      <c r="O280" s="682">
        <v>0</v>
      </c>
      <c r="P280" s="678"/>
      <c r="Q280" s="682">
        <v>594.87</v>
      </c>
      <c r="R280" s="678"/>
      <c r="S280" s="682">
        <v>0</v>
      </c>
      <c r="T280" s="678"/>
      <c r="U280" s="682">
        <v>0</v>
      </c>
      <c r="V280" s="678"/>
      <c r="W280" s="682">
        <v>0</v>
      </c>
      <c r="X280" s="678"/>
      <c r="Y280" s="682">
        <v>0</v>
      </c>
      <c r="Z280" s="678"/>
      <c r="AA280" s="682">
        <v>0</v>
      </c>
      <c r="AB280" s="678"/>
      <c r="AC280" s="682">
        <f t="shared" si="26"/>
        <v>5121.7</v>
      </c>
      <c r="AD280" s="672"/>
      <c r="AE280" s="672"/>
      <c r="AF280" s="672"/>
      <c r="AG280" s="672"/>
      <c r="AH280" s="672"/>
      <c r="AI280" s="672"/>
      <c r="AJ280" s="672"/>
      <c r="AK280" s="672"/>
    </row>
    <row r="281" spans="1:37" ht="15.75" thickBot="1">
      <c r="A281" s="676" t="s">
        <v>407</v>
      </c>
      <c r="B281" s="676"/>
      <c r="C281" s="676"/>
      <c r="D281" s="676"/>
      <c r="E281" s="683">
        <f>ROUND(SUM(E276:E280),5)</f>
        <v>20.07</v>
      </c>
      <c r="F281" s="678"/>
      <c r="G281" s="683">
        <f>ROUND(SUM(G276:G280),5)</f>
        <v>18.13</v>
      </c>
      <c r="H281" s="678"/>
      <c r="I281" s="683">
        <f>ROUND(SUM(I276:I280),5)</f>
        <v>14.73</v>
      </c>
      <c r="J281" s="678"/>
      <c r="K281" s="683">
        <f>ROUND(SUM(K276:K280),5)</f>
        <v>6615.26</v>
      </c>
      <c r="L281" s="678"/>
      <c r="M281" s="683">
        <f>ROUND(SUM(M276:M280),5)</f>
        <v>19353.599999999999</v>
      </c>
      <c r="N281" s="678"/>
      <c r="O281" s="683">
        <f>ROUND(SUM(O276:O280),5)</f>
        <v>18700.150000000001</v>
      </c>
      <c r="P281" s="678"/>
      <c r="Q281" s="683">
        <f>ROUND(SUM(Q276:Q280),5)</f>
        <v>621.65</v>
      </c>
      <c r="R281" s="678"/>
      <c r="S281" s="683">
        <f>ROUND(SUM(S276:S280),5)</f>
        <v>26.79</v>
      </c>
      <c r="T281" s="678"/>
      <c r="U281" s="683">
        <f>ROUND(SUM(U276:U280),5)</f>
        <v>25.93</v>
      </c>
      <c r="V281" s="678"/>
      <c r="W281" s="683">
        <f>ROUND(SUM(W276:W280),5)</f>
        <v>26.79</v>
      </c>
      <c r="X281" s="678"/>
      <c r="Y281" s="683">
        <f>ROUND(SUM(Y276:Y280),5)</f>
        <v>25.93</v>
      </c>
      <c r="Z281" s="678"/>
      <c r="AA281" s="683">
        <f>ROUND(SUM(AA276:AA280),5)</f>
        <v>-36943.58</v>
      </c>
      <c r="AB281" s="678"/>
      <c r="AC281" s="683">
        <f t="shared" si="26"/>
        <v>8505.4500000000007</v>
      </c>
      <c r="AD281" s="672"/>
      <c r="AE281" s="672"/>
      <c r="AF281" s="672"/>
      <c r="AG281" s="672"/>
      <c r="AH281" s="672"/>
      <c r="AI281" s="672"/>
      <c r="AJ281" s="672"/>
      <c r="AK281" s="672"/>
    </row>
    <row r="282" spans="1:37">
      <c r="A282" s="676" t="s">
        <v>408</v>
      </c>
      <c r="B282" s="676"/>
      <c r="C282" s="676"/>
      <c r="D282" s="676"/>
      <c r="E282" s="677">
        <f>ROUND(E275+E281,5)</f>
        <v>20.07</v>
      </c>
      <c r="F282" s="678"/>
      <c r="G282" s="677">
        <f>ROUND(G275+G281,5)</f>
        <v>18.13</v>
      </c>
      <c r="H282" s="678"/>
      <c r="I282" s="677">
        <f>ROUND(I275+I281,5)</f>
        <v>14.73</v>
      </c>
      <c r="J282" s="678"/>
      <c r="K282" s="677">
        <f>ROUND(K275+K281,5)</f>
        <v>6615.26</v>
      </c>
      <c r="L282" s="678"/>
      <c r="M282" s="677">
        <f>ROUND(M275+M281,5)</f>
        <v>19353.599999999999</v>
      </c>
      <c r="N282" s="678"/>
      <c r="O282" s="677">
        <f>ROUND(O275+O281,5)</f>
        <v>18700.150000000001</v>
      </c>
      <c r="P282" s="678"/>
      <c r="Q282" s="677">
        <f>ROUND(Q275+Q281,5)</f>
        <v>621.65</v>
      </c>
      <c r="R282" s="678"/>
      <c r="S282" s="677">
        <f>ROUND(S275+S281,5)</f>
        <v>26.79</v>
      </c>
      <c r="T282" s="678"/>
      <c r="U282" s="677">
        <f>ROUND(U275+U281,5)</f>
        <v>25.93</v>
      </c>
      <c r="V282" s="678"/>
      <c r="W282" s="677">
        <f>ROUND(W275+W281,5)</f>
        <v>26.79</v>
      </c>
      <c r="X282" s="678"/>
      <c r="Y282" s="677">
        <f>ROUND(Y275+Y281,5)</f>
        <v>25.93</v>
      </c>
      <c r="Z282" s="678"/>
      <c r="AA282" s="677">
        <f>ROUND(AA275+AA281,5)</f>
        <v>-36943.58</v>
      </c>
      <c r="AB282" s="678"/>
      <c r="AC282" s="677">
        <f t="shared" si="26"/>
        <v>8505.4500000000007</v>
      </c>
      <c r="AD282" s="672"/>
      <c r="AE282" s="672"/>
      <c r="AF282" s="672"/>
      <c r="AG282" s="672"/>
      <c r="AH282" s="672"/>
      <c r="AI282" s="672"/>
      <c r="AJ282" s="672"/>
      <c r="AK282" s="672"/>
    </row>
    <row r="283" spans="1:37">
      <c r="A283" s="676" t="s">
        <v>409</v>
      </c>
      <c r="B283" s="676"/>
      <c r="C283" s="676"/>
      <c r="D283" s="676"/>
      <c r="E283" s="677"/>
      <c r="F283" s="678"/>
      <c r="G283" s="677"/>
      <c r="H283" s="678"/>
      <c r="I283" s="677"/>
      <c r="J283" s="678"/>
      <c r="K283" s="677"/>
      <c r="L283" s="678"/>
      <c r="M283" s="677"/>
      <c r="N283" s="678"/>
      <c r="O283" s="677"/>
      <c r="P283" s="678"/>
      <c r="Q283" s="677"/>
      <c r="R283" s="678"/>
      <c r="S283" s="677"/>
      <c r="T283" s="678"/>
      <c r="U283" s="677"/>
      <c r="V283" s="678"/>
      <c r="W283" s="677"/>
      <c r="X283" s="678"/>
      <c r="Y283" s="677"/>
      <c r="Z283" s="678"/>
      <c r="AA283" s="677"/>
      <c r="AB283" s="678"/>
      <c r="AC283" s="677"/>
      <c r="AD283" s="672"/>
      <c r="AE283" s="672"/>
      <c r="AF283" s="672"/>
      <c r="AG283" s="672"/>
      <c r="AH283" s="672"/>
      <c r="AI283" s="672"/>
      <c r="AJ283" s="672"/>
      <c r="AK283" s="672"/>
    </row>
    <row r="284" spans="1:37">
      <c r="A284" s="676" t="s">
        <v>410</v>
      </c>
      <c r="B284" s="676"/>
      <c r="C284" s="676"/>
      <c r="D284" s="676"/>
      <c r="E284" s="677"/>
      <c r="F284" s="678"/>
      <c r="G284" s="677"/>
      <c r="H284" s="678"/>
      <c r="I284" s="677"/>
      <c r="J284" s="678"/>
      <c r="K284" s="677"/>
      <c r="L284" s="678"/>
      <c r="M284" s="677"/>
      <c r="N284" s="678"/>
      <c r="O284" s="677"/>
      <c r="P284" s="678"/>
      <c r="Q284" s="677"/>
      <c r="R284" s="678"/>
      <c r="S284" s="677"/>
      <c r="T284" s="678"/>
      <c r="U284" s="677"/>
      <c r="V284" s="678"/>
      <c r="W284" s="677"/>
      <c r="X284" s="678"/>
      <c r="Y284" s="677"/>
      <c r="Z284" s="678"/>
      <c r="AA284" s="677"/>
      <c r="AB284" s="678"/>
      <c r="AC284" s="677"/>
      <c r="AD284" s="672"/>
      <c r="AE284" s="672"/>
      <c r="AF284" s="672"/>
      <c r="AG284" s="672"/>
      <c r="AH284" s="672"/>
      <c r="AI284" s="672"/>
      <c r="AJ284" s="672"/>
      <c r="AK284" s="672"/>
    </row>
    <row r="285" spans="1:37" ht="15.75" thickBot="1">
      <c r="A285" s="676"/>
      <c r="B285" s="676" t="s">
        <v>411</v>
      </c>
      <c r="C285" s="676"/>
      <c r="D285" s="676"/>
      <c r="E285" s="682">
        <v>2024.99</v>
      </c>
      <c r="F285" s="678"/>
      <c r="G285" s="682">
        <v>1950.6</v>
      </c>
      <c r="H285" s="678"/>
      <c r="I285" s="682">
        <v>1694.39</v>
      </c>
      <c r="J285" s="678"/>
      <c r="K285" s="682">
        <v>1800.4</v>
      </c>
      <c r="L285" s="678"/>
      <c r="M285" s="682">
        <v>1780.87</v>
      </c>
      <c r="N285" s="678"/>
      <c r="O285" s="682">
        <v>43726.63</v>
      </c>
      <c r="P285" s="678"/>
      <c r="Q285" s="682">
        <v>1523.15</v>
      </c>
      <c r="R285" s="678"/>
      <c r="S285" s="682">
        <v>1497.8</v>
      </c>
      <c r="T285" s="678"/>
      <c r="U285" s="682">
        <v>1421.58</v>
      </c>
      <c r="V285" s="678"/>
      <c r="W285" s="682">
        <v>1301.72</v>
      </c>
      <c r="X285" s="678"/>
      <c r="Y285" s="682">
        <v>1268.22</v>
      </c>
      <c r="Z285" s="678"/>
      <c r="AA285" s="682">
        <v>1152.79</v>
      </c>
      <c r="AB285" s="678"/>
      <c r="AC285" s="682">
        <f>ROUND(SUM(E285:AA285),5)</f>
        <v>61143.14</v>
      </c>
      <c r="AD285" s="672"/>
      <c r="AE285" s="672"/>
      <c r="AF285" s="672"/>
      <c r="AG285" s="672"/>
      <c r="AH285" s="672"/>
      <c r="AI285" s="672"/>
      <c r="AJ285" s="672"/>
      <c r="AK285" s="672"/>
    </row>
    <row r="286" spans="1:37" ht="15.75" thickBot="1">
      <c r="A286" s="676" t="s">
        <v>412</v>
      </c>
      <c r="B286" s="676"/>
      <c r="C286" s="676"/>
      <c r="D286" s="676"/>
      <c r="E286" s="686">
        <f>ROUND(SUM(E284:E285),5)</f>
        <v>2024.99</v>
      </c>
      <c r="F286" s="678"/>
      <c r="G286" s="686">
        <f>ROUND(SUM(G284:G285),5)</f>
        <v>1950.6</v>
      </c>
      <c r="H286" s="678"/>
      <c r="I286" s="686">
        <f>ROUND(SUM(I284:I285),5)</f>
        <v>1694.39</v>
      </c>
      <c r="J286" s="678"/>
      <c r="K286" s="686">
        <f>ROUND(SUM(K284:K285),5)</f>
        <v>1800.4</v>
      </c>
      <c r="L286" s="678"/>
      <c r="M286" s="686">
        <f>ROUND(SUM(M284:M285),5)</f>
        <v>1780.87</v>
      </c>
      <c r="N286" s="678"/>
      <c r="O286" s="686">
        <f>ROUND(SUM(O284:O285),5)</f>
        <v>43726.63</v>
      </c>
      <c r="P286" s="678"/>
      <c r="Q286" s="686">
        <f>ROUND(SUM(Q284:Q285),5)</f>
        <v>1523.15</v>
      </c>
      <c r="R286" s="678"/>
      <c r="S286" s="686">
        <f>ROUND(SUM(S284:S285),5)</f>
        <v>1497.8</v>
      </c>
      <c r="T286" s="678"/>
      <c r="U286" s="686">
        <f>ROUND(SUM(U284:U285),5)</f>
        <v>1421.58</v>
      </c>
      <c r="V286" s="678"/>
      <c r="W286" s="686">
        <f>ROUND(SUM(W284:W285),5)</f>
        <v>1301.72</v>
      </c>
      <c r="X286" s="678"/>
      <c r="Y286" s="686">
        <f>ROUND(SUM(Y284:Y285),5)</f>
        <v>1268.22</v>
      </c>
      <c r="Z286" s="678"/>
      <c r="AA286" s="686">
        <f>ROUND(SUM(AA284:AA285),5)</f>
        <v>1152.79</v>
      </c>
      <c r="AB286" s="678"/>
      <c r="AC286" s="686">
        <f>ROUND(SUM(E286:AA286),5)</f>
        <v>61143.14</v>
      </c>
      <c r="AD286" s="672"/>
      <c r="AE286" s="672"/>
      <c r="AF286" s="672"/>
      <c r="AG286" s="672"/>
      <c r="AH286" s="672"/>
      <c r="AI286" s="672"/>
      <c r="AJ286" s="672"/>
      <c r="AK286" s="672"/>
    </row>
    <row r="287" spans="1:37" ht="15.75" thickBot="1">
      <c r="A287" s="676" t="s">
        <v>413</v>
      </c>
      <c r="B287" s="676"/>
      <c r="C287" s="676"/>
      <c r="D287" s="676"/>
      <c r="E287" s="686">
        <f>ROUND(E283+E286,5)</f>
        <v>2024.99</v>
      </c>
      <c r="F287" s="678"/>
      <c r="G287" s="686">
        <f>ROUND(G283+G286,5)</f>
        <v>1950.6</v>
      </c>
      <c r="H287" s="678"/>
      <c r="I287" s="686">
        <f>ROUND(I283+I286,5)</f>
        <v>1694.39</v>
      </c>
      <c r="J287" s="678"/>
      <c r="K287" s="686">
        <f>ROUND(K283+K286,5)</f>
        <v>1800.4</v>
      </c>
      <c r="L287" s="678"/>
      <c r="M287" s="686">
        <f>ROUND(M283+M286,5)</f>
        <v>1780.87</v>
      </c>
      <c r="N287" s="678"/>
      <c r="O287" s="686">
        <f>ROUND(O283+O286,5)</f>
        <v>43726.63</v>
      </c>
      <c r="P287" s="678"/>
      <c r="Q287" s="686">
        <f>ROUND(Q283+Q286,5)</f>
        <v>1523.15</v>
      </c>
      <c r="R287" s="678"/>
      <c r="S287" s="686">
        <f>ROUND(S283+S286,5)</f>
        <v>1497.8</v>
      </c>
      <c r="T287" s="678"/>
      <c r="U287" s="686">
        <f>ROUND(U283+U286,5)</f>
        <v>1421.58</v>
      </c>
      <c r="V287" s="678"/>
      <c r="W287" s="686">
        <f>ROUND(W283+W286,5)</f>
        <v>1301.72</v>
      </c>
      <c r="X287" s="678"/>
      <c r="Y287" s="686">
        <f>ROUND(Y283+Y286,5)</f>
        <v>1268.22</v>
      </c>
      <c r="Z287" s="678"/>
      <c r="AA287" s="686">
        <f>ROUND(AA283+AA286,5)</f>
        <v>1152.79</v>
      </c>
      <c r="AB287" s="678"/>
      <c r="AC287" s="686">
        <f>ROUND(SUM(E287:AA287),5)</f>
        <v>61143.14</v>
      </c>
      <c r="AD287" s="672"/>
      <c r="AE287" s="672"/>
      <c r="AF287" s="672"/>
      <c r="AG287" s="672"/>
      <c r="AH287" s="672"/>
      <c r="AI287" s="672"/>
      <c r="AJ287" s="672"/>
      <c r="AK287" s="672"/>
    </row>
    <row r="288" spans="1:37" ht="15.75" thickBot="1">
      <c r="A288" s="676" t="s">
        <v>414</v>
      </c>
      <c r="B288" s="676"/>
      <c r="C288" s="676"/>
      <c r="D288" s="676"/>
      <c r="E288" s="686">
        <f>ROUND(E274+E282-E287,5)</f>
        <v>-2004.92</v>
      </c>
      <c r="F288" s="678"/>
      <c r="G288" s="686">
        <f>ROUND(G274+G282-G287,5)</f>
        <v>-1932.47</v>
      </c>
      <c r="H288" s="678"/>
      <c r="I288" s="686">
        <f>ROUND(I274+I282-I287,5)</f>
        <v>-1679.66</v>
      </c>
      <c r="J288" s="678"/>
      <c r="K288" s="686">
        <f>ROUND(K274+K282-K287,5)</f>
        <v>4814.8599999999997</v>
      </c>
      <c r="L288" s="678"/>
      <c r="M288" s="686">
        <f>ROUND(M274+M282-M287,5)</f>
        <v>17572.73</v>
      </c>
      <c r="N288" s="678"/>
      <c r="O288" s="686">
        <f>ROUND(O274+O282-O287,5)</f>
        <v>-25026.48</v>
      </c>
      <c r="P288" s="678"/>
      <c r="Q288" s="686">
        <f>ROUND(Q274+Q282-Q287,5)</f>
        <v>-901.5</v>
      </c>
      <c r="R288" s="678"/>
      <c r="S288" s="686">
        <f>ROUND(S274+S282-S287,5)</f>
        <v>-1471.01</v>
      </c>
      <c r="T288" s="678"/>
      <c r="U288" s="686">
        <f>ROUND(U274+U282-U287,5)</f>
        <v>-1395.65</v>
      </c>
      <c r="V288" s="678"/>
      <c r="W288" s="686">
        <f>ROUND(W274+W282-W287,5)</f>
        <v>-1274.93</v>
      </c>
      <c r="X288" s="678"/>
      <c r="Y288" s="686">
        <f>ROUND(Y274+Y282-Y287,5)</f>
        <v>-1242.29</v>
      </c>
      <c r="Z288" s="678"/>
      <c r="AA288" s="686">
        <f>ROUND(AA274+AA282-AA287,5)</f>
        <v>-38096.370000000003</v>
      </c>
      <c r="AB288" s="678"/>
      <c r="AC288" s="686">
        <f>ROUND(SUM(E288:AA288),5)</f>
        <v>-52637.69</v>
      </c>
      <c r="AD288" s="672"/>
      <c r="AE288" s="672"/>
      <c r="AF288" s="672"/>
      <c r="AG288" s="672"/>
      <c r="AH288" s="672"/>
      <c r="AI288" s="672"/>
      <c r="AJ288" s="672"/>
      <c r="AK288" s="672"/>
    </row>
    <row r="289" spans="1:37" ht="15.75" thickBot="1">
      <c r="A289" s="676" t="s">
        <v>112</v>
      </c>
      <c r="B289" s="676"/>
      <c r="C289" s="676"/>
      <c r="D289" s="676"/>
      <c r="E289" s="687">
        <f>ROUND(E273+E288,5)</f>
        <v>76173.59</v>
      </c>
      <c r="F289" s="676"/>
      <c r="G289" s="687">
        <f>ROUND(G273+G288,5)</f>
        <v>189524.65</v>
      </c>
      <c r="H289" s="676"/>
      <c r="I289" s="687">
        <f>ROUND(I273+I288,5)</f>
        <v>-345489.15</v>
      </c>
      <c r="J289" s="676"/>
      <c r="K289" s="687">
        <f>ROUND(K273+K288,5)</f>
        <v>178131.98</v>
      </c>
      <c r="L289" s="676"/>
      <c r="M289" s="687">
        <f>ROUND(M273+M288,5)</f>
        <v>39821.440000000002</v>
      </c>
      <c r="N289" s="676"/>
      <c r="O289" s="687">
        <f>ROUND(O273+O288,5)</f>
        <v>-233952.72</v>
      </c>
      <c r="P289" s="676"/>
      <c r="Q289" s="687">
        <f>ROUND(Q273+Q288,5)</f>
        <v>97538.64</v>
      </c>
      <c r="R289" s="676"/>
      <c r="S289" s="687">
        <f>ROUND(S273+S288,5)</f>
        <v>178303.9</v>
      </c>
      <c r="T289" s="676"/>
      <c r="U289" s="687">
        <f>ROUND(U273+U288,5)</f>
        <v>112610.74</v>
      </c>
      <c r="V289" s="676"/>
      <c r="W289" s="687">
        <f>ROUND(W273+W288,5)</f>
        <v>31386.18</v>
      </c>
      <c r="X289" s="676"/>
      <c r="Y289" s="687">
        <f>ROUND(Y273+Y288,5)</f>
        <v>284009.98</v>
      </c>
      <c r="Z289" s="676"/>
      <c r="AA289" s="687">
        <f>ROUND(AA273+AA288,5)</f>
        <v>-720318.95</v>
      </c>
      <c r="AB289" s="676"/>
      <c r="AC289" s="687">
        <f>ROUND(SUM(E289:AA289),5)</f>
        <v>-112259.72</v>
      </c>
      <c r="AD289" s="672"/>
      <c r="AE289" s="672"/>
      <c r="AF289" s="672"/>
      <c r="AG289" s="672"/>
      <c r="AH289" s="672"/>
      <c r="AI289" s="672"/>
      <c r="AJ289" s="672"/>
      <c r="AK289" s="672"/>
    </row>
    <row r="290" spans="1:37" ht="15.75" thickTop="1">
      <c r="A290" s="688"/>
      <c r="B290" s="688"/>
      <c r="C290" s="688"/>
      <c r="D290" s="688"/>
      <c r="E290" s="689"/>
      <c r="F290" s="689"/>
      <c r="G290" s="689"/>
      <c r="H290" s="689"/>
      <c r="I290" s="689"/>
      <c r="J290" s="689"/>
      <c r="K290" s="689"/>
      <c r="L290" s="689"/>
      <c r="M290" s="689"/>
      <c r="N290" s="689"/>
      <c r="O290" s="689"/>
      <c r="P290" s="689"/>
      <c r="Q290" s="689"/>
      <c r="R290" s="689"/>
      <c r="S290" s="689"/>
      <c r="T290" s="689"/>
      <c r="U290" s="689"/>
      <c r="V290" s="689"/>
      <c r="W290" s="689"/>
      <c r="X290" s="689"/>
      <c r="Y290" s="689"/>
      <c r="Z290" s="689"/>
      <c r="AA290" s="689"/>
      <c r="AB290" s="689"/>
      <c r="AC290" s="689"/>
      <c r="AD290" s="672"/>
      <c r="AE290" s="672"/>
      <c r="AF290" s="672"/>
      <c r="AG290" s="672"/>
      <c r="AH290" s="672"/>
      <c r="AI290" s="672"/>
      <c r="AJ290" s="672"/>
      <c r="AK290" s="672"/>
    </row>
  </sheetData>
  <pageMargins left="0.2" right="0" top="1" bottom="0.75" header="0.3" footer="0.3"/>
  <pageSetup orientation="portrait" r:id="rId1"/>
  <headerFooter>
    <oddHeader>&amp;L&amp;"Arial,Bold" 11:52 AM
 03/26/19
 Accrual Basis&amp;C&amp;"Arial,Bold"&amp;10Rubatino Refuse Removal Inc.
 Profit &amp;&amp; Loss
 January through December 2018</oddHeader>
    <oddFooter>&amp;L&amp;D&amp;C&amp;A&amp;RPage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A087-6180-4077-A8DA-1EB963BD2586}">
  <sheetPr>
    <pageSetUpPr fitToPage="1"/>
  </sheetPr>
  <dimension ref="A1:L81"/>
  <sheetViews>
    <sheetView topLeftCell="A43" workbookViewId="0">
      <selection activeCell="H9" sqref="H9"/>
    </sheetView>
  </sheetViews>
  <sheetFormatPr defaultRowHeight="15"/>
  <cols>
    <col min="1" max="1" width="27.33203125" customWidth="1"/>
    <col min="2" max="2" width="6.21875" customWidth="1"/>
    <col min="3" max="3" width="9.33203125" customWidth="1"/>
    <col min="4" max="4" width="10.5546875" customWidth="1"/>
    <col min="5" max="5" width="10" customWidth="1"/>
    <col min="6" max="6" width="8.88671875" bestFit="1" customWidth="1"/>
    <col min="7" max="7" width="10.77734375" customWidth="1"/>
    <col min="8" max="8" width="10.88671875" customWidth="1"/>
    <col min="10" max="10" width="10.21875" bestFit="1" customWidth="1"/>
    <col min="12" max="12" width="9" bestFit="1" customWidth="1"/>
  </cols>
  <sheetData>
    <row r="1" spans="1:12" ht="15.75">
      <c r="A1" s="28" t="s">
        <v>16</v>
      </c>
      <c r="B1" s="28"/>
      <c r="C1" s="29"/>
      <c r="D1" s="29"/>
      <c r="E1" s="29"/>
      <c r="F1" s="29"/>
    </row>
    <row r="2" spans="1:12" ht="15.75">
      <c r="A2" s="28" t="s">
        <v>415</v>
      </c>
      <c r="B2" s="28"/>
      <c r="C2" s="29"/>
      <c r="D2" s="29"/>
      <c r="E2" s="29"/>
      <c r="F2" s="29"/>
    </row>
    <row r="3" spans="1:12" ht="15.75">
      <c r="A3" s="28" t="s">
        <v>416</v>
      </c>
      <c r="B3" s="28"/>
      <c r="C3" s="29"/>
      <c r="D3" s="29"/>
      <c r="E3" s="29"/>
      <c r="F3" s="29"/>
    </row>
    <row r="4" spans="1:12" ht="15.75" thickBot="1"/>
    <row r="5" spans="1:12" ht="60.75" thickBot="1">
      <c r="A5" s="31"/>
      <c r="B5" s="31"/>
      <c r="C5" s="590" t="s">
        <v>417</v>
      </c>
      <c r="D5" s="591" t="s">
        <v>418</v>
      </c>
      <c r="E5" s="591" t="s">
        <v>419</v>
      </c>
      <c r="F5" s="592" t="s">
        <v>973</v>
      </c>
      <c r="G5" s="591" t="s">
        <v>1585</v>
      </c>
      <c r="H5" s="591" t="s">
        <v>1583</v>
      </c>
      <c r="I5" s="858" t="s">
        <v>1586</v>
      </c>
      <c r="J5" s="860" t="s">
        <v>1587</v>
      </c>
      <c r="K5" s="859" t="s">
        <v>1588</v>
      </c>
    </row>
    <row r="6" spans="1:12" ht="15.75">
      <c r="A6" s="32" t="s">
        <v>1</v>
      </c>
      <c r="B6" s="31"/>
      <c r="C6" s="33"/>
      <c r="D6" s="31"/>
    </row>
    <row r="7" spans="1:12" ht="15.75">
      <c r="A7" s="34" t="s">
        <v>420</v>
      </c>
      <c r="B7" s="31"/>
      <c r="C7" s="33">
        <f>+'12 Month P&amp;L'!AC5</f>
        <v>4356704.87</v>
      </c>
      <c r="D7" s="33">
        <f>+'Restating Entries'!N7</f>
        <v>-893660.50999999954</v>
      </c>
      <c r="E7" s="258">
        <f>+'Pro Forma Entries '!L7</f>
        <v>-63264</v>
      </c>
      <c r="F7" s="258">
        <f t="shared" ref="F7:F20" si="0">SUM(C7:E7)</f>
        <v>3399780.3600000003</v>
      </c>
      <c r="H7" s="257"/>
      <c r="I7" s="258">
        <f>+F7</f>
        <v>3399780.3600000003</v>
      </c>
      <c r="J7" s="258">
        <f>+'Residential Everett'!N75+'Residential Mukilteo'!N34</f>
        <v>204553.96255625098</v>
      </c>
      <c r="K7" s="258">
        <f>+J7+I7</f>
        <v>3604334.3225562512</v>
      </c>
      <c r="L7" s="256"/>
    </row>
    <row r="8" spans="1:12" ht="15.75">
      <c r="A8" s="34" t="s">
        <v>421</v>
      </c>
      <c r="B8" s="31"/>
      <c r="C8" s="33">
        <f>+'12 Month P&amp;L'!AC6</f>
        <v>6910416.0899999999</v>
      </c>
      <c r="D8" s="33">
        <f>+'Restating Entries'!N8</f>
        <v>-2768616.0236899978</v>
      </c>
      <c r="E8" s="258">
        <f>+'Pro Forma Entries '!L8</f>
        <v>-18301</v>
      </c>
      <c r="F8" s="258">
        <f t="shared" si="0"/>
        <v>4123499.066310002</v>
      </c>
      <c r="H8" s="257"/>
      <c r="I8" s="258">
        <f t="shared" ref="I8:I11" si="1">+F8</f>
        <v>4123499.066310002</v>
      </c>
      <c r="J8" s="258">
        <f>+'Commercial Everett'!I66+'Commercial Mukilteo'!G61</f>
        <v>239780.5360771094</v>
      </c>
      <c r="K8" s="258">
        <f t="shared" ref="K8:K20" si="2">+J8+I8</f>
        <v>4363279.6023871116</v>
      </c>
      <c r="L8" s="256"/>
    </row>
    <row r="9" spans="1:12" ht="15.75">
      <c r="A9" s="34" t="s">
        <v>422</v>
      </c>
      <c r="B9" s="31"/>
      <c r="C9" s="33">
        <f>+'12 Month P&amp;L'!AC7</f>
        <v>5957933.79</v>
      </c>
      <c r="D9" s="33">
        <f>+'Restating Entries'!N9</f>
        <v>-4402026.43</v>
      </c>
      <c r="E9" s="258">
        <f>+'Pro Forma Entries '!L9</f>
        <v>-3680</v>
      </c>
      <c r="F9" s="258">
        <f t="shared" si="0"/>
        <v>1552227.3600000003</v>
      </c>
      <c r="H9" s="257"/>
      <c r="I9" s="258">
        <f t="shared" si="1"/>
        <v>1552227.3600000003</v>
      </c>
      <c r="J9" s="258">
        <f>+'Commercial Everett'!I135+'Commercial Mukilteo'!G61</f>
        <v>93511.707052337471</v>
      </c>
      <c r="K9" s="258">
        <f t="shared" si="2"/>
        <v>1645739.0670523378</v>
      </c>
      <c r="L9" s="256"/>
    </row>
    <row r="10" spans="1:12" ht="15.75">
      <c r="A10" s="35" t="s">
        <v>423</v>
      </c>
      <c r="B10" s="31"/>
      <c r="C10" s="33"/>
      <c r="D10" s="33">
        <f>+'Restating Entries'!N10</f>
        <v>3741651.2299999995</v>
      </c>
      <c r="E10" s="258">
        <f>+'Pro Forma Entries '!L10</f>
        <v>0</v>
      </c>
      <c r="F10" s="258">
        <f t="shared" si="0"/>
        <v>3741651.2299999995</v>
      </c>
      <c r="H10" s="257"/>
      <c r="I10" s="258">
        <f t="shared" si="1"/>
        <v>3741651.2299999995</v>
      </c>
      <c r="J10" s="258"/>
      <c r="K10" s="258">
        <f t="shared" si="2"/>
        <v>3741651.2299999995</v>
      </c>
      <c r="L10" s="256"/>
    </row>
    <row r="11" spans="1:12" ht="15.75">
      <c r="A11" s="34" t="s">
        <v>424</v>
      </c>
      <c r="B11" s="31"/>
      <c r="C11" s="33">
        <f>+'12 Month P&amp;L'!AC8</f>
        <v>1181227.92</v>
      </c>
      <c r="D11" s="33">
        <f>+'Restating Entries'!N11</f>
        <v>214232.3900000001</v>
      </c>
      <c r="E11" s="258">
        <f>+'Pro Forma Entries '!L11</f>
        <v>-26282</v>
      </c>
      <c r="F11" s="258">
        <f t="shared" si="0"/>
        <v>1369178.31</v>
      </c>
      <c r="H11" s="257"/>
      <c r="I11" s="258">
        <f t="shared" si="1"/>
        <v>1369178.31</v>
      </c>
      <c r="J11" s="258">
        <f>+'Residential Everett'!O75+'Residential Mukilteo'!O34</f>
        <v>82653.620756249991</v>
      </c>
      <c r="K11" s="258">
        <f t="shared" si="2"/>
        <v>1451831.9307562499</v>
      </c>
      <c r="L11" s="256"/>
    </row>
    <row r="12" spans="1:12" ht="15.75">
      <c r="A12" s="34" t="s">
        <v>425</v>
      </c>
      <c r="B12" s="31"/>
      <c r="C12" s="33">
        <f>+'12 Month P&amp;L'!AC9</f>
        <v>492521.04</v>
      </c>
      <c r="D12" s="33">
        <f>+'Restating Entries'!N12</f>
        <v>322621.73913687636</v>
      </c>
      <c r="E12" s="258">
        <f>+'Pro Forma Entries '!L12</f>
        <v>0</v>
      </c>
      <c r="F12" s="258">
        <f t="shared" si="0"/>
        <v>815142.77913687634</v>
      </c>
      <c r="H12" s="258">
        <f>+F12</f>
        <v>815142.77913687634</v>
      </c>
      <c r="I12" s="257"/>
      <c r="J12" s="258"/>
      <c r="K12" s="258">
        <f t="shared" si="2"/>
        <v>0</v>
      </c>
      <c r="L12" s="256"/>
    </row>
    <row r="13" spans="1:12" ht="15.75">
      <c r="A13" s="34" t="s">
        <v>426</v>
      </c>
      <c r="B13" s="31"/>
      <c r="C13" s="33">
        <f>+'12 Month P&amp;L'!AC10</f>
        <v>106041.59</v>
      </c>
      <c r="D13" s="33">
        <f>+'Restating Entries'!N13</f>
        <v>1687803.4616200004</v>
      </c>
      <c r="E13" s="258">
        <f>+'Pro Forma Entries '!L13</f>
        <v>0</v>
      </c>
      <c r="F13" s="258">
        <f t="shared" si="0"/>
        <v>1793845.0516200005</v>
      </c>
      <c r="H13" s="257"/>
      <c r="I13" s="258">
        <f t="shared" ref="I13:I14" si="3">+F13</f>
        <v>1793845.0516200005</v>
      </c>
      <c r="J13" s="258">
        <f>+'Commercial Everett'!I92+'Commercial Mukilteo'!G77</f>
        <v>103200.42166814988</v>
      </c>
      <c r="K13" s="258">
        <f t="shared" si="2"/>
        <v>1897045.4732881505</v>
      </c>
      <c r="L13" s="256"/>
    </row>
    <row r="14" spans="1:12" ht="15.75">
      <c r="A14" s="34" t="s">
        <v>427</v>
      </c>
      <c r="B14" s="31"/>
      <c r="C14" s="33">
        <f>+'12 Month P&amp;L'!AC11</f>
        <v>1174513.3500000001</v>
      </c>
      <c r="D14" s="33">
        <f>+'Restating Entries'!N14</f>
        <v>3509.7600000000675</v>
      </c>
      <c r="E14" s="258">
        <f>+'Pro Forma Entries '!L14</f>
        <v>-23227</v>
      </c>
      <c r="F14" s="258">
        <f t="shared" si="0"/>
        <v>1154796.1100000001</v>
      </c>
      <c r="H14" s="257"/>
      <c r="I14" s="258">
        <f t="shared" si="3"/>
        <v>1154796.1100000001</v>
      </c>
      <c r="J14" s="258">
        <f>+'Residential Everett'!P75+'Residential Mukilteo'!P34</f>
        <v>69870.343443750156</v>
      </c>
      <c r="K14" s="258">
        <f t="shared" si="2"/>
        <v>1224666.4534437503</v>
      </c>
      <c r="L14" s="256"/>
    </row>
    <row r="15" spans="1:12" ht="15.75">
      <c r="A15" s="34" t="s">
        <v>428</v>
      </c>
      <c r="B15" s="31"/>
      <c r="C15" s="33">
        <f>+'12 Month P&amp;L'!AC12</f>
        <v>540</v>
      </c>
      <c r="D15" s="33">
        <f>+'Restating Entries'!N15</f>
        <v>0</v>
      </c>
      <c r="E15" s="258">
        <f>+'Pro Forma Entries '!L15</f>
        <v>0</v>
      </c>
      <c r="F15" s="258">
        <f t="shared" si="0"/>
        <v>540</v>
      </c>
      <c r="H15" s="258">
        <f>+F15</f>
        <v>540</v>
      </c>
      <c r="I15" s="257"/>
      <c r="J15" s="258"/>
      <c r="K15" s="258">
        <f t="shared" si="2"/>
        <v>0</v>
      </c>
      <c r="L15" s="256"/>
    </row>
    <row r="16" spans="1:12" ht="15.75">
      <c r="A16" s="34" t="s">
        <v>429</v>
      </c>
      <c r="B16" s="31"/>
      <c r="C16" s="33">
        <f>+'12 Month P&amp;L'!AC13</f>
        <v>913309.51</v>
      </c>
      <c r="D16" s="33">
        <f>+'Restating Entries'!N16</f>
        <v>-106410.86758570079</v>
      </c>
      <c r="E16" s="258">
        <f>+'Pro Forma Entries '!L16</f>
        <v>0</v>
      </c>
      <c r="F16" s="258">
        <f t="shared" si="0"/>
        <v>806898.64241429919</v>
      </c>
      <c r="H16" s="258">
        <f>+F16</f>
        <v>806898.64241429919</v>
      </c>
      <c r="I16" s="257"/>
      <c r="J16" s="258"/>
      <c r="K16" s="258">
        <f t="shared" si="2"/>
        <v>0</v>
      </c>
      <c r="L16" s="256"/>
    </row>
    <row r="17" spans="1:12" ht="15.75">
      <c r="A17" s="34" t="s">
        <v>430</v>
      </c>
      <c r="B17" s="31"/>
      <c r="C17" s="33">
        <f>+'12 Month P&amp;L'!AC14</f>
        <v>16915.03</v>
      </c>
      <c r="D17" s="33">
        <f>+'Restating Entries'!N17</f>
        <v>-2008.7919361730462</v>
      </c>
      <c r="E17" s="258">
        <f>+'Pro Forma Entries '!L17</f>
        <v>0</v>
      </c>
      <c r="F17" s="258">
        <f t="shared" si="0"/>
        <v>14906.238063826953</v>
      </c>
      <c r="H17" s="258">
        <f>+F17</f>
        <v>14906.238063826953</v>
      </c>
      <c r="I17" s="257"/>
      <c r="J17" s="258"/>
      <c r="K17" s="258">
        <f t="shared" si="2"/>
        <v>0</v>
      </c>
      <c r="L17" s="256"/>
    </row>
    <row r="18" spans="1:12" ht="15.75">
      <c r="A18" s="34" t="s">
        <v>431</v>
      </c>
      <c r="B18" s="31"/>
      <c r="C18" s="33">
        <f>+'12 Month P&amp;L'!AC17</f>
        <v>64255.66</v>
      </c>
      <c r="D18" s="33">
        <f>+'Restating Entries'!N18</f>
        <v>-9007.43</v>
      </c>
      <c r="E18" s="258">
        <f>+'Pro Forma Entries '!L18</f>
        <v>0</v>
      </c>
      <c r="F18" s="258">
        <f t="shared" si="0"/>
        <v>55248.23</v>
      </c>
      <c r="H18" s="257"/>
      <c r="I18" s="258">
        <f>+F18</f>
        <v>55248.23</v>
      </c>
      <c r="J18" s="258"/>
      <c r="K18" s="258">
        <f t="shared" si="2"/>
        <v>55248.23</v>
      </c>
      <c r="L18" s="256"/>
    </row>
    <row r="19" spans="1:12" ht="15.75">
      <c r="A19" s="34" t="s">
        <v>432</v>
      </c>
      <c r="B19" s="31"/>
      <c r="C19" s="33">
        <f>+'12 Month P&amp;L'!AC18</f>
        <v>13627.37</v>
      </c>
      <c r="D19" s="33">
        <f>+'Restating Entries'!N19</f>
        <v>-1910.3</v>
      </c>
      <c r="E19" s="258">
        <f>+'Pro Forma Entries '!L19</f>
        <v>0</v>
      </c>
      <c r="F19" s="258">
        <f t="shared" si="0"/>
        <v>11717.070000000002</v>
      </c>
      <c r="H19" s="258">
        <f>+F19</f>
        <v>11717.070000000002</v>
      </c>
      <c r="I19" s="257"/>
      <c r="J19" s="258"/>
      <c r="K19" s="258">
        <f t="shared" si="2"/>
        <v>0</v>
      </c>
      <c r="L19" s="256"/>
    </row>
    <row r="20" spans="1:12" ht="15.75">
      <c r="A20" s="34" t="s">
        <v>433</v>
      </c>
      <c r="B20" s="31"/>
      <c r="C20" s="36">
        <f>+'12 Month P&amp;L'!AC19</f>
        <v>8366.17</v>
      </c>
      <c r="D20" s="36">
        <f>+'Restating Entries'!N20</f>
        <v>-1172.78</v>
      </c>
      <c r="E20" s="259">
        <f>+'Pro Forma Entries '!L20</f>
        <v>0</v>
      </c>
      <c r="F20" s="259">
        <f t="shared" si="0"/>
        <v>7193.39</v>
      </c>
      <c r="H20" s="856"/>
      <c r="I20" s="259">
        <f>+F20</f>
        <v>7193.39</v>
      </c>
      <c r="J20" s="259"/>
      <c r="K20" s="259">
        <f t="shared" si="2"/>
        <v>7193.39</v>
      </c>
      <c r="L20" s="256"/>
    </row>
    <row r="21" spans="1:12" ht="15.75">
      <c r="A21" s="37" t="s">
        <v>434</v>
      </c>
      <c r="B21" s="31"/>
      <c r="C21" s="33">
        <f>SUM(C7:C20)</f>
        <v>21196372.390000008</v>
      </c>
      <c r="D21" s="33">
        <f>SUM(D7:D20)</f>
        <v>-2214994.5524549936</v>
      </c>
      <c r="E21" s="258">
        <f>+'Pro Forma Entries '!L21</f>
        <v>-134754</v>
      </c>
      <c r="F21" s="33">
        <f>SUM(F7:F20)</f>
        <v>18846623.837545004</v>
      </c>
      <c r="H21" s="258">
        <f>SUM(H12:H20)</f>
        <v>1649204.7296150024</v>
      </c>
      <c r="I21" s="33">
        <f>SUM(I7:I20)</f>
        <v>17197419.107930005</v>
      </c>
      <c r="J21" s="33">
        <f>SUM(J7:J20)</f>
        <v>793570.59155384789</v>
      </c>
      <c r="K21" s="33">
        <f>SUM(K7:K20)</f>
        <v>17990989.699483853</v>
      </c>
      <c r="L21" s="857"/>
    </row>
    <row r="22" spans="1:12" ht="15.75">
      <c r="A22" s="32" t="s">
        <v>2</v>
      </c>
      <c r="B22" s="31"/>
      <c r="C22" s="33"/>
      <c r="D22" s="31"/>
      <c r="E22" s="258"/>
      <c r="F22" s="257"/>
      <c r="G22" s="258"/>
      <c r="H22" s="257"/>
      <c r="I22" s="257"/>
      <c r="J22" s="257"/>
      <c r="K22" s="256"/>
      <c r="L22" s="256"/>
    </row>
    <row r="23" spans="1:12" ht="15.75">
      <c r="A23" s="34" t="s">
        <v>435</v>
      </c>
      <c r="B23" s="31"/>
      <c r="C23" s="33">
        <f>+'12 Month P&amp;L'!AC27+'12 Month P&amp;L'!AC28+'12 Month P&amp;L'!AC29+'12 Month P&amp;L'!AC41</f>
        <v>2627684.9500000002</v>
      </c>
      <c r="D23" s="33">
        <f>+'Restating Entries'!N23</f>
        <v>0</v>
      </c>
      <c r="E23" s="258">
        <f>+'Pro Forma Entries '!L23</f>
        <v>216259.4</v>
      </c>
      <c r="F23" s="258">
        <f t="shared" ref="F23:F60" si="4">SUM(C23:E23)</f>
        <v>2843944.35</v>
      </c>
      <c r="G23" s="852" t="s">
        <v>535</v>
      </c>
      <c r="H23" s="258">
        <f>+Allocations!H31</f>
        <v>761885.07891338016</v>
      </c>
      <c r="I23" s="258">
        <f t="shared" ref="I23:I36" si="5">+F23-H23</f>
        <v>2082059.2710866199</v>
      </c>
      <c r="J23" s="257"/>
      <c r="K23" s="258">
        <f t="shared" ref="K23:K60" si="6">+J23+I23</f>
        <v>2082059.2710866199</v>
      </c>
      <c r="L23" s="256"/>
    </row>
    <row r="24" spans="1:12" ht="15.75">
      <c r="A24" s="34" t="s">
        <v>436</v>
      </c>
      <c r="B24" s="31"/>
      <c r="C24" s="33">
        <f>+'12 Month P&amp;L'!AC51</f>
        <v>124840.86</v>
      </c>
      <c r="D24" s="33">
        <f>+'Restating Entries'!N24</f>
        <v>0</v>
      </c>
      <c r="E24" s="258">
        <f>+'Pro Forma Entries '!L24</f>
        <v>0</v>
      </c>
      <c r="F24" s="258">
        <f t="shared" si="4"/>
        <v>124840.86</v>
      </c>
      <c r="G24" s="852" t="s">
        <v>535</v>
      </c>
      <c r="H24" s="258">
        <f>+Allocations!H32</f>
        <v>33444.532229582568</v>
      </c>
      <c r="I24" s="258">
        <f t="shared" si="5"/>
        <v>91396.32777041744</v>
      </c>
      <c r="J24" s="257"/>
      <c r="K24" s="258">
        <f t="shared" si="6"/>
        <v>91396.32777041744</v>
      </c>
      <c r="L24" s="256"/>
    </row>
    <row r="25" spans="1:12" ht="15.75">
      <c r="A25" s="34" t="s">
        <v>437</v>
      </c>
      <c r="B25" s="31"/>
      <c r="C25" s="33">
        <f>+'12 Month P&amp;L'!AC253</f>
        <v>49063.24</v>
      </c>
      <c r="D25" s="33">
        <f>+'Restating Entries'!N25</f>
        <v>0</v>
      </c>
      <c r="E25" s="258">
        <f>+'Pro Forma Entries '!L25</f>
        <v>0</v>
      </c>
      <c r="F25" s="258">
        <f t="shared" si="4"/>
        <v>49063.24</v>
      </c>
      <c r="G25" s="852" t="s">
        <v>535</v>
      </c>
      <c r="H25" s="258">
        <f>+Allocations!H33</f>
        <v>13143.910667290696</v>
      </c>
      <c r="I25" s="258">
        <f t="shared" si="5"/>
        <v>35919.329332709298</v>
      </c>
      <c r="J25" s="257"/>
      <c r="K25" s="258">
        <f t="shared" si="6"/>
        <v>35919.329332709298</v>
      </c>
      <c r="L25" s="256"/>
    </row>
    <row r="26" spans="1:12" ht="15.75">
      <c r="A26" s="34" t="s">
        <v>438</v>
      </c>
      <c r="B26" s="31"/>
      <c r="C26" s="33">
        <f>+'12 Month P&amp;L'!AC116</f>
        <v>3467.97</v>
      </c>
      <c r="D26" s="33">
        <f>+'Restating Entries'!N26</f>
        <v>0</v>
      </c>
      <c r="E26" s="258">
        <f>+'Pro Forma Entries '!L26</f>
        <v>0</v>
      </c>
      <c r="F26" s="258">
        <f t="shared" si="4"/>
        <v>3467.97</v>
      </c>
      <c r="G26" s="852" t="s">
        <v>535</v>
      </c>
      <c r="H26" s="258">
        <f>+Allocations!H34</f>
        <v>929.05988020448945</v>
      </c>
      <c r="I26" s="258">
        <f t="shared" si="5"/>
        <v>2538.9101197955106</v>
      </c>
      <c r="J26" s="257"/>
      <c r="K26" s="258">
        <f t="shared" si="6"/>
        <v>2538.9101197955106</v>
      </c>
      <c r="L26" s="256"/>
    </row>
    <row r="27" spans="1:12" ht="15.75">
      <c r="A27" s="34" t="s">
        <v>439</v>
      </c>
      <c r="B27" s="31"/>
      <c r="C27" s="33">
        <f>+'12 Month P&amp;L'!AC62</f>
        <v>2614700.25</v>
      </c>
      <c r="D27" s="33">
        <f>+'Restating Entries'!N27</f>
        <v>0</v>
      </c>
      <c r="E27" s="258">
        <f>+'Pro Forma Entries '!L27</f>
        <v>-6579.2943000004016</v>
      </c>
      <c r="F27" s="258">
        <f t="shared" si="4"/>
        <v>2608120.9556999998</v>
      </c>
      <c r="G27" s="853" t="s">
        <v>536</v>
      </c>
      <c r="H27" s="258">
        <f>+Allocations!H35</f>
        <v>292727.63207850355</v>
      </c>
      <c r="I27" s="258">
        <f t="shared" si="5"/>
        <v>2315393.3236214961</v>
      </c>
      <c r="J27" s="257"/>
      <c r="K27" s="258">
        <f t="shared" si="6"/>
        <v>2315393.3236214961</v>
      </c>
      <c r="L27" s="256"/>
    </row>
    <row r="28" spans="1:12" ht="15.75">
      <c r="A28" s="34" t="s">
        <v>440</v>
      </c>
      <c r="B28" s="31"/>
      <c r="C28" s="33">
        <f>+'12 Month P&amp;L'!AC127</f>
        <v>497241.74</v>
      </c>
      <c r="D28" s="33">
        <f>+'Restating Entries'!N28</f>
        <v>-29887.359999999986</v>
      </c>
      <c r="E28" s="258">
        <f>+'Pro Forma Entries '!L28</f>
        <v>0</v>
      </c>
      <c r="F28" s="258">
        <f t="shared" si="4"/>
        <v>467354.38</v>
      </c>
      <c r="G28" s="852" t="s">
        <v>535</v>
      </c>
      <c r="H28" s="258">
        <f>+Allocations!H36</f>
        <v>125202.98742372151</v>
      </c>
      <c r="I28" s="258">
        <f t="shared" si="5"/>
        <v>342151.39257627848</v>
      </c>
      <c r="J28" s="257"/>
      <c r="K28" s="258">
        <f t="shared" si="6"/>
        <v>342151.39257627848</v>
      </c>
      <c r="L28" s="256"/>
    </row>
    <row r="29" spans="1:12" ht="15.75">
      <c r="A29" s="38" t="s">
        <v>441</v>
      </c>
      <c r="B29" s="31"/>
      <c r="C29" s="33">
        <f>+'12 Month P&amp;L'!AC133</f>
        <v>35465.56</v>
      </c>
      <c r="D29" s="33">
        <f>+'Restating Entries'!N29</f>
        <v>0</v>
      </c>
      <c r="E29" s="258">
        <f>+'Pro Forma Entries '!L29</f>
        <v>0</v>
      </c>
      <c r="F29" s="258">
        <f t="shared" si="4"/>
        <v>35465.56</v>
      </c>
      <c r="G29" s="852" t="s">
        <v>535</v>
      </c>
      <c r="H29" s="258">
        <f>+Allocations!H37</f>
        <v>9501.128592515257</v>
      </c>
      <c r="I29" s="258">
        <f t="shared" si="5"/>
        <v>25964.431407484743</v>
      </c>
      <c r="J29" s="257"/>
      <c r="K29" s="258">
        <f t="shared" si="6"/>
        <v>25964.431407484743</v>
      </c>
      <c r="L29" s="256"/>
    </row>
    <row r="30" spans="1:12" ht="15.75">
      <c r="A30" s="38" t="s">
        <v>442</v>
      </c>
      <c r="B30" s="31"/>
      <c r="C30" s="33">
        <f>+'12 Month P&amp;L'!AC143</f>
        <v>8660697.9900000002</v>
      </c>
      <c r="D30" s="33">
        <f>+'Restating Entries'!N30</f>
        <v>-3723705.0305000013</v>
      </c>
      <c r="E30" s="258">
        <f>+'Pro Forma Entries '!L30</f>
        <v>0</v>
      </c>
      <c r="F30" s="258">
        <f t="shared" si="4"/>
        <v>4936992.9594999989</v>
      </c>
      <c r="G30" s="853" t="s">
        <v>1385</v>
      </c>
      <c r="H30" s="258">
        <f>+Allocations!H38</f>
        <v>314285.20999999996</v>
      </c>
      <c r="I30" s="258">
        <f t="shared" si="5"/>
        <v>4622707.749499999</v>
      </c>
      <c r="J30" s="257"/>
      <c r="K30" s="258">
        <f t="shared" si="6"/>
        <v>4622707.749499999</v>
      </c>
      <c r="L30" s="256"/>
    </row>
    <row r="31" spans="1:12" ht="15.75">
      <c r="A31" s="35" t="s">
        <v>443</v>
      </c>
      <c r="B31" s="31"/>
      <c r="C31" s="33"/>
      <c r="D31" s="33">
        <f>+'Restating Entries'!N31</f>
        <v>3741651.2299999995</v>
      </c>
      <c r="E31" s="258">
        <f>+'Pro Forma Entries '!L31</f>
        <v>0</v>
      </c>
      <c r="F31" s="258">
        <f t="shared" si="4"/>
        <v>3741651.2299999995</v>
      </c>
      <c r="G31" s="853" t="s">
        <v>1385</v>
      </c>
      <c r="H31" s="258">
        <f>+Allocations!H39</f>
        <v>0</v>
      </c>
      <c r="I31" s="258">
        <f t="shared" si="5"/>
        <v>3741651.2299999995</v>
      </c>
      <c r="J31" s="257"/>
      <c r="K31" s="258">
        <f t="shared" si="6"/>
        <v>3741651.2299999995</v>
      </c>
      <c r="L31" s="256"/>
    </row>
    <row r="32" spans="1:12" ht="15.75">
      <c r="A32" s="38" t="s">
        <v>444</v>
      </c>
      <c r="B32" s="31"/>
      <c r="C32" s="33">
        <f>+'12 Month P&amp;L'!AC148</f>
        <v>320872.40000000002</v>
      </c>
      <c r="D32" s="33">
        <f>+'Restating Entries'!N32</f>
        <v>0</v>
      </c>
      <c r="E32" s="258">
        <f>+'Pro Forma Entries '!L32</f>
        <v>4487.5695999999998</v>
      </c>
      <c r="F32" s="258">
        <f t="shared" si="4"/>
        <v>325359.96960000001</v>
      </c>
      <c r="G32" s="853" t="s">
        <v>1385</v>
      </c>
      <c r="H32" s="258">
        <f>+Allocations!H40</f>
        <v>50792.118399999999</v>
      </c>
      <c r="I32" s="258">
        <f t="shared" si="5"/>
        <v>274567.85120000003</v>
      </c>
      <c r="J32" s="257"/>
      <c r="K32" s="258">
        <f t="shared" si="6"/>
        <v>274567.85120000003</v>
      </c>
      <c r="L32" s="256"/>
    </row>
    <row r="33" spans="1:12" ht="15.75">
      <c r="A33" s="38" t="s">
        <v>1344</v>
      </c>
      <c r="B33" s="31"/>
      <c r="C33" s="33">
        <f>+'12 Month P&amp;L'!AC84</f>
        <v>643047.9</v>
      </c>
      <c r="D33" s="33">
        <f>+'Restating Entries'!N33</f>
        <v>0</v>
      </c>
      <c r="E33" s="258">
        <f>+'Pro Forma Entries '!L33</f>
        <v>26116.799999999945</v>
      </c>
      <c r="F33" s="258">
        <f t="shared" si="4"/>
        <v>669164.69999999995</v>
      </c>
      <c r="G33" s="853" t="s">
        <v>536</v>
      </c>
      <c r="H33" s="258">
        <f>+Allocations!H41</f>
        <v>75105.028266968817</v>
      </c>
      <c r="I33" s="258">
        <f t="shared" si="5"/>
        <v>594059.67173303117</v>
      </c>
      <c r="J33" s="257"/>
      <c r="K33" s="258">
        <f t="shared" si="6"/>
        <v>594059.67173303117</v>
      </c>
      <c r="L33" s="256"/>
    </row>
    <row r="34" spans="1:12" ht="15.75">
      <c r="A34" s="38" t="s">
        <v>445</v>
      </c>
      <c r="B34" s="31"/>
      <c r="C34" s="33">
        <f>+'12 Month P&amp;L'!AC160+'12 Month P&amp;L'!AC163</f>
        <v>35114.92</v>
      </c>
      <c r="D34" s="33">
        <f>+'Restating Entries'!N34</f>
        <v>-5572.8</v>
      </c>
      <c r="E34" s="258">
        <f>+'Pro Forma Entries '!L34</f>
        <v>0</v>
      </c>
      <c r="F34" s="258">
        <f t="shared" si="4"/>
        <v>29542.12</v>
      </c>
      <c r="G34" s="853" t="s">
        <v>534</v>
      </c>
      <c r="H34" s="258">
        <f>+Allocations!H42</f>
        <v>1384.5647618131075</v>
      </c>
      <c r="I34" s="258">
        <f t="shared" si="5"/>
        <v>28157.555238186891</v>
      </c>
      <c r="J34" s="257"/>
      <c r="K34" s="258">
        <f t="shared" si="6"/>
        <v>28157.555238186891</v>
      </c>
      <c r="L34" s="256"/>
    </row>
    <row r="35" spans="1:12" ht="15.75">
      <c r="A35" s="38" t="s">
        <v>480</v>
      </c>
      <c r="B35" s="31"/>
      <c r="C35" s="33">
        <f>+'12 Month P&amp;L'!AC161</f>
        <v>11151.77</v>
      </c>
      <c r="D35" s="33">
        <f>+'Restating Entries'!N35</f>
        <v>0</v>
      </c>
      <c r="E35" s="258">
        <f>+'Pro Forma Entries '!L35</f>
        <v>0</v>
      </c>
      <c r="F35" s="258">
        <f t="shared" si="4"/>
        <v>11151.77</v>
      </c>
      <c r="G35" s="853" t="s">
        <v>534</v>
      </c>
      <c r="H35" s="258">
        <f>+Allocations!H43</f>
        <v>522.65537388124335</v>
      </c>
      <c r="I35" s="258">
        <f t="shared" si="5"/>
        <v>10629.114626118757</v>
      </c>
      <c r="J35" s="257"/>
      <c r="K35" s="258">
        <f t="shared" si="6"/>
        <v>10629.114626118757</v>
      </c>
      <c r="L35" s="256"/>
    </row>
    <row r="36" spans="1:12" ht="15.75">
      <c r="A36" s="38" t="s">
        <v>446</v>
      </c>
      <c r="B36" s="31"/>
      <c r="C36" s="33">
        <f>+'12 Month P&amp;L'!AC162</f>
        <v>6314.29</v>
      </c>
      <c r="D36" s="33">
        <f>+'Restating Entries'!N36</f>
        <v>0</v>
      </c>
      <c r="E36" s="258">
        <f>+'Pro Forma Entries '!L36</f>
        <v>0</v>
      </c>
      <c r="F36" s="258">
        <f t="shared" si="4"/>
        <v>6314.29</v>
      </c>
      <c r="G36" s="853" t="s">
        <v>534</v>
      </c>
      <c r="H36" s="258">
        <f>+Allocations!H44</f>
        <v>295.93486959869114</v>
      </c>
      <c r="I36" s="258">
        <f t="shared" si="5"/>
        <v>6018.355130401309</v>
      </c>
      <c r="J36" s="257"/>
      <c r="K36" s="258">
        <f t="shared" si="6"/>
        <v>6018.355130401309</v>
      </c>
      <c r="L36" s="256"/>
    </row>
    <row r="37" spans="1:12" ht="15.75">
      <c r="A37" s="38" t="s">
        <v>447</v>
      </c>
      <c r="B37" s="31"/>
      <c r="C37" s="33"/>
      <c r="D37" s="33">
        <f>+'Restating Entries'!N37</f>
        <v>0</v>
      </c>
      <c r="E37" s="258">
        <f>+'Pro Forma Entries '!L37</f>
        <v>0</v>
      </c>
      <c r="F37" s="258">
        <f t="shared" si="4"/>
        <v>0</v>
      </c>
      <c r="G37" s="258"/>
      <c r="H37" s="258"/>
      <c r="I37" s="258"/>
      <c r="J37" s="257"/>
      <c r="K37" s="258">
        <f t="shared" si="6"/>
        <v>0</v>
      </c>
      <c r="L37" s="256"/>
    </row>
    <row r="38" spans="1:12" ht="15.75">
      <c r="A38" s="38" t="s">
        <v>448</v>
      </c>
      <c r="B38" s="31"/>
      <c r="C38" s="33">
        <f>+'12 Month P&amp;L'!T73</f>
        <v>0</v>
      </c>
      <c r="D38" s="33">
        <f>+'Restating Entries'!N38</f>
        <v>0</v>
      </c>
      <c r="E38" s="258">
        <f>+'Pro Forma Entries '!L38</f>
        <v>0</v>
      </c>
      <c r="F38" s="258">
        <f t="shared" si="4"/>
        <v>0</v>
      </c>
      <c r="G38" s="258"/>
      <c r="H38" s="258"/>
      <c r="I38" s="258"/>
      <c r="J38" s="257"/>
      <c r="K38" s="258">
        <f t="shared" si="6"/>
        <v>0</v>
      </c>
      <c r="L38" s="256"/>
    </row>
    <row r="39" spans="1:12" ht="15.75">
      <c r="A39" s="38" t="s">
        <v>449</v>
      </c>
      <c r="B39" s="31"/>
      <c r="C39" s="33">
        <f>+'12 Month P&amp;L'!AC165+'12 Month P&amp;L'!AC175</f>
        <v>477287.5</v>
      </c>
      <c r="D39" s="33">
        <f>+'Restating Entries'!N39</f>
        <v>-4124</v>
      </c>
      <c r="E39" s="258">
        <f>+'Pro Forma Entries '!L39</f>
        <v>0</v>
      </c>
      <c r="F39" s="258">
        <f t="shared" si="4"/>
        <v>473163.5</v>
      </c>
      <c r="G39" s="853" t="s">
        <v>534</v>
      </c>
      <c r="H39" s="258">
        <f>+Allocations!H47</f>
        <v>22175.981570589931</v>
      </c>
      <c r="I39" s="258">
        <f>+F39-H39</f>
        <v>450987.51842941006</v>
      </c>
      <c r="J39" s="257"/>
      <c r="K39" s="258">
        <f t="shared" si="6"/>
        <v>450987.51842941006</v>
      </c>
      <c r="L39" s="256"/>
    </row>
    <row r="40" spans="1:12" ht="15.75">
      <c r="A40" s="38" t="s">
        <v>450</v>
      </c>
      <c r="B40" s="31"/>
      <c r="C40" s="33">
        <f>+'12 Month P&amp;L'!AC177</f>
        <v>4770.34</v>
      </c>
      <c r="D40" s="33">
        <f>+'Restating Entries'!N40</f>
        <v>0</v>
      </c>
      <c r="E40" s="258">
        <f>+'Pro Forma Entries '!L40</f>
        <v>0</v>
      </c>
      <c r="F40" s="258">
        <f t="shared" si="4"/>
        <v>4770.34</v>
      </c>
      <c r="G40" s="853" t="s">
        <v>534</v>
      </c>
      <c r="H40" s="258">
        <f>+Allocations!H48</f>
        <v>223.57382157636417</v>
      </c>
      <c r="I40" s="258">
        <f>+F40-H40</f>
        <v>4546.7661784236361</v>
      </c>
      <c r="J40" s="257"/>
      <c r="K40" s="258">
        <f t="shared" si="6"/>
        <v>4546.7661784236361</v>
      </c>
      <c r="L40" s="256"/>
    </row>
    <row r="41" spans="1:12" ht="15.75">
      <c r="A41" s="38" t="s">
        <v>451</v>
      </c>
      <c r="B41" s="31"/>
      <c r="C41" s="33">
        <f>+'12 Month P&amp;L'!T189</f>
        <v>0</v>
      </c>
      <c r="D41" s="33">
        <f>+'Restating Entries'!N41</f>
        <v>0</v>
      </c>
      <c r="E41" s="258">
        <f>+'Pro Forma Entries '!L41</f>
        <v>0</v>
      </c>
      <c r="F41" s="258">
        <f t="shared" si="4"/>
        <v>0</v>
      </c>
      <c r="G41" s="257"/>
      <c r="H41" s="258"/>
      <c r="I41" s="258"/>
      <c r="J41" s="257"/>
      <c r="K41" s="258">
        <f t="shared" si="6"/>
        <v>0</v>
      </c>
      <c r="L41" s="256"/>
    </row>
    <row r="42" spans="1:12" ht="15.75">
      <c r="A42" s="38" t="s">
        <v>452</v>
      </c>
      <c r="B42" s="31"/>
      <c r="C42" s="33">
        <f>+'12 Month P&amp;L'!AC74</f>
        <v>199950.8</v>
      </c>
      <c r="D42" s="33">
        <f>+'Restating Entries'!N42</f>
        <v>0</v>
      </c>
      <c r="E42" s="258">
        <f>+'Pro Forma Entries '!L42</f>
        <v>2030.0000000000291</v>
      </c>
      <c r="F42" s="258">
        <f t="shared" si="4"/>
        <v>201980.80000000002</v>
      </c>
      <c r="G42" s="853" t="s">
        <v>534</v>
      </c>
      <c r="H42" s="258">
        <f>+Allocations!H50</f>
        <v>9466.3314021749593</v>
      </c>
      <c r="I42" s="258">
        <f>+F42-H42</f>
        <v>192514.46859782506</v>
      </c>
      <c r="J42" s="257"/>
      <c r="K42" s="258">
        <f t="shared" si="6"/>
        <v>192514.46859782506</v>
      </c>
      <c r="L42" s="256"/>
    </row>
    <row r="43" spans="1:12" ht="15.75">
      <c r="A43" s="38" t="s">
        <v>453</v>
      </c>
      <c r="B43" s="31"/>
      <c r="C43" s="33">
        <f>+'12 Month P&amp;L'!AC152</f>
        <v>452029.51</v>
      </c>
      <c r="D43" s="33">
        <f>+'Restating Entries'!N43</f>
        <v>0</v>
      </c>
      <c r="E43" s="258">
        <f>+'Pro Forma Entries '!L43</f>
        <v>-983.46000000002095</v>
      </c>
      <c r="F43" s="258">
        <f t="shared" si="4"/>
        <v>451046.05</v>
      </c>
      <c r="G43" s="853" t="s">
        <v>534</v>
      </c>
      <c r="H43" s="258">
        <f>+Allocations!H51</f>
        <v>21139.392392455007</v>
      </c>
      <c r="I43" s="258">
        <f>+F43-H43</f>
        <v>429906.65760754497</v>
      </c>
      <c r="J43" s="257"/>
      <c r="K43" s="258">
        <f t="shared" si="6"/>
        <v>429906.65760754497</v>
      </c>
      <c r="L43" s="256"/>
    </row>
    <row r="44" spans="1:12" ht="15.75">
      <c r="A44" s="38" t="s">
        <v>454</v>
      </c>
      <c r="B44" s="31"/>
      <c r="C44" s="33">
        <f>+'12 Month P&amp;L'!AC207-'12 Month P&amp;L'!AC205</f>
        <v>265846.68</v>
      </c>
      <c r="D44" s="33">
        <f>+'Restating Entries'!N44</f>
        <v>-4278</v>
      </c>
      <c r="E44" s="258">
        <f>+'Pro Forma Entries '!L44</f>
        <v>9351.9</v>
      </c>
      <c r="F44" s="258">
        <f t="shared" si="4"/>
        <v>270920.58</v>
      </c>
      <c r="G44" s="853" t="s">
        <v>534</v>
      </c>
      <c r="H44" s="258">
        <f>+Allocations!H52</f>
        <v>12697.365264170918</v>
      </c>
      <c r="I44" s="258">
        <f>+F44-H44</f>
        <v>258223.2147358291</v>
      </c>
      <c r="J44" s="257"/>
      <c r="K44" s="258">
        <f t="shared" si="6"/>
        <v>258223.2147358291</v>
      </c>
      <c r="L44" s="256"/>
    </row>
    <row r="45" spans="1:12" ht="15.75">
      <c r="A45" s="38" t="s">
        <v>455</v>
      </c>
      <c r="B45" s="31"/>
      <c r="C45" s="33">
        <f>+'12 Month P&amp;L'!AC205</f>
        <v>4775.8</v>
      </c>
      <c r="D45" s="33">
        <f>+'Restating Entries'!N45</f>
        <v>-4775.8</v>
      </c>
      <c r="E45" s="258">
        <f>+'Pro Forma Entries '!L45</f>
        <v>0</v>
      </c>
      <c r="F45" s="258">
        <f t="shared" si="4"/>
        <v>0</v>
      </c>
      <c r="G45" s="257"/>
      <c r="H45" s="258"/>
      <c r="I45" s="258"/>
      <c r="J45" s="257"/>
      <c r="K45" s="258">
        <f t="shared" si="6"/>
        <v>0</v>
      </c>
      <c r="L45" s="256"/>
    </row>
    <row r="46" spans="1:12" ht="15.75">
      <c r="A46" s="38" t="s">
        <v>456</v>
      </c>
      <c r="B46" s="31"/>
      <c r="C46" s="33">
        <f>+'12 Month P&amp;L'!AC214</f>
        <v>79238.03</v>
      </c>
      <c r="D46" s="33">
        <f>+'Restating Entries'!N46</f>
        <v>17103.599999999999</v>
      </c>
      <c r="E46" s="258">
        <f>+'Pro Forma Entries '!L46</f>
        <v>19402.165000000001</v>
      </c>
      <c r="F46" s="258">
        <f t="shared" si="4"/>
        <v>115743.79500000001</v>
      </c>
      <c r="G46" s="853" t="s">
        <v>534</v>
      </c>
      <c r="H46" s="258">
        <f>+Allocations!H54</f>
        <v>5424.6201679337892</v>
      </c>
      <c r="I46" s="258">
        <f t="shared" ref="I46:I60" si="7">+F46-H46</f>
        <v>110319.17483206623</v>
      </c>
      <c r="J46" s="257"/>
      <c r="K46" s="258">
        <f t="shared" si="6"/>
        <v>110319.17483206623</v>
      </c>
      <c r="L46" s="256"/>
    </row>
    <row r="47" spans="1:12" ht="15.75">
      <c r="A47" s="38" t="s">
        <v>481</v>
      </c>
      <c r="B47" s="31"/>
      <c r="C47" s="33">
        <f>+'12 Month P&amp;L'!AC220</f>
        <v>31753.75</v>
      </c>
      <c r="D47" s="33">
        <f>+'Restating Entries'!N47</f>
        <v>0</v>
      </c>
      <c r="E47" s="258">
        <f>+'Pro Forma Entries '!L47</f>
        <v>0</v>
      </c>
      <c r="F47" s="258">
        <f t="shared" si="4"/>
        <v>31753.75</v>
      </c>
      <c r="G47" s="853" t="s">
        <v>534</v>
      </c>
      <c r="H47" s="258">
        <f>+Allocations!H55</f>
        <v>1488.2182898662304</v>
      </c>
      <c r="I47" s="258">
        <f t="shared" si="7"/>
        <v>30265.531710133771</v>
      </c>
      <c r="J47" s="257"/>
      <c r="K47" s="258">
        <f t="shared" si="6"/>
        <v>30265.531710133771</v>
      </c>
      <c r="L47" s="256"/>
    </row>
    <row r="48" spans="1:12" ht="15.75">
      <c r="A48" s="38" t="s">
        <v>457</v>
      </c>
      <c r="B48" s="31"/>
      <c r="C48" s="33">
        <f>+'12 Month P&amp;L'!AC151</f>
        <v>74075.91</v>
      </c>
      <c r="D48" s="33">
        <f>+'Restating Entries'!N48</f>
        <v>0</v>
      </c>
      <c r="E48" s="258">
        <f>+'Pro Forma Entries '!L48</f>
        <v>2135.7379999999976</v>
      </c>
      <c r="F48" s="258">
        <f t="shared" si="4"/>
        <v>76211.648000000001</v>
      </c>
      <c r="G48" s="853" t="s">
        <v>534</v>
      </c>
      <c r="H48" s="258">
        <f>+Allocations!H56</f>
        <v>3571.8480007698968</v>
      </c>
      <c r="I48" s="258">
        <f t="shared" si="7"/>
        <v>72639.799999230105</v>
      </c>
      <c r="J48" s="257"/>
      <c r="K48" s="258">
        <f t="shared" si="6"/>
        <v>72639.799999230105</v>
      </c>
      <c r="L48" s="256"/>
    </row>
    <row r="49" spans="1:12" ht="15.75">
      <c r="A49" s="34" t="s">
        <v>458</v>
      </c>
      <c r="B49" s="31"/>
      <c r="C49" s="33">
        <f>+'12 Month P&amp;L'!AC158</f>
        <v>152331.66</v>
      </c>
      <c r="D49" s="33">
        <f>+'Restating Entries'!N49</f>
        <v>0</v>
      </c>
      <c r="E49" s="258">
        <f>+'Pro Forma Entries '!L49</f>
        <v>4972.7999999999956</v>
      </c>
      <c r="F49" s="258">
        <f t="shared" si="4"/>
        <v>157304.46</v>
      </c>
      <c r="G49" s="853" t="s">
        <v>534</v>
      </c>
      <c r="H49" s="258">
        <f>+Allocations!H57</f>
        <v>7372.4638648830714</v>
      </c>
      <c r="I49" s="258">
        <f t="shared" si="7"/>
        <v>149931.99613511693</v>
      </c>
      <c r="J49" s="257"/>
      <c r="K49" s="258">
        <f t="shared" si="6"/>
        <v>149931.99613511693</v>
      </c>
      <c r="L49" s="256"/>
    </row>
    <row r="50" spans="1:12" ht="15.75">
      <c r="A50" s="38" t="s">
        <v>459</v>
      </c>
      <c r="B50" s="31"/>
      <c r="C50" s="33">
        <f>+'12 Month P&amp;L'!AC189</f>
        <v>562103.69999999995</v>
      </c>
      <c r="D50" s="33">
        <f>+'Restating Entries'!N50</f>
        <v>0</v>
      </c>
      <c r="E50" s="258">
        <f>+'Pro Forma Entries '!L50</f>
        <v>32528.839799999994</v>
      </c>
      <c r="F50" s="258">
        <f t="shared" si="4"/>
        <v>594632.53979999991</v>
      </c>
      <c r="G50" s="853" t="s">
        <v>536</v>
      </c>
      <c r="H50" s="258">
        <f>+Allocations!H58</f>
        <v>66739.763335003256</v>
      </c>
      <c r="I50" s="258">
        <f t="shared" si="7"/>
        <v>527892.77646499663</v>
      </c>
      <c r="J50" s="257"/>
      <c r="K50" s="258">
        <f t="shared" si="6"/>
        <v>527892.77646499663</v>
      </c>
      <c r="L50" s="256"/>
    </row>
    <row r="51" spans="1:12" ht="15.75">
      <c r="A51" s="38" t="s">
        <v>460</v>
      </c>
      <c r="B51" s="31"/>
      <c r="C51" s="33">
        <f>+'12 Month P&amp;L'!AC221</f>
        <v>125446.37</v>
      </c>
      <c r="D51" s="33">
        <f>+'Restating Entries'!N51</f>
        <v>-27600.469999999998</v>
      </c>
      <c r="E51" s="258">
        <f>+'Pro Forma Entries '!L51</f>
        <v>0</v>
      </c>
      <c r="F51" s="258">
        <f t="shared" si="4"/>
        <v>97845.9</v>
      </c>
      <c r="G51" s="853" t="s">
        <v>1385</v>
      </c>
      <c r="H51" s="258">
        <f>+Allocations!H59</f>
        <v>0</v>
      </c>
      <c r="I51" s="258">
        <f t="shared" si="7"/>
        <v>97845.9</v>
      </c>
      <c r="J51" s="258">
        <f>+J21*0.0051</f>
        <v>4047.2100169246246</v>
      </c>
      <c r="K51" s="258">
        <f t="shared" si="6"/>
        <v>101893.11001692462</v>
      </c>
      <c r="L51" s="256"/>
    </row>
    <row r="52" spans="1:12" ht="15.75">
      <c r="A52" s="38" t="s">
        <v>461</v>
      </c>
      <c r="B52" s="31"/>
      <c r="C52" s="33">
        <f>+'12 Month P&amp;L'!AC242</f>
        <v>422022.03</v>
      </c>
      <c r="D52" s="33">
        <f>+'Restating Entries'!N52</f>
        <v>-57011.019285714312</v>
      </c>
      <c r="E52" s="258">
        <f>+'Pro Forma Entries '!L52</f>
        <v>0</v>
      </c>
      <c r="F52" s="258">
        <f t="shared" si="4"/>
        <v>365011.01071428572</v>
      </c>
      <c r="G52" s="853" t="s">
        <v>1385</v>
      </c>
      <c r="H52" s="258">
        <f>+Allocations!H60</f>
        <v>27100.300000000003</v>
      </c>
      <c r="I52" s="258">
        <f t="shared" si="7"/>
        <v>337910.71071428573</v>
      </c>
      <c r="J52" s="257"/>
      <c r="K52" s="258">
        <f t="shared" si="6"/>
        <v>337910.71071428573</v>
      </c>
      <c r="L52" s="256"/>
    </row>
    <row r="53" spans="1:12" ht="15.75">
      <c r="A53" s="38" t="s">
        <v>462</v>
      </c>
      <c r="B53" s="31"/>
      <c r="C53" s="33">
        <f>+'12 Month P&amp;L'!AC271</f>
        <v>187650.37</v>
      </c>
      <c r="D53" s="33">
        <f>+'Restating Entries'!N53</f>
        <v>66380.360000000015</v>
      </c>
      <c r="E53" s="258">
        <f>+'Pro Forma Entries '!L53</f>
        <v>0</v>
      </c>
      <c r="F53" s="258">
        <f t="shared" si="4"/>
        <v>254030.73</v>
      </c>
      <c r="G53" s="853" t="s">
        <v>534</v>
      </c>
      <c r="H53" s="258">
        <f>+Allocations!H61</f>
        <v>11905.780532191318</v>
      </c>
      <c r="I53" s="258">
        <f t="shared" si="7"/>
        <v>242124.94946780871</v>
      </c>
      <c r="J53" s="257"/>
      <c r="K53" s="258">
        <f t="shared" si="6"/>
        <v>242124.94946780871</v>
      </c>
      <c r="L53" s="256"/>
    </row>
    <row r="54" spans="1:12" ht="15.75">
      <c r="A54" s="38" t="s">
        <v>463</v>
      </c>
      <c r="B54" s="31"/>
      <c r="C54" s="33">
        <f>+'12 Month P&amp;L'!AC266</f>
        <v>2207225.94</v>
      </c>
      <c r="D54" s="33">
        <f>+'Restating Entries'!N54</f>
        <v>-2202904.4166082004</v>
      </c>
      <c r="E54" s="258">
        <f>+'Pro Forma Entries '!L54</f>
        <v>0</v>
      </c>
      <c r="F54" s="258">
        <f t="shared" si="4"/>
        <v>4321.5233917995356</v>
      </c>
      <c r="G54" s="854" t="s">
        <v>1584</v>
      </c>
      <c r="H54" s="258">
        <f>+Allocations!H62</f>
        <v>374.62017593434496</v>
      </c>
      <c r="I54" s="258">
        <f t="shared" si="7"/>
        <v>3946.9032158651908</v>
      </c>
      <c r="J54" s="258">
        <f>+J21*0.015</f>
        <v>11903.558873307718</v>
      </c>
      <c r="K54" s="258">
        <f t="shared" si="6"/>
        <v>15850.46208917291</v>
      </c>
      <c r="L54" s="256"/>
    </row>
    <row r="55" spans="1:12" ht="15.75">
      <c r="A55" s="35" t="s">
        <v>464</v>
      </c>
      <c r="B55" s="31"/>
      <c r="C55" s="33">
        <f>+'12 Month P&amp;L'!AC114+'12 Month P&amp;L'!AC156</f>
        <v>8283.5</v>
      </c>
      <c r="D55" s="33">
        <f>+'Restating Entries'!N55</f>
        <v>0</v>
      </c>
      <c r="E55" s="258">
        <f>+'Pro Forma Entries '!L55</f>
        <v>0</v>
      </c>
      <c r="F55" s="258">
        <f t="shared" si="4"/>
        <v>8283.5</v>
      </c>
      <c r="G55" s="854" t="s">
        <v>537</v>
      </c>
      <c r="H55" s="258">
        <f>+Allocations!H63</f>
        <v>995.69216497119771</v>
      </c>
      <c r="I55" s="258">
        <f t="shared" si="7"/>
        <v>7287.8078350288024</v>
      </c>
      <c r="J55" s="257"/>
      <c r="K55" s="258">
        <f t="shared" si="6"/>
        <v>7287.8078350288024</v>
      </c>
      <c r="L55" s="256"/>
    </row>
    <row r="56" spans="1:12" ht="15.75">
      <c r="A56" s="35" t="s">
        <v>479</v>
      </c>
      <c r="B56" s="31"/>
      <c r="C56" s="33">
        <f>+'12 Month P&amp;L'!AC73+'12 Month P&amp;L'!AC155</f>
        <v>113262.34</v>
      </c>
      <c r="D56" s="33">
        <f>+'Restating Entries'!N56</f>
        <v>0</v>
      </c>
      <c r="E56" s="258">
        <f>+'Pro Forma Entries '!L56</f>
        <v>0</v>
      </c>
      <c r="F56" s="258">
        <f t="shared" si="4"/>
        <v>113262.34</v>
      </c>
      <c r="G56" s="854" t="s">
        <v>537</v>
      </c>
      <c r="H56" s="258">
        <f>+Allocations!H64</f>
        <v>13614.344724368188</v>
      </c>
      <c r="I56" s="258">
        <f t="shared" si="7"/>
        <v>99647.995275631809</v>
      </c>
      <c r="J56" s="257"/>
      <c r="K56" s="258">
        <f t="shared" si="6"/>
        <v>99647.995275631809</v>
      </c>
      <c r="L56" s="256"/>
    </row>
    <row r="57" spans="1:12" ht="15.75">
      <c r="A57" s="38" t="s">
        <v>465</v>
      </c>
      <c r="B57" s="31"/>
      <c r="C57" s="33">
        <f>+'12 Month P&amp;L'!AC267</f>
        <v>476</v>
      </c>
      <c r="D57" s="33">
        <f>+'Restating Entries'!N57</f>
        <v>2655.99</v>
      </c>
      <c r="E57" s="258">
        <f>+'Pro Forma Entries '!L57</f>
        <v>0</v>
      </c>
      <c r="F57" s="258">
        <f t="shared" si="4"/>
        <v>3131.99</v>
      </c>
      <c r="G57" s="854" t="s">
        <v>537</v>
      </c>
      <c r="H57" s="258">
        <f>+Allocations!H65</f>
        <v>146.78848330285822</v>
      </c>
      <c r="I57" s="258">
        <f t="shared" si="7"/>
        <v>2985.2015166971414</v>
      </c>
      <c r="J57" s="257"/>
      <c r="K57" s="258">
        <f t="shared" si="6"/>
        <v>2985.2015166971414</v>
      </c>
      <c r="L57" s="256"/>
    </row>
    <row r="58" spans="1:12" ht="15.75">
      <c r="A58" s="38" t="s">
        <v>466</v>
      </c>
      <c r="B58" s="31"/>
      <c r="C58" s="33">
        <f>+'12 Month P&amp;L'!AC254</f>
        <v>11213.66</v>
      </c>
      <c r="D58" s="33">
        <f>+'Restating Entries'!N58</f>
        <v>0</v>
      </c>
      <c r="E58" s="258">
        <f>+'Pro Forma Entries '!L58</f>
        <v>0</v>
      </c>
      <c r="F58" s="258">
        <f t="shared" si="4"/>
        <v>11213.66</v>
      </c>
      <c r="G58" s="854" t="s">
        <v>537</v>
      </c>
      <c r="H58" s="258">
        <f>+Allocations!H66</f>
        <v>525.55600230969105</v>
      </c>
      <c r="I58" s="258">
        <f t="shared" si="7"/>
        <v>10688.103997690308</v>
      </c>
      <c r="J58" s="257"/>
      <c r="K58" s="258">
        <f t="shared" si="6"/>
        <v>10688.103997690308</v>
      </c>
      <c r="L58" s="256"/>
    </row>
    <row r="59" spans="1:12" ht="15.75">
      <c r="A59" s="38" t="s">
        <v>467</v>
      </c>
      <c r="B59" s="31"/>
      <c r="C59" s="33">
        <f>+'12 Month P&amp;L'!AC94+'12 Month P&amp;L'!AC153+'12 Month P&amp;L'!AC154</f>
        <v>244171.31</v>
      </c>
      <c r="D59" s="33">
        <f>+'Restating Entries'!N59</f>
        <v>0</v>
      </c>
      <c r="E59" s="258">
        <f>+'Pro Forma Entries '!L59</f>
        <v>0</v>
      </c>
      <c r="F59" s="258">
        <f t="shared" si="4"/>
        <v>244171.31</v>
      </c>
      <c r="G59" s="854" t="s">
        <v>537</v>
      </c>
      <c r="H59" s="258">
        <f>+Allocations!H67</f>
        <v>29349.847320305842</v>
      </c>
      <c r="I59" s="258">
        <f t="shared" si="7"/>
        <v>214821.46267969414</v>
      </c>
      <c r="J59" s="257"/>
      <c r="K59" s="258">
        <f t="shared" si="6"/>
        <v>214821.46267969414</v>
      </c>
      <c r="L59" s="256"/>
    </row>
    <row r="60" spans="1:12" ht="15.75">
      <c r="A60" s="38" t="s">
        <v>468</v>
      </c>
      <c r="B60" s="31"/>
      <c r="C60" s="36">
        <f>+'12 Month P&amp;L'!AC104+'12 Month P&amp;L'!AC157</f>
        <v>2415.38</v>
      </c>
      <c r="D60" s="33">
        <f>+'Restating Entries'!N60</f>
        <v>0</v>
      </c>
      <c r="E60" s="259">
        <f>+'Pro Forma Entries '!L60</f>
        <v>0</v>
      </c>
      <c r="F60" s="258">
        <f t="shared" si="4"/>
        <v>2415.38</v>
      </c>
      <c r="G60" s="855" t="s">
        <v>537</v>
      </c>
      <c r="H60" s="259">
        <f>+Allocations!H68</f>
        <v>290.3331854201885</v>
      </c>
      <c r="I60" s="259">
        <f t="shared" si="7"/>
        <v>2125.0468145798118</v>
      </c>
      <c r="J60" s="257"/>
      <c r="K60" s="258">
        <f t="shared" si="6"/>
        <v>2125.0468145798118</v>
      </c>
      <c r="L60" s="256"/>
    </row>
    <row r="61" spans="1:12" ht="15.75">
      <c r="A61" s="38" t="s">
        <v>469</v>
      </c>
      <c r="B61" s="31"/>
      <c r="C61" s="39">
        <f>SUM(C23:C60)</f>
        <v>21255994.420000006</v>
      </c>
      <c r="D61" s="39">
        <f>SUM(D23:D60)</f>
        <v>-2232067.7163939159</v>
      </c>
      <c r="E61" s="629">
        <f>+'Pro Forma Entries '!L61</f>
        <v>309722.45809999952</v>
      </c>
      <c r="F61" s="39">
        <f>SUM(F23:F60)</f>
        <v>19333649.161706071</v>
      </c>
      <c r="G61" s="257"/>
      <c r="H61" s="629">
        <f>SUM(H23:H60)</f>
        <v>1913822.6621556873</v>
      </c>
      <c r="I61" s="629">
        <f>SUM(I23:I60)</f>
        <v>17419826.499550391</v>
      </c>
      <c r="J61" s="629">
        <f t="shared" ref="J61:K61" si="8">SUM(J23:J60)</f>
        <v>15950.768890232343</v>
      </c>
      <c r="K61" s="629">
        <f t="shared" si="8"/>
        <v>17435777.268440623</v>
      </c>
      <c r="L61" s="256"/>
    </row>
    <row r="62" spans="1:12" ht="15.75">
      <c r="A62" s="38" t="s">
        <v>470</v>
      </c>
      <c r="B62" s="31"/>
      <c r="C62" s="33">
        <f>+C21-C61</f>
        <v>-59622.029999997467</v>
      </c>
      <c r="D62" s="33">
        <f>+D21-D61</f>
        <v>17073.163938922342</v>
      </c>
      <c r="E62" s="33">
        <f>+E21-E61</f>
        <v>-444476.45809999952</v>
      </c>
      <c r="F62" s="33">
        <f>+F21-F61</f>
        <v>-487025.32416106761</v>
      </c>
      <c r="G62" s="257"/>
      <c r="H62" s="33">
        <f t="shared" ref="H62:I62" si="9">+H21-H61</f>
        <v>-264617.93254068494</v>
      </c>
      <c r="I62" s="33">
        <f t="shared" si="9"/>
        <v>-222407.39162038639</v>
      </c>
      <c r="J62" s="33">
        <f t="shared" ref="J62" si="10">+J21-J61</f>
        <v>777619.82266361557</v>
      </c>
      <c r="K62" s="33">
        <f t="shared" ref="K62" si="11">+K21-K61</f>
        <v>555212.43104323</v>
      </c>
      <c r="L62" s="256"/>
    </row>
    <row r="63" spans="1:12" ht="15.75">
      <c r="A63" s="38"/>
      <c r="B63" s="31"/>
      <c r="C63" s="33"/>
      <c r="D63" s="31"/>
      <c r="E63" s="258">
        <f>+'Pro Forma Entries '!L63</f>
        <v>0</v>
      </c>
      <c r="F63" s="258"/>
      <c r="G63" s="257"/>
      <c r="H63" s="257"/>
      <c r="I63" s="257"/>
      <c r="J63" s="257"/>
      <c r="K63" s="256"/>
      <c r="L63" s="256"/>
    </row>
    <row r="64" spans="1:12" ht="15.75">
      <c r="A64" s="38" t="s">
        <v>471</v>
      </c>
      <c r="B64" s="31"/>
      <c r="C64" s="33"/>
      <c r="D64" s="31"/>
      <c r="E64" s="258">
        <f>+'Pro Forma Entries '!L64</f>
        <v>0</v>
      </c>
      <c r="F64" s="258"/>
      <c r="G64" s="257"/>
      <c r="H64" s="257"/>
      <c r="I64" s="257"/>
      <c r="J64" s="257"/>
      <c r="K64" s="256"/>
      <c r="L64" s="256"/>
    </row>
    <row r="65" spans="1:12" ht="15.75">
      <c r="A65" s="38" t="s">
        <v>472</v>
      </c>
      <c r="B65" s="31"/>
      <c r="C65" s="33">
        <f>+'12 Month P&amp;L'!AC277</f>
        <v>-3580.38</v>
      </c>
      <c r="D65" s="33">
        <f>+'Restating Entries'!N65</f>
        <v>0</v>
      </c>
      <c r="E65" s="258">
        <f>+'Pro Forma Entries '!L65</f>
        <v>0</v>
      </c>
      <c r="F65" s="258">
        <f>SUM(C65:E65)</f>
        <v>-3580.38</v>
      </c>
      <c r="G65" s="257"/>
      <c r="H65" s="258">
        <f>+F65</f>
        <v>-3580.38</v>
      </c>
      <c r="I65" s="257"/>
      <c r="J65" s="257"/>
      <c r="K65" s="256"/>
      <c r="L65" s="256"/>
    </row>
    <row r="66" spans="1:12" ht="15.75">
      <c r="A66" s="38" t="s">
        <v>473</v>
      </c>
      <c r="B66" s="31"/>
      <c r="C66" s="33">
        <f>+'12 Month P&amp;L'!AC278</f>
        <v>289.89</v>
      </c>
      <c r="D66" s="33">
        <f>+'Restating Entries'!N66</f>
        <v>0</v>
      </c>
      <c r="E66" s="258">
        <f>+'Pro Forma Entries '!L66</f>
        <v>0</v>
      </c>
      <c r="F66" s="258">
        <f>SUM(C66:E66)</f>
        <v>289.89</v>
      </c>
      <c r="G66" s="257"/>
      <c r="H66" s="258">
        <f t="shared" ref="H66:H69" si="12">+F66</f>
        <v>289.89</v>
      </c>
      <c r="I66" s="257"/>
      <c r="J66" s="257"/>
      <c r="K66" s="256"/>
      <c r="L66" s="256"/>
    </row>
    <row r="67" spans="1:12" ht="15.75">
      <c r="A67" s="38" t="s">
        <v>474</v>
      </c>
      <c r="B67" s="31"/>
      <c r="C67" s="33">
        <f>+'12 Month P&amp;L'!AC279</f>
        <v>6674.24</v>
      </c>
      <c r="D67" s="33">
        <f>+'Restating Entries'!N67</f>
        <v>0</v>
      </c>
      <c r="E67" s="258">
        <f>+'Pro Forma Entries '!L67</f>
        <v>0</v>
      </c>
      <c r="F67" s="258">
        <f>SUM(C67:E67)</f>
        <v>6674.24</v>
      </c>
      <c r="G67" s="257"/>
      <c r="H67" s="258">
        <f t="shared" si="12"/>
        <v>6674.24</v>
      </c>
      <c r="I67" s="257"/>
      <c r="J67" s="257"/>
      <c r="K67" s="256"/>
      <c r="L67" s="256"/>
    </row>
    <row r="68" spans="1:12" ht="15.75">
      <c r="A68" s="38" t="s">
        <v>475</v>
      </c>
      <c r="B68" s="31"/>
      <c r="C68" s="33">
        <f>+'12 Month P&amp;L'!AC280</f>
        <v>5121.7</v>
      </c>
      <c r="D68" s="33">
        <f>+'Restating Entries'!N68</f>
        <v>-4527</v>
      </c>
      <c r="E68" s="258">
        <f>+'Pro Forma Entries '!L68</f>
        <v>0</v>
      </c>
      <c r="F68" s="258">
        <f>SUM(C68:E68)</f>
        <v>594.69999999999982</v>
      </c>
      <c r="G68" s="257"/>
      <c r="H68" s="258">
        <f t="shared" si="12"/>
        <v>594.69999999999982</v>
      </c>
      <c r="I68" s="257"/>
      <c r="J68" s="257"/>
      <c r="K68" s="256"/>
      <c r="L68" s="256"/>
    </row>
    <row r="69" spans="1:12" ht="15.75">
      <c r="A69" s="38" t="s">
        <v>476</v>
      </c>
      <c r="B69" s="31"/>
      <c r="C69" s="36">
        <f>-'12 Month P&amp;L'!AC285</f>
        <v>-61143.14</v>
      </c>
      <c r="D69" s="33">
        <f>+'Restating Entries'!N69</f>
        <v>0</v>
      </c>
      <c r="E69" s="259">
        <f>+'Pro Forma Entries '!L69</f>
        <v>0</v>
      </c>
      <c r="F69" s="258">
        <f>SUM(C69:E69)</f>
        <v>-61143.14</v>
      </c>
      <c r="G69" s="257"/>
      <c r="H69" s="258">
        <f t="shared" si="12"/>
        <v>-61143.14</v>
      </c>
      <c r="I69" s="257"/>
      <c r="J69" s="257"/>
      <c r="K69" s="256"/>
      <c r="L69" s="256"/>
    </row>
    <row r="70" spans="1:12" ht="15.75">
      <c r="A70" s="38" t="s">
        <v>477</v>
      </c>
      <c r="B70" s="31"/>
      <c r="C70" s="39">
        <f>SUM(C65:C69)</f>
        <v>-52637.69</v>
      </c>
      <c r="D70" s="39">
        <f>SUM(D65:D69)</f>
        <v>-4527</v>
      </c>
      <c r="E70" s="39">
        <f>SUM(E65:E69)</f>
        <v>0</v>
      </c>
      <c r="F70" s="39">
        <f>SUM(F65:F69)</f>
        <v>-57164.69</v>
      </c>
      <c r="G70" s="257"/>
      <c r="H70" s="39">
        <f t="shared" ref="H70:K70" si="13">SUM(H65:H69)</f>
        <v>-57164.69</v>
      </c>
      <c r="I70" s="39">
        <f t="shared" si="13"/>
        <v>0</v>
      </c>
      <c r="J70" s="39">
        <f t="shared" si="13"/>
        <v>0</v>
      </c>
      <c r="K70" s="39">
        <f t="shared" si="13"/>
        <v>0</v>
      </c>
      <c r="L70" s="256"/>
    </row>
    <row r="71" spans="1:12" ht="15.75">
      <c r="A71" s="38"/>
      <c r="B71" s="31"/>
      <c r="C71" s="33"/>
      <c r="D71" s="33"/>
      <c r="E71" s="33"/>
      <c r="F71" s="33"/>
      <c r="G71" s="257"/>
      <c r="H71" s="33"/>
      <c r="I71" s="33"/>
      <c r="J71" s="33"/>
      <c r="K71" s="33"/>
      <c r="L71" s="256"/>
    </row>
    <row r="72" spans="1:12" ht="16.5" thickBot="1">
      <c r="A72" s="38" t="s">
        <v>112</v>
      </c>
      <c r="B72" s="31"/>
      <c r="C72" s="40">
        <f>+C62+C70</f>
        <v>-112259.71999999747</v>
      </c>
      <c r="D72" s="40">
        <f>+D62+D70</f>
        <v>12546.163938922342</v>
      </c>
      <c r="E72" s="40">
        <f>+E62+E70</f>
        <v>-444476.45809999952</v>
      </c>
      <c r="F72" s="40">
        <f>+F62+F70</f>
        <v>-544190.01416106755</v>
      </c>
      <c r="G72" s="257"/>
      <c r="H72" s="40">
        <f t="shared" ref="H72:K72" si="14">+H62+H70</f>
        <v>-321782.62254068494</v>
      </c>
      <c r="I72" s="40">
        <f t="shared" si="14"/>
        <v>-222407.39162038639</v>
      </c>
      <c r="J72" s="40">
        <f t="shared" si="14"/>
        <v>777619.82266361557</v>
      </c>
      <c r="K72" s="40">
        <f t="shared" si="14"/>
        <v>555212.43104323</v>
      </c>
      <c r="L72" s="256"/>
    </row>
    <row r="73" spans="1:12" ht="16.5" thickTop="1">
      <c r="A73" s="38"/>
      <c r="B73" s="31"/>
      <c r="C73" s="31"/>
      <c r="D73" s="31"/>
      <c r="E73" s="257"/>
      <c r="F73" s="257"/>
      <c r="G73" s="257"/>
      <c r="H73" s="257"/>
      <c r="I73" s="257"/>
      <c r="J73" s="257"/>
    </row>
    <row r="74" spans="1:12" ht="15.75">
      <c r="A74" s="38"/>
      <c r="B74" s="31"/>
      <c r="C74" s="31"/>
      <c r="D74" s="31"/>
      <c r="E74" s="257"/>
      <c r="F74" s="257"/>
      <c r="G74" s="257"/>
      <c r="H74" s="257"/>
      <c r="I74" s="257"/>
      <c r="J74" s="257"/>
    </row>
    <row r="75" spans="1:12" ht="15.75">
      <c r="A75" s="38" t="s">
        <v>478</v>
      </c>
      <c r="B75" s="31"/>
      <c r="C75" s="41">
        <f>+C61/C21</f>
        <v>1.0028128412212707</v>
      </c>
      <c r="D75" s="31"/>
      <c r="E75" s="257"/>
      <c r="F75" s="41">
        <f>+F61/F21</f>
        <v>1.0258415156135736</v>
      </c>
      <c r="G75" s="257"/>
      <c r="H75" s="41">
        <f t="shared" ref="H75:J75" si="15">+H61/H21</f>
        <v>1.1604518394768724</v>
      </c>
      <c r="I75" s="41">
        <f t="shared" si="15"/>
        <v>1.0129326028646839</v>
      </c>
      <c r="J75" s="41">
        <f t="shared" si="15"/>
        <v>2.01E-2</v>
      </c>
      <c r="K75" s="41">
        <f>+K61/K21</f>
        <v>0.96913941699054174</v>
      </c>
    </row>
    <row r="76" spans="1:12" ht="15.75">
      <c r="A76" s="31"/>
      <c r="B76" s="31"/>
      <c r="C76" s="31"/>
      <c r="D76" s="31"/>
      <c r="E76" s="257"/>
      <c r="F76" s="257"/>
      <c r="G76" s="257"/>
      <c r="H76" s="257"/>
      <c r="I76" s="257"/>
      <c r="J76" s="257"/>
    </row>
    <row r="77" spans="1:12" ht="15.75">
      <c r="A77" s="31"/>
      <c r="B77" s="31"/>
      <c r="C77" s="31"/>
      <c r="D77" s="31"/>
      <c r="E77" s="257"/>
      <c r="F77" s="257"/>
      <c r="G77" s="257"/>
      <c r="H77" s="257"/>
      <c r="I77" s="257"/>
      <c r="J77" s="257"/>
    </row>
    <row r="78" spans="1:12" ht="15.75">
      <c r="A78" s="31"/>
      <c r="B78" s="31"/>
      <c r="C78" s="31"/>
      <c r="D78" s="31"/>
      <c r="E78" s="257"/>
      <c r="F78" s="257"/>
      <c r="G78" s="257"/>
      <c r="H78" s="257"/>
      <c r="I78" s="257"/>
      <c r="J78" s="257"/>
    </row>
    <row r="79" spans="1:12" ht="15.75">
      <c r="A79" s="31"/>
      <c r="B79" s="31"/>
      <c r="C79" s="31"/>
      <c r="D79" s="31"/>
      <c r="E79" s="257"/>
      <c r="F79" s="257"/>
      <c r="G79" s="257"/>
      <c r="H79" s="257"/>
      <c r="I79" s="257"/>
      <c r="J79" s="257"/>
    </row>
    <row r="80" spans="1:12" ht="15.75">
      <c r="A80" s="31"/>
      <c r="B80" s="31"/>
      <c r="C80" s="31"/>
      <c r="D80" s="31"/>
      <c r="E80" s="257"/>
      <c r="F80" s="257"/>
      <c r="G80" s="257"/>
      <c r="H80" s="257"/>
      <c r="I80" s="257"/>
      <c r="J80" s="257"/>
    </row>
    <row r="81" spans="5:10" ht="15.75">
      <c r="E81" s="257"/>
      <c r="F81" s="257"/>
      <c r="G81" s="257"/>
      <c r="H81" s="257"/>
      <c r="I81" s="257"/>
      <c r="J81" s="257"/>
    </row>
  </sheetData>
  <printOptions headings="1" gridLines="1"/>
  <pageMargins left="0.45" right="0.45" top="0.75" bottom="0.75" header="0.3" footer="0.3"/>
  <pageSetup scale="77" fitToHeight="0" orientation="portrait" r:id="rId1"/>
  <headerFooter>
    <oddFooter>&amp;L&amp;D&amp;C&amp;A&amp;RPage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169B-48F3-4A2B-9B87-08A5F00D56EF}">
  <sheetPr>
    <pageSetUpPr fitToPage="1"/>
  </sheetPr>
  <dimension ref="A1:T79"/>
  <sheetViews>
    <sheetView workbookViewId="0">
      <selection activeCell="A5" sqref="A5"/>
    </sheetView>
  </sheetViews>
  <sheetFormatPr defaultRowHeight="15"/>
  <cols>
    <col min="1" max="1" width="27.33203125" customWidth="1"/>
    <col min="2" max="11" width="10.77734375" customWidth="1"/>
    <col min="12" max="12" width="12.6640625" customWidth="1"/>
    <col min="13" max="13" width="10.77734375" customWidth="1"/>
  </cols>
  <sheetData>
    <row r="1" spans="1:20" ht="15.75">
      <c r="A1" s="28" t="s">
        <v>16</v>
      </c>
      <c r="B1" s="29"/>
      <c r="C1" s="29"/>
      <c r="D1" s="29"/>
      <c r="E1" s="29"/>
      <c r="F1" s="29"/>
      <c r="G1" s="29"/>
      <c r="H1" s="29"/>
      <c r="I1" s="29"/>
      <c r="J1" s="29"/>
      <c r="K1" s="29"/>
      <c r="L1" s="29"/>
      <c r="M1" s="29"/>
      <c r="N1" s="29"/>
    </row>
    <row r="2" spans="1:20" ht="15.75">
      <c r="A2" s="28" t="s">
        <v>1279</v>
      </c>
      <c r="B2" s="29"/>
      <c r="C2" s="29"/>
      <c r="D2" s="29"/>
      <c r="E2" s="29"/>
      <c r="F2" s="29"/>
      <c r="G2" s="29"/>
      <c r="H2" s="29"/>
      <c r="I2" s="29"/>
      <c r="J2" s="29"/>
      <c r="K2" s="29"/>
      <c r="L2" s="29"/>
      <c r="M2" s="29"/>
      <c r="N2" s="29"/>
    </row>
    <row r="3" spans="1:20" ht="15.75">
      <c r="A3" s="28" t="s">
        <v>416</v>
      </c>
      <c r="B3" s="29"/>
      <c r="C3" s="29"/>
      <c r="D3" s="29"/>
      <c r="E3" s="29"/>
      <c r="F3" s="29"/>
      <c r="G3" s="29"/>
      <c r="H3" s="29"/>
      <c r="I3" s="29"/>
      <c r="J3" s="29"/>
      <c r="K3" s="29"/>
      <c r="L3" s="29"/>
      <c r="M3" s="29"/>
      <c r="N3" s="29"/>
    </row>
    <row r="5" spans="1:20" ht="84.75">
      <c r="A5" s="31"/>
      <c r="B5" s="255" t="s">
        <v>1477</v>
      </c>
      <c r="C5" s="255" t="s">
        <v>1479</v>
      </c>
      <c r="D5" s="255" t="s">
        <v>1480</v>
      </c>
      <c r="E5" s="255" t="s">
        <v>1482</v>
      </c>
      <c r="F5" s="255" t="s">
        <v>1486</v>
      </c>
      <c r="G5" s="255" t="s">
        <v>1487</v>
      </c>
      <c r="H5" s="255" t="s">
        <v>1489</v>
      </c>
      <c r="I5" s="255" t="s">
        <v>1490</v>
      </c>
      <c r="J5" s="255" t="s">
        <v>1491</v>
      </c>
      <c r="K5" s="255" t="s">
        <v>1493</v>
      </c>
      <c r="L5" s="255" t="s">
        <v>1564</v>
      </c>
      <c r="M5" s="255" t="s">
        <v>1500</v>
      </c>
      <c r="N5" s="249" t="s">
        <v>648</v>
      </c>
      <c r="O5" s="202"/>
      <c r="P5" s="202"/>
      <c r="Q5" s="202"/>
      <c r="R5" s="202"/>
      <c r="S5" s="202"/>
      <c r="T5" s="202"/>
    </row>
    <row r="6" spans="1:20" ht="15.75">
      <c r="A6" s="32" t="s">
        <v>1</v>
      </c>
    </row>
    <row r="7" spans="1:20" ht="15.75">
      <c r="A7" s="34" t="s">
        <v>420</v>
      </c>
      <c r="B7" s="203"/>
      <c r="C7" s="203">
        <f>-'Revenue Summary Worksheet'!F47*'Revenue Summary Worksheet'!I6</f>
        <v>-424996.38132800139</v>
      </c>
      <c r="D7" s="203"/>
      <c r="E7" s="203"/>
      <c r="F7" s="203"/>
      <c r="G7" s="203"/>
      <c r="H7" s="203"/>
      <c r="I7" s="203"/>
      <c r="J7" s="203"/>
      <c r="K7" s="203"/>
      <c r="L7" s="203">
        <f>+'Price-Out vs Book Comparison'!B20</f>
        <v>-468664.12867199816</v>
      </c>
      <c r="M7" s="203"/>
      <c r="N7" s="203">
        <f t="shared" ref="N7:N20" si="0">SUM(B7:M7)</f>
        <v>-893660.50999999954</v>
      </c>
      <c r="O7" s="203"/>
      <c r="P7" s="203"/>
      <c r="Q7" s="203"/>
      <c r="R7" s="203"/>
      <c r="S7" s="203"/>
      <c r="T7" s="203"/>
    </row>
    <row r="8" spans="1:20" ht="15.75">
      <c r="A8" s="34" t="s">
        <v>421</v>
      </c>
      <c r="B8" s="203"/>
      <c r="C8" s="203">
        <f>-'Revenue Summary Worksheet'!F47*'Revenue Summary Worksheet'!I7</f>
        <v>-706010.78227704961</v>
      </c>
      <c r="D8" s="203"/>
      <c r="E8" s="203"/>
      <c r="F8" s="203"/>
      <c r="G8" s="203"/>
      <c r="H8" s="203"/>
      <c r="I8" s="203"/>
      <c r="J8" s="203"/>
      <c r="K8" s="203"/>
      <c r="L8" s="203">
        <f>+'Price-Out vs Book Comparison'!E20</f>
        <v>-2062605.2414129484</v>
      </c>
      <c r="M8" s="203"/>
      <c r="N8" s="203">
        <f t="shared" si="0"/>
        <v>-2768616.0236899978</v>
      </c>
      <c r="O8" s="203"/>
      <c r="P8" s="203"/>
      <c r="Q8" s="203"/>
      <c r="R8" s="203"/>
      <c r="S8" s="203"/>
      <c r="T8" s="203"/>
    </row>
    <row r="9" spans="1:20" ht="15.75">
      <c r="A9" s="34" t="s">
        <v>422</v>
      </c>
      <c r="B9" s="203">
        <f>-Disposal!J169</f>
        <v>-3741651.2299999995</v>
      </c>
      <c r="C9" s="203">
        <f>-'Revenue Summary Worksheet'!F47*'Revenue Summary Worksheet'!I8</f>
        <v>-619267.79104659404</v>
      </c>
      <c r="D9" s="203"/>
      <c r="E9" s="203"/>
      <c r="F9" s="203"/>
      <c r="G9" s="203"/>
      <c r="H9" s="203"/>
      <c r="I9" s="203"/>
      <c r="J9" s="203"/>
      <c r="K9" s="203"/>
      <c r="L9" s="203">
        <f>+'Price-Out vs Book Comparison'!G20</f>
        <v>-41107.408953406382</v>
      </c>
      <c r="M9" s="203"/>
      <c r="N9" s="203">
        <f t="shared" si="0"/>
        <v>-4402026.43</v>
      </c>
      <c r="O9" s="203"/>
      <c r="P9" s="203"/>
      <c r="Q9" s="203"/>
      <c r="R9" s="203"/>
      <c r="S9" s="203"/>
      <c r="T9" s="203"/>
    </row>
    <row r="10" spans="1:20" ht="15.75">
      <c r="A10" s="35" t="s">
        <v>423</v>
      </c>
      <c r="B10" s="203">
        <f>+Disposal!J169</f>
        <v>3741651.2299999995</v>
      </c>
      <c r="D10" s="203"/>
      <c r="E10" s="203"/>
      <c r="F10" s="203"/>
      <c r="G10" s="203"/>
      <c r="H10" s="203"/>
      <c r="I10" s="203"/>
      <c r="J10" s="203"/>
      <c r="K10" s="203"/>
      <c r="L10" s="203"/>
      <c r="M10" s="203"/>
      <c r="N10" s="203">
        <f t="shared" si="0"/>
        <v>3741651.2299999995</v>
      </c>
      <c r="O10" s="203"/>
      <c r="P10" s="203"/>
      <c r="Q10" s="203"/>
      <c r="R10" s="203"/>
      <c r="S10" s="203"/>
      <c r="T10" s="203"/>
    </row>
    <row r="11" spans="1:20" ht="15.75">
      <c r="A11" s="34" t="s">
        <v>424</v>
      </c>
      <c r="B11" s="203"/>
      <c r="C11" s="203">
        <f>-'Revenue Summary Worksheet'!F47*'Revenue Summary Worksheet'!I9</f>
        <v>-137626.38668204905</v>
      </c>
      <c r="D11" s="203"/>
      <c r="E11" s="203"/>
      <c r="F11" s="203"/>
      <c r="G11" s="203"/>
      <c r="H11" s="203"/>
      <c r="I11" s="203"/>
      <c r="J11" s="203"/>
      <c r="K11" s="203"/>
      <c r="L11" s="203">
        <f>+'Price-Out vs Book Comparison'!C20</f>
        <v>351858.77668204915</v>
      </c>
      <c r="M11" s="203"/>
      <c r="N11" s="203">
        <f t="shared" si="0"/>
        <v>214232.3900000001</v>
      </c>
      <c r="O11" s="203"/>
      <c r="P11" s="203"/>
      <c r="Q11" s="203"/>
      <c r="R11" s="203"/>
      <c r="S11" s="203"/>
      <c r="T11" s="203"/>
    </row>
    <row r="12" spans="1:20" ht="15.75">
      <c r="A12" s="34" t="s">
        <v>425</v>
      </c>
      <c r="B12" s="203"/>
      <c r="C12" s="203">
        <f>-'Revenue Summary Worksheet'!F47*'Revenue Summary Worksheet'!I10</f>
        <v>-57384.260863123651</v>
      </c>
      <c r="D12" s="203"/>
      <c r="E12" s="203"/>
      <c r="F12" s="203"/>
      <c r="G12" s="203"/>
      <c r="H12" s="203"/>
      <c r="I12" s="203"/>
      <c r="J12" s="203"/>
      <c r="K12" s="203"/>
      <c r="L12" s="203">
        <v>380006</v>
      </c>
      <c r="M12" s="203"/>
      <c r="N12" s="203">
        <f t="shared" si="0"/>
        <v>322621.73913687636</v>
      </c>
      <c r="O12" s="203"/>
      <c r="P12" s="203"/>
      <c r="Q12" s="203"/>
      <c r="R12" s="203"/>
      <c r="S12" s="203"/>
      <c r="T12" s="203"/>
    </row>
    <row r="13" spans="1:20" ht="15.75">
      <c r="A13" s="34" t="s">
        <v>426</v>
      </c>
      <c r="B13" s="203"/>
      <c r="C13" s="203">
        <f>-'Revenue Summary Worksheet'!F47*'Revenue Summary Worksheet'!I11</f>
        <v>-12355.042259515256</v>
      </c>
      <c r="D13" s="203"/>
      <c r="E13" s="203"/>
      <c r="F13" s="203"/>
      <c r="G13" s="203"/>
      <c r="H13" s="203"/>
      <c r="I13" s="203"/>
      <c r="J13" s="203"/>
      <c r="K13" s="203"/>
      <c r="L13" s="203">
        <f>+'Price-Out vs Book Comparison'!F20</f>
        <v>1700158.5038795157</v>
      </c>
      <c r="M13" s="203"/>
      <c r="N13" s="203">
        <f t="shared" si="0"/>
        <v>1687803.4616200004</v>
      </c>
      <c r="O13" s="203"/>
      <c r="P13" s="203"/>
      <c r="Q13" s="203"/>
      <c r="R13" s="203"/>
      <c r="S13" s="203"/>
      <c r="T13" s="203"/>
    </row>
    <row r="14" spans="1:20" ht="15.75">
      <c r="A14" s="34" t="s">
        <v>427</v>
      </c>
      <c r="B14" s="203"/>
      <c r="C14" s="203">
        <f>-'Revenue Summary Worksheet'!F47*'Revenue Summary Worksheet'!I12</f>
        <v>-136844.06348127028</v>
      </c>
      <c r="D14" s="203"/>
      <c r="E14" s="203"/>
      <c r="F14" s="203"/>
      <c r="G14" s="203"/>
      <c r="H14" s="203"/>
      <c r="I14" s="203"/>
      <c r="J14" s="203"/>
      <c r="K14" s="203"/>
      <c r="L14" s="203">
        <f>+'Price-Out vs Book Comparison'!D20</f>
        <v>140353.82348127034</v>
      </c>
      <c r="M14" s="203"/>
      <c r="N14" s="203">
        <f t="shared" si="0"/>
        <v>3509.7600000000675</v>
      </c>
      <c r="O14" s="203"/>
      <c r="P14" s="203"/>
      <c r="Q14" s="203"/>
      <c r="R14" s="203"/>
      <c r="S14" s="203"/>
      <c r="T14" s="203"/>
    </row>
    <row r="15" spans="1:20" ht="15.75">
      <c r="A15" s="34" t="s">
        <v>428</v>
      </c>
      <c r="B15" s="203"/>
      <c r="C15" s="553"/>
      <c r="D15" s="553"/>
      <c r="E15" s="553"/>
      <c r="F15" s="553"/>
      <c r="G15" s="553"/>
      <c r="H15" s="553"/>
      <c r="I15" s="553"/>
      <c r="J15" s="553"/>
      <c r="K15" s="553"/>
      <c r="L15" s="553"/>
      <c r="M15" s="553"/>
      <c r="N15" s="203">
        <f t="shared" si="0"/>
        <v>0</v>
      </c>
      <c r="O15" s="203"/>
      <c r="P15" s="203"/>
      <c r="Q15" s="203"/>
      <c r="R15" s="203"/>
      <c r="S15" s="203"/>
      <c r="T15" s="203"/>
    </row>
    <row r="16" spans="1:20" ht="15.75">
      <c r="A16" s="34" t="s">
        <v>429</v>
      </c>
      <c r="B16" s="203"/>
      <c r="C16" s="553">
        <f>-'Revenue Summary Worksheet'!F47*'Revenue Summary Worksheet'!I14</f>
        <v>-106410.86758570079</v>
      </c>
      <c r="D16" s="553"/>
      <c r="E16" s="553"/>
      <c r="F16" s="553"/>
      <c r="G16" s="553"/>
      <c r="H16" s="553"/>
      <c r="I16" s="553"/>
      <c r="J16" s="553"/>
      <c r="K16" s="553"/>
      <c r="L16" s="553"/>
      <c r="M16" s="553"/>
      <c r="N16" s="203">
        <f t="shared" si="0"/>
        <v>-106410.86758570079</v>
      </c>
      <c r="O16" s="203"/>
      <c r="P16" s="203"/>
      <c r="Q16" s="203"/>
      <c r="R16" s="203"/>
      <c r="S16" s="203"/>
      <c r="T16" s="203"/>
    </row>
    <row r="17" spans="1:20" ht="15.75">
      <c r="A17" s="34" t="s">
        <v>430</v>
      </c>
      <c r="B17" s="203"/>
      <c r="C17" s="553">
        <f>-'Revenue Summary Worksheet'!F47*'Revenue Summary Worksheet'!I15-38</f>
        <v>-2008.7919361730462</v>
      </c>
      <c r="D17" s="553"/>
      <c r="E17" s="553"/>
      <c r="F17" s="553"/>
      <c r="G17" s="553"/>
      <c r="H17" s="553"/>
      <c r="I17" s="553"/>
      <c r="J17" s="553"/>
      <c r="K17" s="553"/>
      <c r="L17" s="553"/>
      <c r="M17" s="553"/>
      <c r="N17" s="203">
        <f t="shared" si="0"/>
        <v>-2008.7919361730462</v>
      </c>
      <c r="O17" s="203"/>
      <c r="P17" s="203"/>
      <c r="Q17" s="203"/>
      <c r="R17" s="203"/>
      <c r="S17" s="203"/>
      <c r="T17" s="203"/>
    </row>
    <row r="18" spans="1:20" ht="15.75">
      <c r="A18" s="34" t="s">
        <v>431</v>
      </c>
      <c r="B18" s="203"/>
      <c r="C18" s="553">
        <f>-'Revenue Summary Worksheet'!$F$47*'12 Month P&amp;L'!AD265</f>
        <v>0</v>
      </c>
      <c r="D18" s="553"/>
      <c r="E18" s="553"/>
      <c r="F18" s="553"/>
      <c r="G18" s="553"/>
      <c r="H18" s="553"/>
      <c r="I18" s="553"/>
      <c r="J18" s="553"/>
      <c r="K18" s="553"/>
      <c r="L18" s="553"/>
      <c r="M18" s="553">
        <f>-'Recycle Revenue'!S3</f>
        <v>-9007.43</v>
      </c>
      <c r="N18" s="203">
        <f t="shared" si="0"/>
        <v>-9007.43</v>
      </c>
      <c r="O18" s="203"/>
      <c r="P18" s="203"/>
      <c r="Q18" s="203"/>
      <c r="R18" s="203"/>
      <c r="S18" s="203"/>
      <c r="T18" s="203"/>
    </row>
    <row r="19" spans="1:20" ht="15.75">
      <c r="A19" s="34" t="s">
        <v>971</v>
      </c>
      <c r="B19" s="203"/>
      <c r="C19" s="553"/>
      <c r="D19" s="203"/>
      <c r="E19" s="203"/>
      <c r="F19" s="203"/>
      <c r="G19" s="203"/>
      <c r="H19" s="203"/>
      <c r="I19" s="203"/>
      <c r="J19" s="203"/>
      <c r="K19" s="203"/>
      <c r="L19" s="203"/>
      <c r="M19" s="203">
        <f>-'Recycle Revenue'!S10</f>
        <v>-1910.3</v>
      </c>
      <c r="N19" s="203">
        <f t="shared" si="0"/>
        <v>-1910.3</v>
      </c>
      <c r="O19" s="203"/>
      <c r="P19" s="203"/>
      <c r="Q19" s="203"/>
      <c r="R19" s="203"/>
      <c r="S19" s="203"/>
      <c r="T19" s="203"/>
    </row>
    <row r="20" spans="1:20" ht="15.75">
      <c r="A20" s="34" t="s">
        <v>433</v>
      </c>
      <c r="B20" s="254"/>
      <c r="C20" s="627"/>
      <c r="D20" s="254"/>
      <c r="E20" s="254"/>
      <c r="F20" s="254"/>
      <c r="G20" s="254"/>
      <c r="H20" s="254"/>
      <c r="I20" s="254"/>
      <c r="J20" s="254"/>
      <c r="K20" s="254"/>
      <c r="L20" s="254"/>
      <c r="M20" s="254">
        <f>-'Recycle Revenue'!S17</f>
        <v>-1172.78</v>
      </c>
      <c r="N20" s="254">
        <f t="shared" si="0"/>
        <v>-1172.78</v>
      </c>
      <c r="O20" s="203"/>
      <c r="P20" s="203"/>
      <c r="Q20" s="203"/>
      <c r="R20" s="203"/>
      <c r="S20" s="203"/>
      <c r="T20" s="203"/>
    </row>
    <row r="21" spans="1:20" ht="15.75">
      <c r="A21" s="37" t="s">
        <v>434</v>
      </c>
      <c r="B21" s="203">
        <f>SUM(B7:B20)</f>
        <v>0</v>
      </c>
      <c r="C21" s="203">
        <f>SUM(C7:C20)</f>
        <v>-2202904.3674594774</v>
      </c>
      <c r="D21" s="203">
        <f t="shared" ref="D21:N21" si="1">SUM(D7:D20)</f>
        <v>0</v>
      </c>
      <c r="E21" s="203">
        <f t="shared" si="1"/>
        <v>0</v>
      </c>
      <c r="F21" s="203">
        <f t="shared" si="1"/>
        <v>0</v>
      </c>
      <c r="G21" s="203">
        <f t="shared" si="1"/>
        <v>0</v>
      </c>
      <c r="H21" s="203">
        <f t="shared" si="1"/>
        <v>0</v>
      </c>
      <c r="I21" s="203">
        <f t="shared" si="1"/>
        <v>0</v>
      </c>
      <c r="J21" s="203">
        <f t="shared" si="1"/>
        <v>0</v>
      </c>
      <c r="K21" s="203">
        <f t="shared" si="1"/>
        <v>0</v>
      </c>
      <c r="L21" s="203">
        <f t="shared" si="1"/>
        <v>0.32500448217615485</v>
      </c>
      <c r="M21" s="203">
        <f t="shared" si="1"/>
        <v>-12090.51</v>
      </c>
      <c r="N21" s="203">
        <f t="shared" si="1"/>
        <v>-2214994.5524549936</v>
      </c>
      <c r="O21" s="203"/>
      <c r="P21" s="203"/>
      <c r="Q21" s="203"/>
      <c r="R21" s="203"/>
      <c r="S21" s="203"/>
      <c r="T21" s="203"/>
    </row>
    <row r="22" spans="1:20" ht="15.75">
      <c r="A22" s="32" t="s">
        <v>2</v>
      </c>
      <c r="B22" s="203"/>
      <c r="C22" s="203"/>
      <c r="D22" s="203"/>
      <c r="E22" s="203"/>
      <c r="F22" s="203"/>
      <c r="G22" s="203"/>
      <c r="H22" s="203"/>
      <c r="I22" s="203"/>
      <c r="J22" s="203"/>
      <c r="K22" s="203"/>
      <c r="L22" s="203"/>
      <c r="M22" s="203"/>
      <c r="N22" s="203"/>
      <c r="O22" s="203"/>
      <c r="P22" s="203"/>
      <c r="Q22" s="203"/>
      <c r="R22" s="203"/>
      <c r="S22" s="203"/>
      <c r="T22" s="203"/>
    </row>
    <row r="23" spans="1:20" ht="15.75">
      <c r="A23" s="34" t="s">
        <v>972</v>
      </c>
      <c r="B23" s="203"/>
      <c r="C23" s="203"/>
      <c r="D23" s="203"/>
      <c r="E23" s="203"/>
      <c r="F23" s="203"/>
      <c r="G23" s="203"/>
      <c r="H23" s="203"/>
      <c r="I23" s="203"/>
      <c r="J23" s="203"/>
      <c r="K23" s="203"/>
      <c r="L23" s="203"/>
      <c r="M23" s="203"/>
      <c r="N23" s="203">
        <f t="shared" ref="N23:N60" si="2">SUM(B23:M23)</f>
        <v>0</v>
      </c>
      <c r="O23" s="203"/>
      <c r="P23" s="203"/>
      <c r="Q23" s="203"/>
      <c r="R23" s="203"/>
      <c r="S23" s="203"/>
      <c r="T23" s="203"/>
    </row>
    <row r="24" spans="1:20" ht="15.75">
      <c r="A24" s="34" t="s">
        <v>436</v>
      </c>
      <c r="B24" s="203"/>
      <c r="C24" s="203"/>
      <c r="D24" s="203"/>
      <c r="E24" s="203"/>
      <c r="F24" s="203"/>
      <c r="G24" s="203"/>
      <c r="H24" s="203"/>
      <c r="I24" s="203"/>
      <c r="J24" s="203"/>
      <c r="K24" s="203"/>
      <c r="L24" s="203"/>
      <c r="M24" s="203"/>
      <c r="N24" s="203">
        <f t="shared" si="2"/>
        <v>0</v>
      </c>
      <c r="O24" s="203"/>
      <c r="P24" s="203"/>
      <c r="Q24" s="203"/>
      <c r="R24" s="203"/>
      <c r="S24" s="203"/>
      <c r="T24" s="203"/>
    </row>
    <row r="25" spans="1:20" ht="15.75">
      <c r="A25" s="34" t="s">
        <v>437</v>
      </c>
      <c r="B25" s="203"/>
      <c r="C25" s="203"/>
      <c r="D25" s="203"/>
      <c r="E25" s="203"/>
      <c r="F25" s="203"/>
      <c r="G25" s="203"/>
      <c r="H25" s="203"/>
      <c r="I25" s="203"/>
      <c r="J25" s="203"/>
      <c r="K25" s="203"/>
      <c r="L25" s="203"/>
      <c r="M25" s="203"/>
      <c r="N25" s="203">
        <f t="shared" si="2"/>
        <v>0</v>
      </c>
      <c r="O25" s="203"/>
      <c r="P25" s="203"/>
      <c r="Q25" s="203"/>
      <c r="R25" s="203"/>
      <c r="S25" s="203"/>
      <c r="T25" s="203"/>
    </row>
    <row r="26" spans="1:20" ht="15.75">
      <c r="A26" s="34" t="s">
        <v>438</v>
      </c>
      <c r="B26" s="203"/>
      <c r="C26" s="203"/>
      <c r="D26" s="203"/>
      <c r="E26" s="203"/>
      <c r="F26" s="203"/>
      <c r="G26" s="203"/>
      <c r="H26" s="203"/>
      <c r="I26" s="203"/>
      <c r="J26" s="203"/>
      <c r="K26" s="203"/>
      <c r="L26" s="203"/>
      <c r="M26" s="203"/>
      <c r="N26" s="203">
        <f t="shared" si="2"/>
        <v>0</v>
      </c>
      <c r="O26" s="203"/>
      <c r="P26" s="203"/>
      <c r="Q26" s="203"/>
      <c r="R26" s="203"/>
      <c r="S26" s="203"/>
      <c r="T26" s="203"/>
    </row>
    <row r="27" spans="1:20" ht="15.75">
      <c r="A27" s="34" t="s">
        <v>439</v>
      </c>
      <c r="B27" s="203"/>
      <c r="C27" s="203"/>
      <c r="D27" s="203"/>
      <c r="E27" s="203"/>
      <c r="F27" s="203"/>
      <c r="G27" s="203"/>
      <c r="H27" s="203"/>
      <c r="I27" s="203"/>
      <c r="J27" s="203"/>
      <c r="K27" s="203"/>
      <c r="L27" s="203"/>
      <c r="M27" s="203"/>
      <c r="N27" s="203">
        <f t="shared" si="2"/>
        <v>0</v>
      </c>
      <c r="O27" s="203"/>
      <c r="P27" s="203"/>
      <c r="Q27" s="203"/>
      <c r="R27" s="203"/>
      <c r="S27" s="203"/>
      <c r="T27" s="203"/>
    </row>
    <row r="28" spans="1:20" ht="15.75">
      <c r="A28" s="34" t="s">
        <v>440</v>
      </c>
      <c r="B28" s="203"/>
      <c r="C28" s="203"/>
      <c r="D28" s="203"/>
      <c r="E28" s="203">
        <f>'Fuel Cost 12-18'!K214</f>
        <v>-29887.359999999986</v>
      </c>
      <c r="F28" s="203"/>
      <c r="G28" s="203"/>
      <c r="H28" s="203"/>
      <c r="I28" s="203"/>
      <c r="J28" s="203"/>
      <c r="K28" s="203"/>
      <c r="L28" s="203"/>
      <c r="M28" s="203"/>
      <c r="N28" s="203">
        <f t="shared" si="2"/>
        <v>-29887.359999999986</v>
      </c>
      <c r="O28" s="203"/>
      <c r="P28" s="203"/>
      <c r="Q28" s="203"/>
      <c r="R28" s="203"/>
      <c r="S28" s="203"/>
      <c r="T28" s="203"/>
    </row>
    <row r="29" spans="1:20" ht="15.75">
      <c r="A29" s="38" t="s">
        <v>441</v>
      </c>
      <c r="B29" s="203"/>
      <c r="C29" s="203"/>
      <c r="D29" s="203"/>
      <c r="E29" s="203"/>
      <c r="F29" s="203"/>
      <c r="G29" s="203"/>
      <c r="H29" s="203"/>
      <c r="I29" s="203"/>
      <c r="J29" s="203"/>
      <c r="K29" s="203"/>
      <c r="L29" s="203"/>
      <c r="M29" s="203"/>
      <c r="N29" s="203">
        <f t="shared" si="2"/>
        <v>0</v>
      </c>
      <c r="O29" s="203"/>
      <c r="P29" s="203"/>
      <c r="Q29" s="203"/>
      <c r="R29" s="203"/>
      <c r="S29" s="203"/>
      <c r="T29" s="203"/>
    </row>
    <row r="30" spans="1:20" ht="15.75">
      <c r="A30" s="38" t="s">
        <v>442</v>
      </c>
      <c r="B30" s="203">
        <f>-Disposal!J169</f>
        <v>-3741651.2299999995</v>
      </c>
      <c r="C30" s="203"/>
      <c r="D30" s="203"/>
      <c r="E30" s="203"/>
      <c r="F30" s="203"/>
      <c r="G30" s="203"/>
      <c r="H30" s="203"/>
      <c r="I30" s="203"/>
      <c r="J30" s="203">
        <f>+Disposal!E180</f>
        <v>17946.199499998242</v>
      </c>
      <c r="K30" s="203"/>
      <c r="L30" s="203"/>
      <c r="M30" s="203"/>
      <c r="N30" s="203">
        <f t="shared" si="2"/>
        <v>-3723705.0305000013</v>
      </c>
      <c r="O30" s="203"/>
      <c r="P30" s="203"/>
      <c r="Q30" s="203"/>
      <c r="R30" s="203"/>
      <c r="S30" s="203"/>
      <c r="T30" s="203"/>
    </row>
    <row r="31" spans="1:20" ht="15.75">
      <c r="A31" s="35" t="s">
        <v>443</v>
      </c>
      <c r="B31" s="203">
        <f>+Disposal!J169</f>
        <v>3741651.2299999995</v>
      </c>
      <c r="C31" s="203"/>
      <c r="D31" s="203"/>
      <c r="E31" s="203"/>
      <c r="F31" s="203"/>
      <c r="G31" s="203"/>
      <c r="H31" s="203"/>
      <c r="I31" s="203"/>
      <c r="J31" s="203"/>
      <c r="K31" s="203"/>
      <c r="L31" s="203"/>
      <c r="M31" s="203"/>
      <c r="N31" s="203">
        <f t="shared" si="2"/>
        <v>3741651.2299999995</v>
      </c>
      <c r="O31" s="203"/>
      <c r="P31" s="203"/>
      <c r="Q31" s="203"/>
      <c r="R31" s="203"/>
      <c r="S31" s="203"/>
      <c r="T31" s="203"/>
    </row>
    <row r="32" spans="1:20" ht="15.75">
      <c r="A32" s="38" t="s">
        <v>444</v>
      </c>
      <c r="B32" s="203"/>
      <c r="C32" s="203"/>
      <c r="D32" s="203"/>
      <c r="E32" s="203"/>
      <c r="F32" s="203"/>
      <c r="G32" s="203"/>
      <c r="H32" s="203"/>
      <c r="I32" s="203"/>
      <c r="J32" s="203"/>
      <c r="K32" s="203"/>
      <c r="L32" s="203"/>
      <c r="M32" s="203"/>
      <c r="N32" s="203">
        <f t="shared" si="2"/>
        <v>0</v>
      </c>
      <c r="O32" s="203"/>
      <c r="P32" s="203"/>
      <c r="Q32" s="203"/>
      <c r="R32" s="203"/>
      <c r="S32" s="203"/>
      <c r="T32" s="203"/>
    </row>
    <row r="33" spans="1:20" ht="15.75">
      <c r="A33" s="38" t="s">
        <v>1344</v>
      </c>
      <c r="B33" s="203"/>
      <c r="C33" s="203"/>
      <c r="D33" s="203"/>
      <c r="E33" s="203"/>
      <c r="F33" s="203"/>
      <c r="G33" s="203"/>
      <c r="H33" s="203"/>
      <c r="I33" s="203"/>
      <c r="J33" s="203"/>
      <c r="K33" s="203"/>
      <c r="L33" s="203"/>
      <c r="M33" s="203"/>
      <c r="N33" s="203">
        <f t="shared" si="2"/>
        <v>0</v>
      </c>
      <c r="O33" s="203"/>
      <c r="P33" s="203"/>
      <c r="Q33" s="203"/>
      <c r="R33" s="203"/>
      <c r="S33" s="203"/>
      <c r="T33" s="203"/>
    </row>
    <row r="34" spans="1:20" ht="15.75">
      <c r="A34" s="38" t="s">
        <v>445</v>
      </c>
      <c r="B34" s="203"/>
      <c r="C34" s="203"/>
      <c r="D34" s="203"/>
      <c r="E34" s="203"/>
      <c r="F34" s="203"/>
      <c r="G34" s="203">
        <f>-Dues!V41</f>
        <v>-5572.8</v>
      </c>
      <c r="H34" s="203"/>
      <c r="I34" s="203"/>
      <c r="J34" s="203"/>
      <c r="K34" s="203"/>
      <c r="L34" s="203"/>
      <c r="M34" s="203"/>
      <c r="N34" s="203">
        <f t="shared" si="2"/>
        <v>-5572.8</v>
      </c>
      <c r="O34" s="203"/>
      <c r="P34" s="203"/>
      <c r="Q34" s="203"/>
      <c r="R34" s="203"/>
      <c r="S34" s="203"/>
      <c r="T34" s="203"/>
    </row>
    <row r="35" spans="1:20" ht="15.75">
      <c r="A35" s="38" t="s">
        <v>480</v>
      </c>
      <c r="B35" s="203"/>
      <c r="C35" s="203"/>
      <c r="D35" s="203"/>
      <c r="E35" s="203"/>
      <c r="F35" s="203"/>
      <c r="G35" s="203"/>
      <c r="H35" s="203"/>
      <c r="I35" s="203"/>
      <c r="J35" s="203"/>
      <c r="K35" s="203"/>
      <c r="L35" s="203"/>
      <c r="M35" s="203"/>
      <c r="N35" s="203">
        <f t="shared" si="2"/>
        <v>0</v>
      </c>
      <c r="O35" s="203"/>
      <c r="P35" s="203"/>
      <c r="Q35" s="203"/>
      <c r="R35" s="203"/>
      <c r="S35" s="203"/>
      <c r="T35" s="203"/>
    </row>
    <row r="36" spans="1:20" ht="15.75">
      <c r="A36" s="38" t="s">
        <v>446</v>
      </c>
      <c r="B36" s="203"/>
      <c r="C36" s="203"/>
      <c r="D36" s="203"/>
      <c r="E36" s="203"/>
      <c r="F36" s="203"/>
      <c r="G36" s="203"/>
      <c r="H36" s="203"/>
      <c r="I36" s="203"/>
      <c r="J36" s="203"/>
      <c r="K36" s="203"/>
      <c r="L36" s="203"/>
      <c r="M36" s="203"/>
      <c r="N36" s="203">
        <f t="shared" si="2"/>
        <v>0</v>
      </c>
      <c r="O36" s="203"/>
      <c r="P36" s="203"/>
      <c r="Q36" s="203"/>
      <c r="R36" s="203"/>
      <c r="S36" s="203"/>
      <c r="T36" s="203"/>
    </row>
    <row r="37" spans="1:20" ht="15.75">
      <c r="A37" s="38" t="s">
        <v>447</v>
      </c>
      <c r="B37" s="203"/>
      <c r="C37" s="203"/>
      <c r="D37" s="203"/>
      <c r="E37" s="203"/>
      <c r="F37" s="203"/>
      <c r="G37" s="203"/>
      <c r="H37" s="203"/>
      <c r="I37" s="203"/>
      <c r="J37" s="203"/>
      <c r="K37" s="203"/>
      <c r="L37" s="203"/>
      <c r="M37" s="203"/>
      <c r="N37" s="203">
        <f t="shared" si="2"/>
        <v>0</v>
      </c>
      <c r="O37" s="203"/>
      <c r="P37" s="203"/>
      <c r="Q37" s="203"/>
      <c r="R37" s="203"/>
      <c r="S37" s="203"/>
      <c r="T37" s="203"/>
    </row>
    <row r="38" spans="1:20" ht="15.75">
      <c r="A38" s="38" t="s">
        <v>448</v>
      </c>
      <c r="B38" s="203"/>
      <c r="C38" s="203"/>
      <c r="D38" s="203"/>
      <c r="E38" s="203"/>
      <c r="F38" s="203"/>
      <c r="G38" s="203"/>
      <c r="H38" s="203"/>
      <c r="I38" s="203"/>
      <c r="J38" s="203"/>
      <c r="K38" s="203"/>
      <c r="L38" s="203"/>
      <c r="M38" s="203"/>
      <c r="N38" s="203">
        <f t="shared" si="2"/>
        <v>0</v>
      </c>
      <c r="O38" s="203"/>
      <c r="P38" s="203"/>
      <c r="Q38" s="203"/>
      <c r="R38" s="203"/>
      <c r="S38" s="203"/>
      <c r="T38" s="203"/>
    </row>
    <row r="39" spans="1:20" ht="15.75">
      <c r="A39" s="38" t="s">
        <v>449</v>
      </c>
      <c r="B39" s="203"/>
      <c r="C39" s="203"/>
      <c r="D39" s="203"/>
      <c r="E39" s="203"/>
      <c r="F39" s="203">
        <v>-4124</v>
      </c>
      <c r="G39" s="203"/>
      <c r="H39" s="203"/>
      <c r="I39" s="203"/>
      <c r="J39" s="203"/>
      <c r="K39" s="203"/>
      <c r="L39" s="203"/>
      <c r="M39" s="203"/>
      <c r="N39" s="203">
        <f t="shared" si="2"/>
        <v>-4124</v>
      </c>
      <c r="O39" s="203"/>
      <c r="P39" s="203"/>
      <c r="Q39" s="203"/>
      <c r="R39" s="203"/>
      <c r="S39" s="203"/>
      <c r="T39" s="203"/>
    </row>
    <row r="40" spans="1:20" ht="15.75">
      <c r="A40" s="38" t="s">
        <v>450</v>
      </c>
      <c r="B40" s="203"/>
      <c r="C40" s="203"/>
      <c r="D40" s="203"/>
      <c r="E40" s="203"/>
      <c r="F40" s="203"/>
      <c r="G40" s="203"/>
      <c r="H40" s="203"/>
      <c r="I40" s="203"/>
      <c r="J40" s="203"/>
      <c r="K40" s="203"/>
      <c r="L40" s="203"/>
      <c r="M40" s="203"/>
      <c r="N40" s="203">
        <f t="shared" si="2"/>
        <v>0</v>
      </c>
      <c r="O40" s="203"/>
      <c r="P40" s="203"/>
      <c r="Q40" s="203"/>
      <c r="R40" s="203"/>
      <c r="S40" s="203"/>
      <c r="T40" s="203"/>
    </row>
    <row r="41" spans="1:20" ht="15.75">
      <c r="A41" s="38" t="s">
        <v>451</v>
      </c>
      <c r="B41" s="203"/>
      <c r="C41" s="203"/>
      <c r="D41" s="203"/>
      <c r="E41" s="203"/>
      <c r="F41" s="203"/>
      <c r="G41" s="203"/>
      <c r="H41" s="203"/>
      <c r="I41" s="203"/>
      <c r="J41" s="203"/>
      <c r="K41" s="203"/>
      <c r="L41" s="203"/>
      <c r="M41" s="203"/>
      <c r="N41" s="203">
        <f t="shared" si="2"/>
        <v>0</v>
      </c>
      <c r="O41" s="203"/>
      <c r="P41" s="203"/>
      <c r="Q41" s="203"/>
      <c r="R41" s="203"/>
      <c r="S41" s="203"/>
      <c r="T41" s="203"/>
    </row>
    <row r="42" spans="1:20" ht="15.75">
      <c r="A42" s="38" t="s">
        <v>452</v>
      </c>
      <c r="B42" s="203"/>
      <c r="C42" s="203"/>
      <c r="D42" s="203"/>
      <c r="E42" s="203"/>
      <c r="F42" s="203"/>
      <c r="G42" s="203"/>
      <c r="H42" s="203"/>
      <c r="I42" s="203"/>
      <c r="J42" s="203"/>
      <c r="K42" s="203"/>
      <c r="L42" s="203"/>
      <c r="M42" s="203"/>
      <c r="N42" s="203">
        <f t="shared" si="2"/>
        <v>0</v>
      </c>
      <c r="O42" s="203"/>
      <c r="P42" s="203"/>
      <c r="Q42" s="203"/>
      <c r="R42" s="203"/>
      <c r="S42" s="203"/>
      <c r="T42" s="203"/>
    </row>
    <row r="43" spans="1:20" ht="15.75">
      <c r="A43" s="38" t="s">
        <v>453</v>
      </c>
      <c r="B43" s="203"/>
      <c r="C43" s="203"/>
      <c r="D43" s="203"/>
      <c r="E43" s="203"/>
      <c r="F43" s="203"/>
      <c r="G43" s="203"/>
      <c r="H43" s="203"/>
      <c r="I43" s="203"/>
      <c r="J43" s="203"/>
      <c r="K43" s="203"/>
      <c r="L43" s="203"/>
      <c r="M43" s="203"/>
      <c r="N43" s="203">
        <f t="shared" si="2"/>
        <v>0</v>
      </c>
      <c r="O43" s="203"/>
      <c r="P43" s="203"/>
      <c r="Q43" s="203"/>
      <c r="R43" s="203"/>
      <c r="S43" s="203"/>
      <c r="T43" s="203"/>
    </row>
    <row r="44" spans="1:20" ht="15.75">
      <c r="A44" s="38" t="s">
        <v>454</v>
      </c>
      <c r="B44" s="203"/>
      <c r="C44" s="203"/>
      <c r="D44" s="203"/>
      <c r="E44" s="203"/>
      <c r="F44" s="203">
        <v>-78</v>
      </c>
      <c r="G44" s="203">
        <f>-'Public Relations'!V54</f>
        <v>-4200</v>
      </c>
      <c r="H44" s="203"/>
      <c r="I44" s="203"/>
      <c r="J44" s="203"/>
      <c r="K44" s="203"/>
      <c r="L44" s="203"/>
      <c r="M44" s="203"/>
      <c r="N44" s="203">
        <f t="shared" si="2"/>
        <v>-4278</v>
      </c>
      <c r="O44" s="203"/>
      <c r="P44" s="203"/>
      <c r="Q44" s="203"/>
      <c r="R44" s="203"/>
      <c r="S44" s="203"/>
      <c r="T44" s="203"/>
    </row>
    <row r="45" spans="1:20" ht="15.75">
      <c r="A45" s="38" t="s">
        <v>455</v>
      </c>
      <c r="B45" s="203"/>
      <c r="C45" s="203"/>
      <c r="D45" s="203"/>
      <c r="E45" s="203"/>
      <c r="F45" s="203"/>
      <c r="G45" s="203"/>
      <c r="H45" s="203">
        <f>-'Pro Forma'!C45</f>
        <v>-4775.8</v>
      </c>
      <c r="I45" s="203"/>
      <c r="J45" s="203"/>
      <c r="K45" s="203"/>
      <c r="L45" s="203"/>
      <c r="M45" s="203"/>
      <c r="N45" s="203">
        <f t="shared" si="2"/>
        <v>-4775.8</v>
      </c>
      <c r="O45" s="203"/>
      <c r="P45" s="203"/>
      <c r="Q45" s="203"/>
      <c r="R45" s="203"/>
      <c r="S45" s="203"/>
      <c r="T45" s="203"/>
    </row>
    <row r="46" spans="1:20" ht="15.75">
      <c r="A46" s="38" t="s">
        <v>456</v>
      </c>
      <c r="B46" s="203"/>
      <c r="C46" s="203"/>
      <c r="D46" s="203"/>
      <c r="E46" s="203"/>
      <c r="F46" s="203">
        <v>-325</v>
      </c>
      <c r="G46" s="203"/>
      <c r="H46" s="203"/>
      <c r="I46" s="203">
        <v>17428.599999999999</v>
      </c>
      <c r="J46" s="203"/>
      <c r="K46" s="203"/>
      <c r="L46" s="203"/>
      <c r="M46" s="203"/>
      <c r="N46" s="203">
        <f t="shared" si="2"/>
        <v>17103.599999999999</v>
      </c>
      <c r="O46" s="203"/>
      <c r="P46" s="203"/>
      <c r="Q46" s="203"/>
      <c r="R46" s="203"/>
      <c r="S46" s="203"/>
      <c r="T46" s="203"/>
    </row>
    <row r="47" spans="1:20" ht="15.75">
      <c r="A47" s="38" t="s">
        <v>481</v>
      </c>
      <c r="B47" s="203"/>
      <c r="C47" s="203"/>
      <c r="D47" s="203"/>
      <c r="E47" s="203"/>
      <c r="F47" s="203"/>
      <c r="G47" s="203"/>
      <c r="H47" s="203"/>
      <c r="I47" s="203"/>
      <c r="J47" s="203"/>
      <c r="K47" s="203"/>
      <c r="L47" s="203"/>
      <c r="M47" s="203"/>
      <c r="N47" s="203">
        <f t="shared" si="2"/>
        <v>0</v>
      </c>
      <c r="O47" s="203"/>
      <c r="P47" s="203"/>
      <c r="Q47" s="203"/>
      <c r="R47" s="203"/>
      <c r="S47" s="203"/>
      <c r="T47" s="203"/>
    </row>
    <row r="48" spans="1:20" ht="15.75">
      <c r="A48" s="38" t="s">
        <v>457</v>
      </c>
      <c r="B48" s="203"/>
      <c r="C48" s="203"/>
      <c r="D48" s="203"/>
      <c r="E48" s="203"/>
      <c r="F48" s="203"/>
      <c r="G48" s="203"/>
      <c r="H48" s="203"/>
      <c r="I48" s="203"/>
      <c r="J48" s="203"/>
      <c r="K48" s="203"/>
      <c r="L48" s="203"/>
      <c r="M48" s="203"/>
      <c r="N48" s="203">
        <f t="shared" si="2"/>
        <v>0</v>
      </c>
      <c r="O48" s="203"/>
      <c r="P48" s="203"/>
      <c r="Q48" s="203"/>
      <c r="R48" s="203"/>
      <c r="S48" s="203"/>
      <c r="T48" s="203"/>
    </row>
    <row r="49" spans="1:20" ht="15.75">
      <c r="A49" s="34" t="s">
        <v>458</v>
      </c>
      <c r="B49" s="203"/>
      <c r="C49" s="203"/>
      <c r="D49" s="203"/>
      <c r="E49" s="203"/>
      <c r="F49" s="203"/>
      <c r="G49" s="203"/>
      <c r="H49" s="203"/>
      <c r="I49" s="203"/>
      <c r="J49" s="203"/>
      <c r="K49" s="203"/>
      <c r="L49" s="203"/>
      <c r="M49" s="203"/>
      <c r="N49" s="203">
        <f t="shared" si="2"/>
        <v>0</v>
      </c>
      <c r="O49" s="203"/>
      <c r="P49" s="203"/>
      <c r="Q49" s="203"/>
      <c r="R49" s="203"/>
      <c r="S49" s="203"/>
      <c r="T49" s="203"/>
    </row>
    <row r="50" spans="1:20" ht="15.75">
      <c r="A50" s="38" t="s">
        <v>459</v>
      </c>
      <c r="B50" s="203"/>
      <c r="C50" s="203"/>
      <c r="D50" s="203"/>
      <c r="E50" s="203"/>
      <c r="F50" s="203"/>
      <c r="G50" s="203"/>
      <c r="H50" s="203"/>
      <c r="I50" s="203"/>
      <c r="J50" s="203"/>
      <c r="K50" s="203"/>
      <c r="L50" s="203"/>
      <c r="M50" s="203"/>
      <c r="N50" s="203">
        <f t="shared" si="2"/>
        <v>0</v>
      </c>
      <c r="O50" s="203"/>
      <c r="P50" s="203"/>
      <c r="Q50" s="203"/>
      <c r="R50" s="203"/>
      <c r="S50" s="203"/>
      <c r="T50" s="203"/>
    </row>
    <row r="51" spans="1:20" ht="15.75">
      <c r="A51" s="38" t="s">
        <v>460</v>
      </c>
      <c r="B51" s="203"/>
      <c r="C51" s="203"/>
      <c r="D51" s="203"/>
      <c r="E51" s="203"/>
      <c r="F51" s="203"/>
      <c r="G51" s="203"/>
      <c r="H51" s="203"/>
      <c r="I51" s="203">
        <f>-'Regulatory Fees'!U25-'Regulatory Fees'!U26-'Regulatory Fees'!U28-7515.88</f>
        <v>-27600.469999999998</v>
      </c>
      <c r="J51" s="203"/>
      <c r="K51" s="203"/>
      <c r="L51" s="203"/>
      <c r="M51" s="203"/>
      <c r="N51" s="203">
        <f t="shared" si="2"/>
        <v>-27600.469999999998</v>
      </c>
      <c r="O51" s="203"/>
      <c r="P51" s="203"/>
      <c r="Q51" s="203"/>
      <c r="R51" s="203"/>
      <c r="S51" s="203"/>
      <c r="T51" s="203"/>
    </row>
    <row r="52" spans="1:20" ht="15.75">
      <c r="A52" s="38" t="s">
        <v>461</v>
      </c>
      <c r="B52" s="203"/>
      <c r="C52" s="203"/>
      <c r="D52" s="203">
        <f>-'Pro Forma'!C52+'Regulatory Depreciation '!M169</f>
        <v>-57011.019285714312</v>
      </c>
      <c r="E52" s="203"/>
      <c r="F52" s="203"/>
      <c r="G52" s="203"/>
      <c r="H52" s="203"/>
      <c r="I52" s="203"/>
      <c r="J52" s="203"/>
      <c r="K52" s="203"/>
      <c r="L52" s="203"/>
      <c r="M52" s="203"/>
      <c r="N52" s="203">
        <f t="shared" si="2"/>
        <v>-57011.019285714312</v>
      </c>
      <c r="O52" s="203"/>
      <c r="P52" s="203"/>
      <c r="Q52" s="203"/>
      <c r="R52" s="203"/>
      <c r="S52" s="203"/>
      <c r="T52" s="203"/>
    </row>
    <row r="53" spans="1:20" ht="15.75">
      <c r="A53" s="38" t="s">
        <v>462</v>
      </c>
      <c r="B53" s="203"/>
      <c r="C53" s="203"/>
      <c r="D53" s="203"/>
      <c r="E53" s="203"/>
      <c r="F53" s="203"/>
      <c r="G53" s="203"/>
      <c r="H53" s="203"/>
      <c r="I53" s="203"/>
      <c r="J53" s="203"/>
      <c r="K53" s="203">
        <f>+Rents!V93</f>
        <v>66380.360000000015</v>
      </c>
      <c r="L53" s="203"/>
      <c r="M53" s="203"/>
      <c r="N53" s="203">
        <f t="shared" si="2"/>
        <v>66380.360000000015</v>
      </c>
      <c r="O53" s="203"/>
      <c r="P53" s="203"/>
      <c r="Q53" s="203"/>
      <c r="R53" s="203"/>
      <c r="S53" s="203"/>
      <c r="T53" s="203"/>
    </row>
    <row r="54" spans="1:20" ht="15.75">
      <c r="A54" s="38" t="s">
        <v>463</v>
      </c>
      <c r="C54" s="203">
        <f>-'Revenue Summary Worksheet'!F47</f>
        <v>-2202904.4166082004</v>
      </c>
      <c r="D54" s="203"/>
      <c r="E54" s="203"/>
      <c r="F54" s="203"/>
      <c r="G54" s="203"/>
      <c r="H54" s="203"/>
      <c r="I54" s="203"/>
      <c r="J54" s="203"/>
      <c r="K54" s="203"/>
      <c r="L54" s="203"/>
      <c r="M54" s="203"/>
      <c r="N54" s="203">
        <f t="shared" si="2"/>
        <v>-2202904.4166082004</v>
      </c>
      <c r="O54" s="203"/>
      <c r="P54" s="203"/>
      <c r="Q54" s="203"/>
      <c r="R54" s="203"/>
      <c r="S54" s="203"/>
      <c r="T54" s="203"/>
    </row>
    <row r="55" spans="1:20" ht="15.75">
      <c r="A55" s="35" t="s">
        <v>464</v>
      </c>
      <c r="B55" s="203"/>
      <c r="C55" s="203"/>
      <c r="D55" s="203"/>
      <c r="E55" s="203"/>
      <c r="F55" s="203"/>
      <c r="G55" s="203"/>
      <c r="H55" s="203"/>
      <c r="I55" s="203"/>
      <c r="J55" s="203"/>
      <c r="K55" s="203"/>
      <c r="L55" s="203"/>
      <c r="M55" s="203"/>
      <c r="N55" s="203">
        <f t="shared" si="2"/>
        <v>0</v>
      </c>
      <c r="O55" s="203"/>
      <c r="P55" s="203"/>
      <c r="Q55" s="203"/>
      <c r="R55" s="203"/>
      <c r="S55" s="203"/>
      <c r="T55" s="203"/>
    </row>
    <row r="56" spans="1:20" ht="15.75">
      <c r="A56" s="35" t="s">
        <v>479</v>
      </c>
      <c r="B56" s="203"/>
      <c r="C56" s="203"/>
      <c r="D56" s="203"/>
      <c r="E56" s="203"/>
      <c r="F56" s="203"/>
      <c r="G56" s="203"/>
      <c r="H56" s="203"/>
      <c r="I56" s="203"/>
      <c r="J56" s="203"/>
      <c r="K56" s="203"/>
      <c r="L56" s="203"/>
      <c r="M56" s="203"/>
      <c r="N56" s="203">
        <f t="shared" si="2"/>
        <v>0</v>
      </c>
      <c r="O56" s="203"/>
      <c r="P56" s="203"/>
      <c r="Q56" s="203"/>
      <c r="R56" s="203"/>
      <c r="S56" s="203"/>
      <c r="T56" s="203"/>
    </row>
    <row r="57" spans="1:20" ht="15.75">
      <c r="A57" s="38" t="s">
        <v>465</v>
      </c>
      <c r="B57" s="203"/>
      <c r="C57" s="203"/>
      <c r="D57" s="203"/>
      <c r="E57" s="203"/>
      <c r="F57" s="203"/>
      <c r="G57" s="203"/>
      <c r="H57" s="203"/>
      <c r="I57" s="203">
        <f>+'Regulatory Fees'!U26+'Regulatory Fees'!U28</f>
        <v>2655.99</v>
      </c>
      <c r="J57" s="203"/>
      <c r="K57" s="203"/>
      <c r="L57" s="203"/>
      <c r="M57" s="203"/>
      <c r="N57" s="203">
        <f t="shared" si="2"/>
        <v>2655.99</v>
      </c>
      <c r="O57" s="203"/>
      <c r="P57" s="203"/>
      <c r="Q57" s="203"/>
      <c r="R57" s="203"/>
      <c r="S57" s="203"/>
      <c r="T57" s="203"/>
    </row>
    <row r="58" spans="1:20" ht="15.75">
      <c r="A58" s="38" t="s">
        <v>466</v>
      </c>
      <c r="B58" s="203"/>
      <c r="C58" s="203"/>
      <c r="D58" s="203"/>
      <c r="E58" s="203"/>
      <c r="F58" s="203"/>
      <c r="G58" s="203"/>
      <c r="H58" s="203"/>
      <c r="I58" s="203"/>
      <c r="J58" s="203"/>
      <c r="K58" s="203"/>
      <c r="L58" s="203"/>
      <c r="M58" s="203"/>
      <c r="N58" s="203">
        <f t="shared" si="2"/>
        <v>0</v>
      </c>
      <c r="O58" s="203"/>
      <c r="P58" s="203"/>
      <c r="Q58" s="203"/>
      <c r="R58" s="203"/>
      <c r="S58" s="203"/>
      <c r="T58" s="203"/>
    </row>
    <row r="59" spans="1:20" ht="15.75">
      <c r="A59" s="38" t="s">
        <v>467</v>
      </c>
      <c r="B59" s="203"/>
      <c r="C59" s="203"/>
      <c r="D59" s="203"/>
      <c r="E59" s="203"/>
      <c r="F59" s="203"/>
      <c r="G59" s="203"/>
      <c r="H59" s="203"/>
      <c r="I59" s="203"/>
      <c r="J59" s="203"/>
      <c r="K59" s="203"/>
      <c r="L59" s="203"/>
      <c r="M59" s="203"/>
      <c r="N59" s="203">
        <f t="shared" si="2"/>
        <v>0</v>
      </c>
      <c r="O59" s="203"/>
      <c r="P59" s="203"/>
      <c r="Q59" s="203"/>
      <c r="R59" s="203"/>
      <c r="S59" s="203"/>
      <c r="T59" s="203"/>
    </row>
    <row r="60" spans="1:20" ht="15.75">
      <c r="A60" s="38" t="s">
        <v>468</v>
      </c>
      <c r="B60" s="254"/>
      <c r="C60" s="254"/>
      <c r="D60" s="254"/>
      <c r="E60" s="254"/>
      <c r="F60" s="254"/>
      <c r="G60" s="254"/>
      <c r="H60" s="254"/>
      <c r="I60" s="254"/>
      <c r="J60" s="254"/>
      <c r="K60" s="254"/>
      <c r="L60" s="254"/>
      <c r="M60" s="254"/>
      <c r="N60" s="254">
        <f t="shared" si="2"/>
        <v>0</v>
      </c>
      <c r="O60" s="203"/>
      <c r="P60" s="203"/>
      <c r="Q60" s="203"/>
      <c r="R60" s="203"/>
      <c r="S60" s="203"/>
      <c r="T60" s="203"/>
    </row>
    <row r="61" spans="1:20" ht="15.75">
      <c r="A61" s="38" t="s">
        <v>469</v>
      </c>
      <c r="B61" s="254">
        <f>SUM(B23:B60)</f>
        <v>0</v>
      </c>
      <c r="C61" s="254">
        <f t="shared" ref="C61:I61" si="3">SUM(C23:C60)</f>
        <v>-2202904.4166082004</v>
      </c>
      <c r="D61" s="254">
        <f t="shared" si="3"/>
        <v>-57011.019285714312</v>
      </c>
      <c r="E61" s="254">
        <f t="shared" si="3"/>
        <v>-29887.359999999986</v>
      </c>
      <c r="F61" s="254">
        <f t="shared" si="3"/>
        <v>-4527</v>
      </c>
      <c r="G61" s="254">
        <f t="shared" si="3"/>
        <v>-9772.7999999999993</v>
      </c>
      <c r="H61" s="254">
        <f t="shared" si="3"/>
        <v>-4775.8</v>
      </c>
      <c r="I61" s="254">
        <f t="shared" si="3"/>
        <v>-7515.8799999999992</v>
      </c>
      <c r="J61" s="254">
        <f t="shared" ref="J61:N61" si="4">SUM(J23:J60)</f>
        <v>17946.199499998242</v>
      </c>
      <c r="K61" s="254">
        <f t="shared" si="4"/>
        <v>66380.360000000015</v>
      </c>
      <c r="L61" s="254"/>
      <c r="M61" s="254">
        <f t="shared" ref="M61" si="5">SUM(M23:M60)</f>
        <v>0</v>
      </c>
      <c r="N61" s="254">
        <f t="shared" si="4"/>
        <v>-2232067.7163939159</v>
      </c>
      <c r="O61" s="203"/>
      <c r="P61" s="203"/>
      <c r="Q61" s="203"/>
      <c r="R61" s="203"/>
      <c r="S61" s="203"/>
      <c r="T61" s="203"/>
    </row>
    <row r="62" spans="1:20" ht="15.75">
      <c r="A62" s="38" t="s">
        <v>470</v>
      </c>
      <c r="B62" s="203">
        <f>+B21-B61</f>
        <v>0</v>
      </c>
      <c r="C62" s="203">
        <f t="shared" ref="C62:I62" si="6">+C21-C61</f>
        <v>4.9148723017424345E-2</v>
      </c>
      <c r="D62" s="203">
        <f t="shared" si="6"/>
        <v>57011.019285714312</v>
      </c>
      <c r="E62" s="203">
        <f t="shared" si="6"/>
        <v>29887.359999999986</v>
      </c>
      <c r="F62" s="203">
        <f t="shared" si="6"/>
        <v>4527</v>
      </c>
      <c r="G62" s="203">
        <f t="shared" si="6"/>
        <v>9772.7999999999993</v>
      </c>
      <c r="H62" s="203">
        <f t="shared" si="6"/>
        <v>4775.8</v>
      </c>
      <c r="I62" s="203">
        <f t="shared" si="6"/>
        <v>7515.8799999999992</v>
      </c>
      <c r="J62" s="203">
        <f t="shared" ref="J62:N62" si="7">+J21-J61</f>
        <v>-17946.199499998242</v>
      </c>
      <c r="K62" s="203">
        <f t="shared" si="7"/>
        <v>-66380.360000000015</v>
      </c>
      <c r="L62" s="203"/>
      <c r="M62" s="203">
        <f t="shared" ref="M62" si="8">+M21-M61</f>
        <v>-12090.51</v>
      </c>
      <c r="N62" s="203">
        <f t="shared" si="7"/>
        <v>17073.163938922342</v>
      </c>
      <c r="O62" s="203"/>
      <c r="P62" s="203"/>
      <c r="Q62" s="203"/>
      <c r="R62" s="203"/>
      <c r="S62" s="203"/>
      <c r="T62" s="203"/>
    </row>
    <row r="63" spans="1:20" ht="15.75">
      <c r="A63" s="38"/>
      <c r="B63" s="203"/>
      <c r="C63" s="203"/>
      <c r="D63" s="203"/>
      <c r="E63" s="203"/>
      <c r="F63" s="203"/>
      <c r="G63" s="203"/>
      <c r="H63" s="203"/>
      <c r="I63" s="203"/>
      <c r="J63" s="203"/>
      <c r="K63" s="203"/>
      <c r="L63" s="203"/>
      <c r="M63" s="203"/>
      <c r="N63" s="203"/>
      <c r="O63" s="203"/>
      <c r="P63" s="203"/>
      <c r="Q63" s="203"/>
      <c r="R63" s="203"/>
      <c r="S63" s="203"/>
      <c r="T63" s="203"/>
    </row>
    <row r="64" spans="1:20" ht="15.75">
      <c r="A64" s="38" t="s">
        <v>471</v>
      </c>
      <c r="B64" s="203"/>
      <c r="C64" s="203"/>
      <c r="D64" s="203"/>
      <c r="E64" s="203"/>
      <c r="F64" s="203"/>
      <c r="G64" s="203"/>
      <c r="H64" s="203"/>
      <c r="I64" s="203"/>
      <c r="J64" s="203"/>
      <c r="K64" s="203"/>
      <c r="L64" s="203"/>
      <c r="M64" s="203"/>
      <c r="N64" s="203"/>
      <c r="O64" s="203"/>
      <c r="P64" s="203"/>
      <c r="Q64" s="203"/>
      <c r="R64" s="203"/>
      <c r="S64" s="203"/>
      <c r="T64" s="203"/>
    </row>
    <row r="65" spans="1:20" ht="15.75">
      <c r="A65" s="38" t="s">
        <v>472</v>
      </c>
      <c r="B65" s="203"/>
      <c r="C65" s="203"/>
      <c r="D65" s="203"/>
      <c r="E65" s="203"/>
      <c r="F65" s="203"/>
      <c r="G65" s="203"/>
      <c r="H65" s="203"/>
      <c r="I65" s="203"/>
      <c r="J65" s="203"/>
      <c r="K65" s="203"/>
      <c r="L65" s="203"/>
      <c r="M65" s="203"/>
      <c r="N65" s="203">
        <f t="shared" ref="N65:N69" si="9">SUM(B65:I65)</f>
        <v>0</v>
      </c>
      <c r="O65" s="203"/>
      <c r="P65" s="203"/>
      <c r="Q65" s="203"/>
      <c r="R65" s="203"/>
      <c r="S65" s="203"/>
      <c r="T65" s="203"/>
    </row>
    <row r="66" spans="1:20" ht="15.75">
      <c r="A66" s="38" t="s">
        <v>473</v>
      </c>
      <c r="B66" s="203"/>
      <c r="C66" s="203"/>
      <c r="D66" s="203"/>
      <c r="E66" s="203"/>
      <c r="F66" s="203"/>
      <c r="G66" s="203"/>
      <c r="H66" s="203"/>
      <c r="I66" s="203"/>
      <c r="J66" s="203"/>
      <c r="K66" s="203"/>
      <c r="L66" s="203"/>
      <c r="M66" s="203"/>
      <c r="N66" s="203">
        <f t="shared" si="9"/>
        <v>0</v>
      </c>
      <c r="O66" s="203"/>
      <c r="P66" s="203"/>
      <c r="Q66" s="203"/>
      <c r="R66" s="203"/>
      <c r="S66" s="203"/>
      <c r="T66" s="203"/>
    </row>
    <row r="67" spans="1:20" ht="15.75">
      <c r="A67" s="38" t="s">
        <v>474</v>
      </c>
      <c r="B67" s="203"/>
      <c r="C67" s="203"/>
      <c r="D67" s="203"/>
      <c r="E67" s="203"/>
      <c r="F67" s="203"/>
      <c r="G67" s="203"/>
      <c r="H67" s="203"/>
      <c r="I67" s="203"/>
      <c r="J67" s="203"/>
      <c r="K67" s="203"/>
      <c r="L67" s="203"/>
      <c r="M67" s="203"/>
      <c r="N67" s="203">
        <f t="shared" si="9"/>
        <v>0</v>
      </c>
      <c r="O67" s="203"/>
      <c r="P67" s="203"/>
      <c r="Q67" s="203"/>
      <c r="R67" s="203"/>
      <c r="S67" s="203"/>
      <c r="T67" s="203"/>
    </row>
    <row r="68" spans="1:20" ht="15.75">
      <c r="A68" s="38" t="s">
        <v>475</v>
      </c>
      <c r="B68" s="203"/>
      <c r="C68" s="203"/>
      <c r="D68" s="203"/>
      <c r="E68" s="203"/>
      <c r="F68" s="203">
        <v>-4527</v>
      </c>
      <c r="G68" s="203"/>
      <c r="H68" s="203"/>
      <c r="I68" s="203"/>
      <c r="J68" s="203"/>
      <c r="K68" s="203"/>
      <c r="L68" s="203"/>
      <c r="M68" s="203"/>
      <c r="N68" s="203">
        <f t="shared" si="9"/>
        <v>-4527</v>
      </c>
      <c r="O68" s="203"/>
      <c r="P68" s="203"/>
      <c r="Q68" s="203"/>
      <c r="R68" s="203"/>
      <c r="S68" s="203"/>
      <c r="T68" s="203"/>
    </row>
    <row r="69" spans="1:20" ht="15.75">
      <c r="A69" s="38" t="s">
        <v>476</v>
      </c>
      <c r="B69" s="203"/>
      <c r="C69" s="203"/>
      <c r="D69" s="203"/>
      <c r="E69" s="203"/>
      <c r="F69" s="203"/>
      <c r="G69" s="203"/>
      <c r="H69" s="203"/>
      <c r="I69" s="203"/>
      <c r="J69" s="203"/>
      <c r="K69" s="203"/>
      <c r="L69" s="203"/>
      <c r="M69" s="203"/>
      <c r="N69" s="203">
        <f t="shared" si="9"/>
        <v>0</v>
      </c>
      <c r="O69" s="203"/>
      <c r="P69" s="203"/>
      <c r="Q69" s="203"/>
      <c r="R69" s="203"/>
      <c r="S69" s="203"/>
      <c r="T69" s="203"/>
    </row>
    <row r="70" spans="1:20" ht="15.75">
      <c r="A70" s="38" t="s">
        <v>477</v>
      </c>
      <c r="B70" s="203"/>
      <c r="C70" s="203"/>
      <c r="D70" s="203"/>
      <c r="E70" s="203"/>
      <c r="F70" s="203"/>
      <c r="G70" s="203"/>
      <c r="H70" s="203"/>
      <c r="I70" s="203"/>
      <c r="J70" s="203"/>
      <c r="K70" s="203"/>
      <c r="L70" s="203"/>
      <c r="M70" s="203"/>
      <c r="N70" s="203"/>
      <c r="O70" s="203"/>
      <c r="P70" s="203"/>
      <c r="Q70" s="203"/>
      <c r="R70" s="203"/>
      <c r="S70" s="203"/>
      <c r="T70" s="203"/>
    </row>
    <row r="71" spans="1:20" ht="15.75">
      <c r="A71" s="38"/>
      <c r="B71" s="203"/>
      <c r="C71" s="203"/>
      <c r="D71" s="203"/>
      <c r="E71" s="203"/>
      <c r="F71" s="203"/>
      <c r="G71" s="203"/>
      <c r="H71" s="203"/>
      <c r="I71" s="203"/>
      <c r="J71" s="203"/>
      <c r="K71" s="203"/>
      <c r="L71" s="203"/>
      <c r="M71" s="203"/>
      <c r="N71" s="203"/>
      <c r="O71" s="203"/>
      <c r="P71" s="203"/>
      <c r="Q71" s="203"/>
      <c r="R71" s="203"/>
      <c r="S71" s="203"/>
      <c r="T71" s="203"/>
    </row>
    <row r="72" spans="1:20" ht="15.75">
      <c r="A72" s="38" t="s">
        <v>112</v>
      </c>
      <c r="B72" s="203"/>
      <c r="C72" s="203"/>
      <c r="D72" s="203"/>
      <c r="E72" s="203"/>
      <c r="F72" s="203"/>
      <c r="G72" s="203"/>
      <c r="H72" s="203"/>
      <c r="I72" s="203"/>
      <c r="J72" s="203"/>
      <c r="K72" s="203"/>
      <c r="L72" s="203"/>
      <c r="M72" s="203"/>
      <c r="N72" s="203"/>
      <c r="O72" s="203"/>
      <c r="P72" s="203"/>
      <c r="Q72" s="203"/>
      <c r="R72" s="203"/>
      <c r="S72" s="203"/>
      <c r="T72" s="203"/>
    </row>
    <row r="73" spans="1:20" ht="15.75">
      <c r="A73" s="38"/>
      <c r="B73" s="203"/>
      <c r="C73" s="203"/>
      <c r="D73" s="203"/>
      <c r="E73" s="203"/>
      <c r="F73" s="203"/>
      <c r="G73" s="203"/>
      <c r="H73" s="203"/>
      <c r="I73" s="203"/>
      <c r="J73" s="203"/>
      <c r="K73" s="203"/>
      <c r="L73" s="203"/>
      <c r="M73" s="203"/>
      <c r="N73" s="203"/>
      <c r="O73" s="203"/>
      <c r="P73" s="203"/>
      <c r="Q73" s="203"/>
      <c r="R73" s="203"/>
      <c r="S73" s="203"/>
      <c r="T73" s="203"/>
    </row>
    <row r="74" spans="1:20" ht="15.75">
      <c r="A74" s="38"/>
      <c r="B74" s="203"/>
      <c r="C74" s="203"/>
      <c r="D74" s="203"/>
      <c r="E74" s="203"/>
      <c r="F74" s="203"/>
      <c r="G74" s="203"/>
      <c r="H74" s="203"/>
      <c r="I74" s="203"/>
      <c r="J74" s="203"/>
      <c r="K74" s="203"/>
      <c r="L74" s="203"/>
      <c r="M74" s="203"/>
      <c r="N74" s="203"/>
      <c r="O74" s="203"/>
      <c r="P74" s="203"/>
      <c r="Q74" s="203"/>
      <c r="R74" s="203"/>
      <c r="S74" s="203"/>
      <c r="T74" s="203"/>
    </row>
    <row r="75" spans="1:20" ht="15.75">
      <c r="A75" s="38" t="s">
        <v>478</v>
      </c>
      <c r="B75" s="203"/>
      <c r="C75" s="203"/>
      <c r="D75" s="203"/>
      <c r="E75" s="203"/>
      <c r="F75" s="203"/>
      <c r="G75" s="203"/>
      <c r="H75" s="203"/>
      <c r="I75" s="203"/>
      <c r="J75" s="203"/>
      <c r="K75" s="203"/>
      <c r="L75" s="203"/>
      <c r="M75" s="203"/>
      <c r="N75" s="203"/>
      <c r="O75" s="203"/>
      <c r="P75" s="203"/>
      <c r="Q75" s="203"/>
      <c r="R75" s="203"/>
      <c r="S75" s="203"/>
      <c r="T75" s="203"/>
    </row>
    <row r="76" spans="1:20">
      <c r="B76" s="203"/>
      <c r="C76" s="203"/>
      <c r="D76" s="203"/>
      <c r="E76" s="203"/>
      <c r="F76" s="203"/>
      <c r="G76" s="203"/>
      <c r="H76" s="203"/>
      <c r="I76" s="203"/>
      <c r="J76" s="203"/>
      <c r="K76" s="203"/>
      <c r="L76" s="203"/>
      <c r="M76" s="203"/>
      <c r="N76" s="203"/>
      <c r="O76" s="203"/>
      <c r="P76" s="203"/>
      <c r="Q76" s="203"/>
      <c r="R76" s="203"/>
      <c r="S76" s="203"/>
      <c r="T76" s="203"/>
    </row>
    <row r="77" spans="1:20">
      <c r="B77" s="203"/>
      <c r="C77" s="203"/>
      <c r="D77" s="203"/>
      <c r="E77" s="203"/>
      <c r="F77" s="203"/>
      <c r="G77" s="203"/>
      <c r="H77" s="203"/>
      <c r="I77" s="203"/>
      <c r="J77" s="203"/>
      <c r="K77" s="203"/>
      <c r="L77" s="203"/>
      <c r="M77" s="203"/>
      <c r="N77" s="203"/>
      <c r="O77" s="203"/>
      <c r="P77" s="203"/>
      <c r="Q77" s="203"/>
      <c r="R77" s="203"/>
      <c r="S77" s="203"/>
      <c r="T77" s="203"/>
    </row>
    <row r="78" spans="1:20">
      <c r="B78" s="203"/>
      <c r="C78" s="203"/>
      <c r="D78" s="203"/>
      <c r="E78" s="203"/>
      <c r="F78" s="203"/>
      <c r="G78" s="203"/>
      <c r="H78" s="203"/>
      <c r="I78" s="203"/>
      <c r="J78" s="203"/>
      <c r="K78" s="203"/>
      <c r="L78" s="203"/>
      <c r="M78" s="203"/>
      <c r="N78" s="203"/>
      <c r="O78" s="203"/>
      <c r="P78" s="203"/>
      <c r="Q78" s="203"/>
      <c r="R78" s="203"/>
      <c r="S78" s="203"/>
      <c r="T78" s="203"/>
    </row>
    <row r="79" spans="1:20">
      <c r="B79" s="203"/>
      <c r="C79" s="203"/>
      <c r="D79" s="203"/>
      <c r="E79" s="203"/>
      <c r="F79" s="203"/>
      <c r="G79" s="203"/>
      <c r="H79" s="203"/>
      <c r="I79" s="203"/>
      <c r="J79" s="203"/>
      <c r="K79" s="203"/>
      <c r="L79" s="203"/>
      <c r="M79" s="203"/>
      <c r="N79" s="203"/>
      <c r="O79" s="203"/>
      <c r="P79" s="203"/>
      <c r="Q79" s="203"/>
      <c r="R79" s="203"/>
      <c r="S79" s="203"/>
      <c r="T79" s="203"/>
    </row>
  </sheetData>
  <pageMargins left="0.2" right="0.2" top="0.75" bottom="0.75" header="0.3" footer="0.3"/>
  <pageSetup scale="67" fitToHeight="0" orientation="landscape" r:id="rId1"/>
  <headerFooter>
    <oddFooter>&amp;L&amp;D&amp;C&amp;A&amp;RPage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9D60F31E6316747992470DA9955DD0E" ma:contentTypeVersion="56" ma:contentTypeDescription="" ma:contentTypeScope="" ma:versionID="521ab5b9f1abcb0d1b6dae20b9c2844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2019-06-14T07:00:00+00:00</OpenedDate>
    <SignificantOrder xmlns="dc463f71-b30c-4ab2-9473-d307f9d35888">false</SignificantOrder>
    <Date1 xmlns="dc463f71-b30c-4ab2-9473-d307f9d35888">2019-06-18T07:00:00+00:00</Date1>
    <IsDocumentOrder xmlns="dc463f71-b30c-4ab2-9473-d307f9d35888">false</IsDocumentOrder>
    <IsHighlyConfidential xmlns="dc463f71-b30c-4ab2-9473-d307f9d35888">false</IsHighlyConfidential>
    <CaseCompanyNames xmlns="dc463f71-b30c-4ab2-9473-d307f9d35888">Rubatino Refuse Removal Inc.</CaseCompanyNames>
    <Nickname xmlns="http://schemas.microsoft.com/sharepoint/v3" xsi:nil="true"/>
    <DocketNumber xmlns="dc463f71-b30c-4ab2-9473-d307f9d35888">190508</DocketNumber>
    <DelegatedOrder xmlns="dc463f71-b30c-4ab2-9473-d307f9d35888">false</DelegatedOrder>
  </documentManagement>
</p:properties>
</file>

<file path=customXml/itemProps1.xml><?xml version="1.0" encoding="utf-8"?>
<ds:datastoreItem xmlns:ds="http://schemas.openxmlformats.org/officeDocument/2006/customXml" ds:itemID="{43E84092-D8E3-42E2-B9ED-92372445F8FE}"/>
</file>

<file path=customXml/itemProps2.xml><?xml version="1.0" encoding="utf-8"?>
<ds:datastoreItem xmlns:ds="http://schemas.openxmlformats.org/officeDocument/2006/customXml" ds:itemID="{7CDC43C4-906A-48D6-9C3B-9912A6929B06}"/>
</file>

<file path=customXml/itemProps3.xml><?xml version="1.0" encoding="utf-8"?>
<ds:datastoreItem xmlns:ds="http://schemas.openxmlformats.org/officeDocument/2006/customXml" ds:itemID="{21B14B50-86D3-4929-B62E-3BFF1286AFAF}"/>
</file>

<file path=customXml/itemProps4.xml><?xml version="1.0" encoding="utf-8"?>
<ds:datastoreItem xmlns:ds="http://schemas.openxmlformats.org/officeDocument/2006/customXml" ds:itemID="{24B4B89C-070F-44CD-B9B9-718CEC4483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80</vt:i4>
      </vt:variant>
    </vt:vector>
  </HeadingPairs>
  <TitlesOfParts>
    <vt:vector size="125" baseType="lpstr">
      <vt:lpstr>Workbook Index</vt:lpstr>
      <vt:lpstr>LG Consolidated</vt:lpstr>
      <vt:lpstr>LG - Refuse</vt:lpstr>
      <vt:lpstr>LG - Recycling</vt:lpstr>
      <vt:lpstr>LG - Yardwaste</vt:lpstr>
      <vt:lpstr>Balance Sheet 12-31-18</vt:lpstr>
      <vt:lpstr>12 Month P&amp;L</vt:lpstr>
      <vt:lpstr>Pro Forma</vt:lpstr>
      <vt:lpstr>Restating Entries</vt:lpstr>
      <vt:lpstr>Restating Entries - Explanation</vt:lpstr>
      <vt:lpstr>Pro Forma Entries </vt:lpstr>
      <vt:lpstr>Pro Forma Entries - Explanation</vt:lpstr>
      <vt:lpstr>Allocations</vt:lpstr>
      <vt:lpstr>Regulatory Depreciation </vt:lpstr>
      <vt:lpstr>Fuel Cost 12-18</vt:lpstr>
      <vt:lpstr>Payroll Hours</vt:lpstr>
      <vt:lpstr>Garbage Payroll</vt:lpstr>
      <vt:lpstr>Recycling Payroll</vt:lpstr>
      <vt:lpstr>Payroll Summary</vt:lpstr>
      <vt:lpstr>Health &amp; Welfare</vt:lpstr>
      <vt:lpstr>Pension Recycle</vt:lpstr>
      <vt:lpstr>Pension Garbage</vt:lpstr>
      <vt:lpstr>Pension Admin</vt:lpstr>
      <vt:lpstr>Pension Admin Ledger</vt:lpstr>
      <vt:lpstr>Disposal</vt:lpstr>
      <vt:lpstr>Revenue Summary Worksheet</vt:lpstr>
      <vt:lpstr>Price-Out vs Book Comparison</vt:lpstr>
      <vt:lpstr>Residential Everett</vt:lpstr>
      <vt:lpstr>Commercial Everett</vt:lpstr>
      <vt:lpstr>Residential Mukilteo</vt:lpstr>
      <vt:lpstr>Commercial Mukilteo</vt:lpstr>
      <vt:lpstr>Commercial Recycling</vt:lpstr>
      <vt:lpstr>Customer Summary</vt:lpstr>
      <vt:lpstr>Mukilteo Utility Franchise Tax</vt:lpstr>
      <vt:lpstr>Everett Utility-B&amp;O</vt:lpstr>
      <vt:lpstr>Washington Service B&amp;O</vt:lpstr>
      <vt:lpstr>Rents</vt:lpstr>
      <vt:lpstr>Dues</vt:lpstr>
      <vt:lpstr>Public Relations</vt:lpstr>
      <vt:lpstr>TruckCare Pension</vt:lpstr>
      <vt:lpstr>Regulatory Fees</vt:lpstr>
      <vt:lpstr>Recycle Revenue</vt:lpstr>
      <vt:lpstr>Truck Mileage</vt:lpstr>
      <vt:lpstr>Rate Case Costs</vt:lpstr>
      <vt:lpstr>City of Mukilteo Contract Loss</vt:lpstr>
      <vt:lpstr>'LG - Recycling'!Debt_Rate</vt:lpstr>
      <vt:lpstr>'LG - Refuse'!Debt_Rate</vt:lpstr>
      <vt:lpstr>'LG - Yardwaste'!Debt_Rate</vt:lpstr>
      <vt:lpstr>'LG Consolidated'!Debt_Rate</vt:lpstr>
      <vt:lpstr>'LG - Recycling'!debtP</vt:lpstr>
      <vt:lpstr>'LG - Refuse'!debtP</vt:lpstr>
      <vt:lpstr>'LG - Yardwaste'!debtP</vt:lpstr>
      <vt:lpstr>'LG Consolidated'!debtP</vt:lpstr>
      <vt:lpstr>'LG - Recycling'!Equity_percent</vt:lpstr>
      <vt:lpstr>'LG - Refuse'!Equity_percent</vt:lpstr>
      <vt:lpstr>'LG - Yardwaste'!Equity_percent</vt:lpstr>
      <vt:lpstr>'LG Consolidated'!Equity_percent</vt:lpstr>
      <vt:lpstr>'LG - Recycling'!equityP</vt:lpstr>
      <vt:lpstr>'LG - Refuse'!equityP</vt:lpstr>
      <vt:lpstr>'LG - Yardwaste'!equityP</vt:lpstr>
      <vt:lpstr>'LG Consolidated'!equityP</vt:lpstr>
      <vt:lpstr>'LG - Recycling'!expenses</vt:lpstr>
      <vt:lpstr>'LG - Refuse'!expenses</vt:lpstr>
      <vt:lpstr>'LG - Yardwaste'!expenses</vt:lpstr>
      <vt:lpstr>'LG Consolidated'!expenses</vt:lpstr>
      <vt:lpstr>'LG - Recycling'!Investment</vt:lpstr>
      <vt:lpstr>'LG - Refuse'!Investment</vt:lpstr>
      <vt:lpstr>'LG - Yardwaste'!Investment</vt:lpstr>
      <vt:lpstr>'LG Consolidated'!Investment</vt:lpstr>
      <vt:lpstr>'LG - Recycling'!Pfd_weighted</vt:lpstr>
      <vt:lpstr>'LG - Refuse'!Pfd_weighted</vt:lpstr>
      <vt:lpstr>'LG - Yardwaste'!Pfd_weighted</vt:lpstr>
      <vt:lpstr>'LG Consolidated'!Pfd_weighted</vt:lpstr>
      <vt:lpstr>'12 Month P&amp;L'!Print_Area</vt:lpstr>
      <vt:lpstr>Allocations!Print_Area</vt:lpstr>
      <vt:lpstr>'Commercial Everett'!Print_Area</vt:lpstr>
      <vt:lpstr>'Commercial Mukilteo'!Print_Area</vt:lpstr>
      <vt:lpstr>Disposal!Print_Area</vt:lpstr>
      <vt:lpstr>'LG - Recycling'!Print_Area</vt:lpstr>
      <vt:lpstr>'LG - Refuse'!Print_Area</vt:lpstr>
      <vt:lpstr>'LG - Yardwaste'!Print_Area</vt:lpstr>
      <vt:lpstr>'LG Consolidated'!Print_Area</vt:lpstr>
      <vt:lpstr>'Price-Out vs Book Comparison'!Print_Area</vt:lpstr>
      <vt:lpstr>'Pro Forma'!Print_Area</vt:lpstr>
      <vt:lpstr>'Pro Forma Entries '!Print_Area</vt:lpstr>
      <vt:lpstr>'Regulatory Depreciation '!Print_Area</vt:lpstr>
      <vt:lpstr>'Residential Everett'!Print_Area</vt:lpstr>
      <vt:lpstr>'Residential Mukilteo'!Print_Area</vt:lpstr>
      <vt:lpstr>'Restating Entries'!Print_Area</vt:lpstr>
      <vt:lpstr>'Restating Entries - Explanation'!Print_Area</vt:lpstr>
      <vt:lpstr>'Revenue Summary Worksheet'!Print_Area</vt:lpstr>
      <vt:lpstr>'Truck Mileage'!Print_Area</vt:lpstr>
      <vt:lpstr>'TruckCare Pension'!Print_Area</vt:lpstr>
      <vt:lpstr>'12 Month P&amp;L'!Print_Titles</vt:lpstr>
      <vt:lpstr>Allocations!Print_Titles</vt:lpstr>
      <vt:lpstr>'Commercial Everett'!Print_Titles</vt:lpstr>
      <vt:lpstr>'Commercial Mukilteo'!Print_Titles</vt:lpstr>
      <vt:lpstr>Disposal!Print_Titles</vt:lpstr>
      <vt:lpstr>'Garbage Payroll'!Print_Titles</vt:lpstr>
      <vt:lpstr>'Pro Forma'!Print_Titles</vt:lpstr>
      <vt:lpstr>'Pro Forma Entries '!Print_Titles</vt:lpstr>
      <vt:lpstr>'Recycling Payroll'!Print_Titles</vt:lpstr>
      <vt:lpstr>'Regulatory Depreciation '!Print_Titles</vt:lpstr>
      <vt:lpstr>'Residential Everett'!Print_Titles</vt:lpstr>
      <vt:lpstr>'Residential Mukilteo'!Print_Titles</vt:lpstr>
      <vt:lpstr>'Restating Entries'!Print_Titles</vt:lpstr>
      <vt:lpstr>'Restating Entries - Explanation'!Print_Titles</vt:lpstr>
      <vt:lpstr>'Truck Mileage'!Print_Titles</vt:lpstr>
      <vt:lpstr>'LG - Recycling'!regDebt_weighted</vt:lpstr>
      <vt:lpstr>'LG - Refuse'!regDebt_weighted</vt:lpstr>
      <vt:lpstr>'LG - Yardwaste'!regDebt_weighted</vt:lpstr>
      <vt:lpstr>'LG Consolidated'!regDebt_weighted</vt:lpstr>
      <vt:lpstr>'LG - Recycling'!Revenue</vt:lpstr>
      <vt:lpstr>'LG - Refuse'!Revenue</vt:lpstr>
      <vt:lpstr>'LG - Yardwaste'!Revenue</vt:lpstr>
      <vt:lpstr>'LG Consolidated'!Revenue</vt:lpstr>
      <vt:lpstr>slope</vt:lpstr>
      <vt:lpstr>'LG - Recycling'!taxrate</vt:lpstr>
      <vt:lpstr>'LG - Refuse'!taxrate</vt:lpstr>
      <vt:lpstr>'LG - Yardwaste'!taxrate</vt:lpstr>
      <vt:lpstr>'LG Consolidated'!taxrate</vt:lpstr>
      <vt:lpstr>y_inter1</vt:lpstr>
      <vt:lpstr>y_inter2</vt:lpstr>
      <vt:lpstr>y_inter3</vt:lpstr>
      <vt:lpstr>y_inter4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Weldon</dc:creator>
  <cp:lastModifiedBy>Weldon Burton</cp:lastModifiedBy>
  <cp:lastPrinted>2019-06-14T14:00:37Z</cp:lastPrinted>
  <dcterms:created xsi:type="dcterms:W3CDTF">2019-03-26T21:58:17Z</dcterms:created>
  <dcterms:modified xsi:type="dcterms:W3CDTF">2019-06-14T18:24:41Z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0x0101006E56B4D1795A2E4DB2F0B01679ED314A00B9D60F31E6316747992470DA9955DD0E</vt:lpwstr>
  </property>
  <property fmtid="{D5CDD505-2E9C-101B-9397-08002B2CF9AE}" pid="3" name="_docset_NoMedatataSyncRequired">
    <vt:lpwstr>False</vt:lpwstr>
  </property>
  <property fmtid="{D5CDD505-2E9C-101B-9397-08002B2CF9AE}" pid="4" name="IsEFSEC">
    <vt:bool>false</vt:bool>
  </property>
</Properties>
</file>