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18960" windowHeight="8685"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s>
  <externalReferences>
    <externalReference r:id="rId9"/>
    <externalReference r:id="rId10"/>
  </externalReferences>
  <definedNames>
    <definedName name="_xlfn.IFERROR" hidden="1">#NAME?</definedName>
    <definedName name="color">#REF!</definedName>
    <definedName name="_xlnm.Print_Area" localSheetId="4">'Pricing'!$A$1:$L$19</definedName>
    <definedName name="_xlnm.Print_Area" localSheetId="5">'Single Family'!$A$7:$N$102</definedName>
    <definedName name="_xlnm.Print_Area" localSheetId="1">'WUTC_AW of Bellevue_SF'!$A$1:$P$75</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Johnson, Carla:</t>
        </r>
        <r>
          <rPr>
            <sz val="9"/>
            <rFont val="Tahoma"/>
            <family val="2"/>
          </rPr>
          <t xml:space="preserve">
RSA Workbook/Single Family/4172 Tons column E</t>
        </r>
      </text>
    </comment>
  </commentList>
</comments>
</file>

<file path=xl/sharedStrings.xml><?xml version="1.0" encoding="utf-8"?>
<sst xmlns="http://schemas.openxmlformats.org/spreadsheetml/2006/main" count="239" uniqueCount="105">
  <si>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</si>
  <si>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</si>
  <si>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</si>
  <si>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</si>
  <si>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</si>
  <si>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</si>
  <si>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</si>
  <si>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</si>
  <si>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</si>
  <si>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</si>
  <si>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</si>
  <si>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</si>
  <si>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</si>
  <si>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</si>
  <si>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</si>
  <si>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</si>
  <si>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</si>
  <si>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</si>
  <si>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</si>
  <si>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</si>
  <si>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</si>
  <si>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</si>
  <si>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</si>
  <si>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</si>
  <si>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</si>
  <si>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</si>
  <si>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</si>
  <si>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</si>
  <si>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</si>
  <si>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</si>
  <si>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</si>
  <si>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</si>
  <si>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</si>
  <si>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</si>
  <si>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</si>
  <si>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</si>
  <si>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</si>
  <si>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</si>
  <si>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</si>
  <si>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</si>
  <si>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</si>
  <si>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</si>
  <si>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</si>
  <si>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</si>
  <si>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</si>
  <si>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</si>
  <si>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</si>
  <si>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</si>
  <si>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</si>
  <si>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</si>
  <si>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</si>
  <si>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</si>
  <si>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</si>
  <si>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</si>
  <si>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</si>
  <si>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</si>
  <si>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</si>
  <si>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</si>
  <si>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</si>
  <si>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</si>
  <si>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</si>
  <si>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</si>
  <si>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</si>
  <si>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</si>
  <si>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</si>
  <si>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</si>
  <si>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</si>
  <si>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</si>
  <si>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</si>
  <si>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</si>
  <si>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</si>
  <si>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</si>
  <si>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</si>
  <si>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</si>
  <si>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</si>
  <si>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</si>
  <si>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</si>
  <si>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</si>
  <si>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</si>
  <si>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</si>
  <si>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</si>
  <si>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</si>
  <si>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</si>
  <si>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</si>
  <si>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</si>
  <si>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</si>
  <si>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</si>
  <si>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</si>
  <si>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</si>
  <si>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</si>
  <si>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Prior Plan Part B Total</t>
  </si>
  <si>
    <t>Current Plan Part A Total</t>
  </si>
  <si>
    <t>% Passed Back</t>
  </si>
  <si>
    <t>Check and change values</t>
  </si>
  <si>
    <t>Avg of last 6 months plan year</t>
  </si>
  <si>
    <t>November 2017 - April 2018</t>
  </si>
  <si>
    <t>Total Passback at end of 2 year plan year 2019</t>
  </si>
  <si>
    <t>Rabanco Ltd (dba Republic Services)</t>
  </si>
  <si>
    <t xml:space="preserve"> Recycle Adjustment Calculation</t>
  </si>
  <si>
    <t xml:space="preserve"> True-up Computation</t>
  </si>
  <si>
    <t>Total Bi-Annual Customers</t>
  </si>
  <si>
    <t>2017/2018 Monthly True-up Amount</t>
  </si>
  <si>
    <t xml:space="preserve"> Projected Credit</t>
  </si>
  <si>
    <t xml:space="preserve">6 month running average "BASE CREDIT" </t>
  </si>
  <si>
    <t>11/18-4/19 Adjusted Debit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</si>
</sst>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s>
  <fonts count="60">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7">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9" applyNumberFormat="1" applyFont="1" applyAlignment="1">
      <alignment horizontal="right"/>
      <protection/>
    </xf>
    <xf numFmtId="165"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168" fontId="9" fillId="0" borderId="17" xfId="59" applyNumberFormat="1" applyFont="1" applyBorder="1">
      <alignment/>
      <protection/>
    </xf>
    <xf numFmtId="41" fontId="7" fillId="0" borderId="18" xfId="59" applyNumberFormat="1" applyFont="1" applyBorder="1">
      <alignment/>
      <protection/>
    </xf>
    <xf numFmtId="165" fontId="7" fillId="0" borderId="0" xfId="62" applyNumberFormat="1" applyFont="1" applyAlignment="1">
      <alignment/>
    </xf>
    <xf numFmtId="167" fontId="7" fillId="35" borderId="0" xfId="59" applyNumberFormat="1" applyFont="1" applyFill="1">
      <alignment/>
      <protection/>
    </xf>
    <xf numFmtId="9" fontId="7" fillId="35" borderId="19" xfId="62" applyFont="1" applyFill="1" applyBorder="1" applyAlignment="1">
      <alignment/>
    </xf>
    <xf numFmtId="168" fontId="7" fillId="36" borderId="11" xfId="59" applyNumberFormat="1" applyFont="1" applyFill="1" applyBorder="1">
      <alignment/>
      <protection/>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5" fontId="58" fillId="37" borderId="20" xfId="62" applyNumberFormat="1" applyFont="1" applyFill="1" applyBorder="1" applyAlignment="1">
      <alignment horizontal="center"/>
    </xf>
    <xf numFmtId="41" fontId="59" fillId="37" borderId="20" xfId="59" applyNumberFormat="1" applyFont="1" applyFill="1" applyBorder="1" applyAlignment="1">
      <alignment horizontal="center"/>
      <protection/>
    </xf>
    <xf numFmtId="41" fontId="59" fillId="37" borderId="20" xfId="59" applyNumberFormat="1" applyFont="1" applyFill="1" applyBorder="1">
      <alignment/>
      <protection/>
    </xf>
    <xf numFmtId="168" fontId="59" fillId="37" borderId="20" xfId="59" applyNumberFormat="1" applyFont="1" applyFill="1" applyBorder="1">
      <alignment/>
      <protection/>
    </xf>
    <xf numFmtId="165" fontId="7" fillId="0" borderId="0" xfId="62"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4981575"/>
          <a:ext cx="51435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9525</xdr:colOff>
      <xdr:row>37</xdr:row>
      <xdr:rowOff>76200</xdr:rowOff>
    </xdr:to>
    <xdr:sp>
      <xdr:nvSpPr>
        <xdr:cNvPr id="2" name="Straight Arrow Connector 4"/>
        <xdr:cNvSpPr>
          <a:spLocks/>
        </xdr:cNvSpPr>
      </xdr:nvSpPr>
      <xdr:spPr>
        <a:xfrm flipH="1">
          <a:off x="4743450" y="5372100"/>
          <a:ext cx="5429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2"/>
  <sheetViews>
    <sheetView showGridLines="0" tabSelected="1" zoomScaleSheetLayoutView="100" zoomScalePageLayoutView="0" workbookViewId="0" topLeftCell="A1">
      <pane ySplit="4" topLeftCell="A20" activePane="bottomLeft" state="frozen"/>
      <selection pane="topLeft" activeCell="G25" sqref="G25"/>
      <selection pane="bottomLeft" activeCell="G60" sqref="G60"/>
    </sheetView>
  </sheetViews>
  <sheetFormatPr defaultColWidth="9.140625" defaultRowHeight="12.75"/>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97</v>
      </c>
      <c r="B1" s="2"/>
      <c r="C1" s="2"/>
      <c r="D1" s="2"/>
      <c r="E1" s="2"/>
      <c r="F1" s="2"/>
      <c r="G1" s="3"/>
      <c r="H1" s="2"/>
      <c r="I1" s="2"/>
      <c r="J1" s="1" t="s">
        <v>82</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31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1" t="str">
        <f>+F6</f>
        <v>Revenue</v>
      </c>
      <c r="P6" s="112"/>
    </row>
    <row r="7" spans="1:16" s="16" customFormat="1" ht="11.25">
      <c r="A7" s="15" t="s">
        <v>5</v>
      </c>
      <c r="B7" s="12" t="s">
        <v>6</v>
      </c>
      <c r="C7" s="12"/>
      <c r="D7" s="12" t="s">
        <v>3</v>
      </c>
      <c r="E7" s="12"/>
      <c r="F7" s="12" t="s">
        <v>7</v>
      </c>
      <c r="G7" s="12"/>
      <c r="H7" s="12"/>
      <c r="I7" s="12"/>
      <c r="J7" s="12" t="s">
        <v>6</v>
      </c>
      <c r="K7" s="12"/>
      <c r="O7" s="141" t="str">
        <f>+F7</f>
        <v>per Customer</v>
      </c>
      <c r="P7" s="112"/>
    </row>
    <row r="8" spans="1:16" s="16" customFormat="1" ht="11.25">
      <c r="A8" s="127">
        <f>'Single Family'!$C$6</f>
        <v>43221</v>
      </c>
      <c r="B8" s="161">
        <v>10938</v>
      </c>
      <c r="C8" s="113"/>
      <c r="D8" s="114">
        <f>VLOOKUP(A8,Value!$A$6:$O$17,15,)</f>
        <v>351.74177403999647</v>
      </c>
      <c r="E8" s="113"/>
      <c r="F8" s="16">
        <f>ROUND(D8/B8,2)</f>
        <v>0.03</v>
      </c>
      <c r="G8" s="113"/>
      <c r="H8" s="113"/>
      <c r="I8" s="113"/>
      <c r="J8" s="14">
        <f aca="true" t="shared" si="0" ref="J8:J18">+B8</f>
        <v>10938</v>
      </c>
      <c r="K8" s="13">
        <f aca="true" t="shared" si="1" ref="K8:K18">YEAR(A8)</f>
        <v>2018</v>
      </c>
      <c r="O8" s="142">
        <f>VLOOKUP(A8,Value!$A$6:$O$17,13,FALSE)</f>
        <v>703.4835480799929</v>
      </c>
      <c r="P8" s="112"/>
    </row>
    <row r="9" spans="1:16" s="16" customFormat="1" ht="11.25">
      <c r="A9" s="17">
        <f aca="true" t="shared" si="2" ref="A9:A18">EOMONTH(A8,1)</f>
        <v>43281</v>
      </c>
      <c r="B9" s="162">
        <v>10944</v>
      </c>
      <c r="C9" s="20"/>
      <c r="D9" s="114">
        <f>VLOOKUP(A9,Value!$A$6:$O$17,15,)</f>
        <v>2186.976488999997</v>
      </c>
      <c r="E9" s="14"/>
      <c r="F9" s="16">
        <f>ROUND(D9/B9,2)</f>
        <v>0.2</v>
      </c>
      <c r="G9" s="14"/>
      <c r="H9" s="14"/>
      <c r="I9" s="14"/>
      <c r="J9" s="14">
        <f t="shared" si="0"/>
        <v>10944</v>
      </c>
      <c r="K9" s="13">
        <f t="shared" si="1"/>
        <v>2018</v>
      </c>
      <c r="O9" s="142">
        <f>VLOOKUP(A9,Value!$A$6:$O$17,13,FALSE)</f>
        <v>4373.952977999994</v>
      </c>
      <c r="P9" s="112"/>
    </row>
    <row r="10" spans="1:16" s="16" customFormat="1" ht="11.25">
      <c r="A10" s="17">
        <f t="shared" si="2"/>
        <v>43312</v>
      </c>
      <c r="B10" s="162">
        <v>10965</v>
      </c>
      <c r="C10" s="14"/>
      <c r="D10" s="114">
        <f>VLOOKUP(A10,Value!$A$6:$O$17,15,)</f>
        <v>3424.345988959997</v>
      </c>
      <c r="E10" s="14"/>
      <c r="F10" s="16">
        <f>ROUND(D10/B10,2)</f>
        <v>0.31</v>
      </c>
      <c r="G10" s="14"/>
      <c r="H10" s="14"/>
      <c r="I10" s="14"/>
      <c r="J10" s="14">
        <f t="shared" si="0"/>
        <v>10965</v>
      </c>
      <c r="K10" s="13">
        <f t="shared" si="1"/>
        <v>2018</v>
      </c>
      <c r="O10" s="142">
        <f>VLOOKUP(A10,Value!$A$6:$O$17,13,FALSE)</f>
        <v>6848.691977919994</v>
      </c>
      <c r="P10" s="112"/>
    </row>
    <row r="11" spans="1:16" s="16" customFormat="1" ht="11.25">
      <c r="A11" s="17"/>
      <c r="B11" s="14"/>
      <c r="C11" s="14"/>
      <c r="E11" s="14"/>
      <c r="G11" s="14"/>
      <c r="H11" s="14"/>
      <c r="I11" s="14"/>
      <c r="J11" s="14"/>
      <c r="K11" s="13"/>
      <c r="O11" s="142"/>
      <c r="P11" s="112"/>
    </row>
    <row r="12" spans="1:16" s="16" customFormat="1" ht="11.25">
      <c r="A12" s="17" t="s">
        <v>90</v>
      </c>
      <c r="B12" s="21">
        <f>SUM(B8:B11)</f>
        <v>32847</v>
      </c>
      <c r="C12" s="20" t="s">
        <v>8</v>
      </c>
      <c r="D12" s="22">
        <f>SUM(D8:D11)</f>
        <v>5963.064251999991</v>
      </c>
      <c r="E12" s="14"/>
      <c r="G12" s="14"/>
      <c r="H12" s="14"/>
      <c r="I12" s="14"/>
      <c r="J12" s="14"/>
      <c r="K12" s="13"/>
      <c r="O12" s="142"/>
      <c r="P12" s="112"/>
    </row>
    <row r="13" spans="1:16" s="16" customFormat="1" ht="11.25">
      <c r="A13" s="17"/>
      <c r="B13" s="14"/>
      <c r="C13" s="14"/>
      <c r="E13" s="14"/>
      <c r="G13" s="14"/>
      <c r="H13" s="14"/>
      <c r="I13" s="14"/>
      <c r="J13" s="14"/>
      <c r="K13" s="13"/>
      <c r="O13" s="142"/>
      <c r="P13" s="112"/>
    </row>
    <row r="14" spans="1:16" s="16" customFormat="1" ht="11.25">
      <c r="A14" s="17">
        <f>EOMONTH(A10,1)</f>
        <v>43343</v>
      </c>
      <c r="B14" s="162">
        <v>10938</v>
      </c>
      <c r="C14" s="14"/>
      <c r="D14" s="114">
        <f>VLOOKUP(A14,Value!$A$6:$O$17,15,)</f>
        <v>4209.525300734997</v>
      </c>
      <c r="E14" s="14"/>
      <c r="F14" s="16">
        <f>ROUND(D14/B14,2)</f>
        <v>0.38</v>
      </c>
      <c r="G14" s="23"/>
      <c r="H14" s="14"/>
      <c r="I14" s="14"/>
      <c r="J14" s="14">
        <f t="shared" si="0"/>
        <v>10938</v>
      </c>
      <c r="K14" s="13">
        <f t="shared" si="1"/>
        <v>2018</v>
      </c>
      <c r="O14" s="142">
        <f>VLOOKUP(A14,Value!$A$6:$O$17,13,FALSE)</f>
        <v>8419.050601469993</v>
      </c>
      <c r="P14" s="112"/>
    </row>
    <row r="15" spans="1:16" s="16" customFormat="1" ht="11.25">
      <c r="A15" s="17">
        <f t="shared" si="2"/>
        <v>43373</v>
      </c>
      <c r="B15" s="162">
        <v>10953</v>
      </c>
      <c r="C15" s="14"/>
      <c r="D15" s="114">
        <f>VLOOKUP(A15,Value!$A$6:$O$17,15,)</f>
        <v>4111.015283094997</v>
      </c>
      <c r="E15" s="14"/>
      <c r="F15" s="16">
        <f>ROUND(D15/B15,2)</f>
        <v>0.38</v>
      </c>
      <c r="G15" s="23"/>
      <c r="H15" s="14"/>
      <c r="I15" s="14"/>
      <c r="J15" s="14">
        <f t="shared" si="0"/>
        <v>10953</v>
      </c>
      <c r="K15" s="13">
        <f t="shared" si="1"/>
        <v>2018</v>
      </c>
      <c r="O15" s="142">
        <f>VLOOKUP(A15,Value!$A$6:$O$17,13,FALSE)</f>
        <v>8222.030566189995</v>
      </c>
      <c r="P15" s="112"/>
    </row>
    <row r="16" spans="1:16" s="16" customFormat="1" ht="11.25">
      <c r="A16" s="17">
        <f t="shared" si="2"/>
        <v>43404</v>
      </c>
      <c r="B16" s="162">
        <v>10940</v>
      </c>
      <c r="C16" s="14"/>
      <c r="D16" s="114">
        <f>VLOOKUP(A16,Value!$A$6:$O$17,15,)</f>
        <v>3999.127110149998</v>
      </c>
      <c r="E16" s="14"/>
      <c r="F16" s="16">
        <f>ROUND(D16/B16,2)</f>
        <v>0.37</v>
      </c>
      <c r="G16" s="23"/>
      <c r="H16" s="14"/>
      <c r="I16" s="14"/>
      <c r="J16" s="14">
        <f t="shared" si="0"/>
        <v>10940</v>
      </c>
      <c r="K16" s="13">
        <f t="shared" si="1"/>
        <v>2018</v>
      </c>
      <c r="O16" s="142">
        <f>VLOOKUP(A16,Value!$A$6:$O$17,13,FALSE)</f>
        <v>7998.254220299996</v>
      </c>
      <c r="P16" s="112"/>
    </row>
    <row r="17" spans="1:16" s="16" customFormat="1" ht="11.25">
      <c r="A17" s="17">
        <f t="shared" si="2"/>
        <v>43434</v>
      </c>
      <c r="B17" s="162">
        <v>0</v>
      </c>
      <c r="C17" s="14"/>
      <c r="D17" s="114">
        <f>VLOOKUP(A17,Value!$A$6:$O$17,15,)</f>
        <v>0</v>
      </c>
      <c r="E17" s="14"/>
      <c r="G17" s="23"/>
      <c r="H17" s="14"/>
      <c r="I17" s="14"/>
      <c r="J17" s="14">
        <f t="shared" si="0"/>
        <v>0</v>
      </c>
      <c r="K17" s="13">
        <f t="shared" si="1"/>
        <v>2018</v>
      </c>
      <c r="O17" s="142">
        <f>VLOOKUP(A17,Value!$A$6:$O$17,13,FALSE)</f>
        <v>0</v>
      </c>
      <c r="P17" s="112"/>
    </row>
    <row r="18" spans="1:16" s="16" customFormat="1" ht="11.25">
      <c r="A18" s="17">
        <f t="shared" si="2"/>
        <v>43465</v>
      </c>
      <c r="B18" s="162"/>
      <c r="C18" s="14"/>
      <c r="D18" s="114">
        <f>VLOOKUP(A18,Value!$A$6:$O$17,15,)</f>
        <v>0</v>
      </c>
      <c r="E18" s="14"/>
      <c r="G18" s="23"/>
      <c r="H18" s="14"/>
      <c r="I18" s="14"/>
      <c r="J18" s="14">
        <f t="shared" si="0"/>
        <v>0</v>
      </c>
      <c r="K18" s="13">
        <f t="shared" si="1"/>
        <v>2018</v>
      </c>
      <c r="O18" s="142">
        <f>VLOOKUP(A18,Value!$A$6:$O$17,13,FALSE)</f>
        <v>0</v>
      </c>
      <c r="P18" s="112"/>
    </row>
    <row r="19" spans="1:25" s="16" customFormat="1" ht="11.25">
      <c r="A19" s="17">
        <f>EOMONTH(A18,1)</f>
        <v>43496</v>
      </c>
      <c r="B19" s="162"/>
      <c r="C19" s="14"/>
      <c r="D19" s="114">
        <f>VLOOKUP(A19,Value!$A$6:$O$17,15,)</f>
        <v>0</v>
      </c>
      <c r="E19" s="14"/>
      <c r="G19" s="23"/>
      <c r="H19" s="14"/>
      <c r="I19" s="14"/>
      <c r="J19" s="14">
        <f>+B19</f>
        <v>0</v>
      </c>
      <c r="K19" s="13">
        <f>YEAR(A19)</f>
        <v>2019</v>
      </c>
      <c r="O19" s="142">
        <f>VLOOKUP(A19,Value!$A$6:$O$17,13,FALSE)</f>
        <v>0</v>
      </c>
      <c r="P19" s="112"/>
      <c r="X19" s="14"/>
      <c r="Y19" s="14"/>
    </row>
    <row r="20" spans="1:27" s="16" customFormat="1" ht="11.25">
      <c r="A20" s="17">
        <f>EOMONTH(A19,1)</f>
        <v>43524</v>
      </c>
      <c r="B20" s="162"/>
      <c r="C20" s="14"/>
      <c r="D20" s="114">
        <f>VLOOKUP(A20,Value!$A$6:$O$17,15,)</f>
        <v>0</v>
      </c>
      <c r="E20" s="14"/>
      <c r="G20" s="23"/>
      <c r="H20" s="14"/>
      <c r="I20" s="14"/>
      <c r="J20" s="14">
        <f>+B20</f>
        <v>0</v>
      </c>
      <c r="K20" s="13">
        <f>YEAR(A20)</f>
        <v>2019</v>
      </c>
      <c r="L20" s="14"/>
      <c r="M20" s="14"/>
      <c r="N20" s="14"/>
      <c r="O20" s="142">
        <f>VLOOKUP(A20,Value!$A$6:$O$17,13,FALSE)</f>
        <v>0</v>
      </c>
      <c r="P20" s="35"/>
      <c r="Q20" s="14"/>
      <c r="R20" s="14"/>
      <c r="S20" s="14"/>
      <c r="T20" s="14"/>
      <c r="U20" s="14"/>
      <c r="V20" s="14"/>
      <c r="W20" s="14"/>
      <c r="Y20" s="14"/>
      <c r="AA20" s="14"/>
    </row>
    <row r="21" spans="1:16" s="16" customFormat="1" ht="11.25">
      <c r="A21" s="17">
        <f>EOMONTH(A20,1)</f>
        <v>43555</v>
      </c>
      <c r="B21" s="162"/>
      <c r="C21" s="14"/>
      <c r="D21" s="114">
        <f>VLOOKUP(A21,Value!$A$6:$O$17,15,)</f>
        <v>0</v>
      </c>
      <c r="E21" s="14"/>
      <c r="G21" s="23"/>
      <c r="H21" s="20"/>
      <c r="I21" s="14"/>
      <c r="J21" s="14">
        <f>+B21</f>
        <v>0</v>
      </c>
      <c r="K21" s="13">
        <f>YEAR(A21)</f>
        <v>2019</v>
      </c>
      <c r="O21" s="142">
        <f>VLOOKUP(A21,Value!$A$6:$O$17,13,FALSE)</f>
        <v>0</v>
      </c>
      <c r="P21" s="112"/>
    </row>
    <row r="22" spans="1:16" s="16" customFormat="1" ht="11.25">
      <c r="A22" s="17">
        <f>EOMONTH(A21,1)</f>
        <v>43585</v>
      </c>
      <c r="B22" s="162"/>
      <c r="C22" s="14"/>
      <c r="D22" s="114">
        <f>VLOOKUP(A22,Value!$A$6:$O$17,15,)</f>
        <v>0</v>
      </c>
      <c r="E22" s="14"/>
      <c r="G22" s="23"/>
      <c r="H22" s="20"/>
      <c r="I22" s="14"/>
      <c r="J22" s="14">
        <f>+B22</f>
        <v>0</v>
      </c>
      <c r="K22" s="13">
        <f>YEAR(A22)</f>
        <v>2019</v>
      </c>
      <c r="O22" s="142">
        <f>VLOOKUP(A22,Value!$A$6:$O$17,13,FALSE)</f>
        <v>0</v>
      </c>
      <c r="P22" s="112"/>
    </row>
    <row r="23" spans="1:15" s="16" customFormat="1" ht="11.25">
      <c r="A23" s="17"/>
      <c r="B23" s="14"/>
      <c r="C23" s="14"/>
      <c r="E23" s="14"/>
      <c r="G23" s="14"/>
      <c r="H23" s="14"/>
      <c r="I23" s="14"/>
      <c r="J23" s="14"/>
      <c r="K23" s="13"/>
      <c r="O23" s="143"/>
    </row>
    <row r="24" spans="1:16" s="16" customFormat="1" ht="11.25">
      <c r="A24" s="17" t="s">
        <v>91</v>
      </c>
      <c r="B24" s="21">
        <f>SUM(B14:B22)</f>
        <v>32831</v>
      </c>
      <c r="C24" s="20" t="s">
        <v>9</v>
      </c>
      <c r="D24" s="22">
        <f>SUM(D13:D23)</f>
        <v>12319.66769397999</v>
      </c>
      <c r="E24" s="14"/>
      <c r="G24" s="14"/>
      <c r="H24" s="14"/>
      <c r="I24" s="14"/>
      <c r="J24" s="14"/>
      <c r="K24" s="13"/>
      <c r="O24" s="143"/>
      <c r="P24" s="144" t="s">
        <v>83</v>
      </c>
    </row>
    <row r="25" spans="4:16" ht="12.75">
      <c r="D25" s="25"/>
      <c r="O25" s="143">
        <f>SUM(O8:O24)</f>
        <v>36565.46389195997</v>
      </c>
      <c r="P25" s="119"/>
    </row>
    <row r="26" spans="1:16" s="16" customFormat="1" ht="12" thickBot="1">
      <c r="A26" s="26"/>
      <c r="B26" s="27">
        <f>+B12+B24</f>
        <v>65678</v>
      </c>
      <c r="C26" s="20"/>
      <c r="D26" s="28">
        <f>+D12+D24</f>
        <v>18282.731945979984</v>
      </c>
      <c r="E26" s="20" t="s">
        <v>10</v>
      </c>
      <c r="F26" s="23">
        <f>ROUND(D26/B26,3)</f>
        <v>0.278</v>
      </c>
      <c r="H26" s="14"/>
      <c r="I26" s="14"/>
      <c r="J26" s="27">
        <f>SUM(J8:J25)</f>
        <v>65678</v>
      </c>
      <c r="K26" s="20" t="s">
        <v>12</v>
      </c>
      <c r="O26" s="145">
        <f>ROUND(O25/J26,3)</f>
        <v>0.557</v>
      </c>
      <c r="P26" s="112" t="s">
        <v>84</v>
      </c>
    </row>
    <row r="27" spans="1:16" s="16" customFormat="1" ht="12" thickTop="1">
      <c r="A27" s="16" t="s">
        <v>94</v>
      </c>
      <c r="B27" s="14"/>
      <c r="C27" s="14"/>
      <c r="D27" s="14"/>
      <c r="E27" s="14"/>
      <c r="F27" s="14"/>
      <c r="G27" s="14"/>
      <c r="H27" s="14"/>
      <c r="I27" s="14"/>
      <c r="J27" s="14"/>
      <c r="K27" s="14"/>
      <c r="O27" s="146">
        <f>+J22</f>
        <v>0</v>
      </c>
      <c r="P27" s="112" t="s">
        <v>85</v>
      </c>
    </row>
    <row r="28" spans="1:16" s="16" customFormat="1" ht="11.25">
      <c r="A28" s="16" t="s">
        <v>95</v>
      </c>
      <c r="B28" s="14">
        <f>B26</f>
        <v>65678</v>
      </c>
      <c r="C28" s="14"/>
      <c r="D28" s="14">
        <f>D26</f>
        <v>18282.731945979984</v>
      </c>
      <c r="E28" s="14"/>
      <c r="F28" s="23">
        <f>ROUND(D28/B28,3)</f>
        <v>0.278</v>
      </c>
      <c r="G28" s="20" t="s">
        <v>11</v>
      </c>
      <c r="H28" s="14"/>
      <c r="I28" s="14"/>
      <c r="J28" s="14"/>
      <c r="K28" s="14"/>
      <c r="O28" s="112"/>
      <c r="P28" s="112" t="s">
        <v>86</v>
      </c>
    </row>
    <row r="29" spans="2:16" s="16" customFormat="1" ht="11.25">
      <c r="B29" s="14"/>
      <c r="C29" s="14"/>
      <c r="D29" s="14"/>
      <c r="E29" s="14"/>
      <c r="F29" s="14"/>
      <c r="G29" s="14"/>
      <c r="H29" s="14"/>
      <c r="I29" s="14"/>
      <c r="J29" s="14"/>
      <c r="K29" s="14"/>
      <c r="O29" s="112"/>
      <c r="P29" s="112"/>
    </row>
    <row r="30" spans="1:11" s="16" customFormat="1" ht="12" thickBot="1">
      <c r="A30" s="16">
        <f>AVERAGE(B8:B10,B14:B22)</f>
        <v>9382.57142857143</v>
      </c>
      <c r="B30" s="29" t="s">
        <v>13</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ROUND(D26,0)</f>
        <v>18283</v>
      </c>
      <c r="H32" s="20" t="s">
        <v>10</v>
      </c>
      <c r="I32" s="14"/>
      <c r="J32" s="14"/>
      <c r="K32" s="14"/>
    </row>
    <row r="33" spans="1:27" s="13" customFormat="1" ht="11.25">
      <c r="A33" s="33"/>
      <c r="B33" s="31"/>
      <c r="C33" s="14"/>
      <c r="D33" s="14"/>
      <c r="E33" s="14"/>
      <c r="F33" s="14"/>
      <c r="G33" s="14"/>
      <c r="H33" s="20"/>
      <c r="I33" s="14"/>
      <c r="J33" s="14"/>
      <c r="K33" s="14"/>
      <c r="O33" s="16">
        <f>12*O27*O26</f>
        <v>0</v>
      </c>
      <c r="P33" s="13" t="s">
        <v>87</v>
      </c>
      <c r="W33" s="14"/>
      <c r="X33" s="16"/>
      <c r="Y33" s="16"/>
      <c r="AA33" s="14"/>
    </row>
    <row r="34" spans="2:16" s="16" customFormat="1" ht="11.25">
      <c r="B34" s="14" t="s">
        <v>15</v>
      </c>
      <c r="C34" s="14"/>
      <c r="D34" s="14"/>
      <c r="E34" s="14"/>
      <c r="F34" s="163">
        <v>1.141</v>
      </c>
      <c r="G34" s="14"/>
      <c r="H34" s="14"/>
      <c r="I34" s="14"/>
      <c r="J34" s="14"/>
      <c r="K34" s="14"/>
      <c r="O34" s="16">
        <f>12*O27*G57</f>
        <v>0</v>
      </c>
      <c r="P34" s="16" t="s">
        <v>88</v>
      </c>
    </row>
    <row r="35" spans="2:15" s="16" customFormat="1" ht="11.25">
      <c r="B35" s="14"/>
      <c r="C35" s="14" t="str">
        <f>"Customers from "&amp;TEXT($A$8,"mm/yy")&amp;" - "&amp;TEXT($A$10,"mm/yy")</f>
        <v>Customers from 05/18 - 07/18</v>
      </c>
      <c r="D35" s="14"/>
      <c r="E35" s="14"/>
      <c r="F35" s="35">
        <f>+B12</f>
        <v>32847</v>
      </c>
      <c r="G35" s="20" t="s">
        <v>8</v>
      </c>
      <c r="H35" s="14"/>
      <c r="I35" s="14"/>
      <c r="J35" s="14"/>
      <c r="K35" s="14"/>
      <c r="O35" s="147" t="e">
        <f>+O34/O33</f>
        <v>#DIV/0!</v>
      </c>
    </row>
    <row r="36" spans="2:11" s="16" customFormat="1" ht="11.25">
      <c r="B36" s="14"/>
      <c r="C36" s="14" t="s">
        <v>16</v>
      </c>
      <c r="D36" s="14"/>
      <c r="E36" s="14"/>
      <c r="F36" s="21">
        <f>ROUND(F34*F35,0)</f>
        <v>37478</v>
      </c>
      <c r="G36" s="20"/>
      <c r="H36" s="14"/>
      <c r="I36" s="14"/>
      <c r="J36" s="14"/>
      <c r="K36" s="14"/>
    </row>
    <row r="37" spans="2:11" s="16" customFormat="1" ht="11.25">
      <c r="B37" s="14"/>
      <c r="C37" s="14"/>
      <c r="D37" s="14"/>
      <c r="E37" s="14"/>
      <c r="F37" s="35"/>
      <c r="G37" s="20"/>
      <c r="H37" s="14" t="s">
        <v>93</v>
      </c>
      <c r="I37" s="14"/>
      <c r="J37" s="14"/>
      <c r="K37" s="14"/>
    </row>
    <row r="38" spans="2:11" s="16" customFormat="1" ht="11.25">
      <c r="B38" s="14" t="s">
        <v>15</v>
      </c>
      <c r="C38" s="14"/>
      <c r="D38" s="14"/>
      <c r="E38" s="14"/>
      <c r="F38" s="163">
        <v>0.473</v>
      </c>
      <c r="G38" s="14"/>
      <c r="H38" s="14"/>
      <c r="I38" s="14"/>
      <c r="J38" s="14"/>
      <c r="K38" s="14"/>
    </row>
    <row r="39" spans="2:11" s="16" customFormat="1" ht="11.25">
      <c r="B39" s="14"/>
      <c r="C39" s="14" t="str">
        <f>"Customers from "&amp;TEXT($A$14,"mm/yy")&amp;" - "&amp;TEXT($A$22,"mm/yy")</f>
        <v>Customers from 08/18 - 04/19</v>
      </c>
      <c r="D39" s="14"/>
      <c r="E39" s="14"/>
      <c r="F39" s="14">
        <f>+B24</f>
        <v>32831</v>
      </c>
      <c r="G39" s="20" t="s">
        <v>9</v>
      </c>
      <c r="H39" s="14"/>
      <c r="I39" s="14"/>
      <c r="J39" s="14"/>
      <c r="K39" s="14"/>
    </row>
    <row r="40" spans="2:11" s="16" customFormat="1" ht="11.25">
      <c r="B40" s="14"/>
      <c r="C40" s="14" t="s">
        <v>16</v>
      </c>
      <c r="D40" s="14"/>
      <c r="E40" s="14"/>
      <c r="F40" s="21">
        <f>ROUND(F38*F39,0)</f>
        <v>15529</v>
      </c>
      <c r="G40" s="20"/>
      <c r="H40" s="14"/>
      <c r="I40" s="14"/>
      <c r="J40" s="14"/>
      <c r="K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53007</v>
      </c>
      <c r="G42" s="37">
        <f>+F42</f>
        <v>53007</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18</v>
      </c>
      <c r="G45" s="38">
        <f>+G32-G42</f>
        <v>-34724</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
        <v>98</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99</v>
      </c>
      <c r="C50" s="14"/>
      <c r="D50" s="14"/>
      <c r="E50" s="14"/>
      <c r="F50" s="14"/>
      <c r="G50" s="14"/>
      <c r="H50" s="14"/>
      <c r="I50" s="14"/>
      <c r="J50" s="14"/>
      <c r="K50" s="14"/>
    </row>
    <row r="51" spans="2:11" s="16" customFormat="1" ht="11.25">
      <c r="B51" s="14"/>
      <c r="C51" s="14"/>
      <c r="D51" s="14"/>
      <c r="E51" s="14"/>
      <c r="F51" s="32" t="s">
        <v>100</v>
      </c>
      <c r="G51" s="14">
        <f>+J26</f>
        <v>65678</v>
      </c>
      <c r="H51" s="20" t="s">
        <v>12</v>
      </c>
      <c r="I51" s="14"/>
      <c r="J51" s="14"/>
      <c r="K51" s="14"/>
    </row>
    <row r="52" spans="2:11" s="16" customFormat="1" ht="11.25">
      <c r="B52" s="14"/>
      <c r="C52" s="14"/>
      <c r="D52" s="14"/>
      <c r="E52" s="14"/>
      <c r="F52" s="32" t="s">
        <v>18</v>
      </c>
      <c r="G52" s="14">
        <f>+G45</f>
        <v>-34724</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101</v>
      </c>
      <c r="G54" s="39">
        <f>ROUND(G52/G51,3)</f>
        <v>-0.529</v>
      </c>
      <c r="H54" s="14"/>
      <c r="I54" s="23">
        <f>+G54</f>
        <v>-0.529</v>
      </c>
      <c r="J54" s="14"/>
      <c r="K54" s="14"/>
    </row>
    <row r="55" spans="2:25" s="16" customFormat="1" ht="12" thickTop="1">
      <c r="B55" s="14"/>
      <c r="C55" s="14"/>
      <c r="D55" s="14"/>
      <c r="E55" s="14"/>
      <c r="F55" s="32"/>
      <c r="G55" s="14"/>
      <c r="H55" s="14"/>
      <c r="I55" s="23"/>
      <c r="J55" s="14"/>
      <c r="K55" s="14"/>
      <c r="Y55" s="14"/>
    </row>
    <row r="56" spans="2:14" s="16" customFormat="1" ht="11.25">
      <c r="B56" s="14" t="s">
        <v>102</v>
      </c>
      <c r="C56" s="14"/>
      <c r="D56" s="14"/>
      <c r="E56" s="14"/>
      <c r="F56" s="32"/>
      <c r="G56" s="14"/>
      <c r="H56" s="14"/>
      <c r="I56" s="23"/>
      <c r="J56" s="14"/>
      <c r="K56" s="14"/>
      <c r="N56" s="148" t="s">
        <v>89</v>
      </c>
    </row>
    <row r="57" spans="2:14" s="16" customFormat="1" ht="12" thickBot="1">
      <c r="B57" s="31"/>
      <c r="C57" s="14"/>
      <c r="D57" s="14"/>
      <c r="E57" s="14"/>
      <c r="F57" s="32" t="s">
        <v>103</v>
      </c>
      <c r="G57" s="40">
        <f>+F28/Value!$P$18*N57</f>
        <v>0.278</v>
      </c>
      <c r="H57" s="14"/>
      <c r="I57" s="23">
        <f>+G57</f>
        <v>0.278</v>
      </c>
      <c r="J57" s="20" t="s">
        <v>11</v>
      </c>
      <c r="K57" s="14"/>
      <c r="N57" s="149">
        <f>+'[2]WUTC_AW of Kent_MF'!$O$56</f>
        <v>0.5</v>
      </c>
    </row>
    <row r="58" spans="2:25" s="14" customFormat="1" ht="12" thickTop="1">
      <c r="B58" s="31"/>
      <c r="I58" s="23"/>
      <c r="X58" s="16"/>
      <c r="Y58" s="16"/>
    </row>
    <row r="59" spans="2:11" s="16" customFormat="1" ht="12" thickBot="1">
      <c r="B59" s="14"/>
      <c r="C59" s="14"/>
      <c r="D59" s="14"/>
      <c r="E59" s="14"/>
      <c r="F59" s="14"/>
      <c r="G59" s="32" t="s">
        <v>104</v>
      </c>
      <c r="H59" s="27"/>
      <c r="I59" s="39">
        <f>+I54+I57</f>
        <v>-0.251</v>
      </c>
      <c r="J59" s="14"/>
      <c r="K59" s="14"/>
    </row>
    <row r="60" s="16" customFormat="1" ht="12" thickTop="1"/>
    <row r="61" s="16" customFormat="1" ht="11.25"/>
    <row r="62" spans="2:12" s="16" customFormat="1" ht="11.25">
      <c r="B62" s="16" t="s">
        <v>96</v>
      </c>
      <c r="G62" s="137" t="s">
        <v>80</v>
      </c>
      <c r="I62" s="154"/>
      <c r="L62" s="23"/>
    </row>
    <row r="63" spans="1:25" s="14" customFormat="1" ht="11.25">
      <c r="A63" s="115"/>
      <c r="B63" s="35"/>
      <c r="C63" s="35"/>
      <c r="D63" s="112"/>
      <c r="E63" s="35"/>
      <c r="F63" s="112"/>
      <c r="X63" s="16"/>
      <c r="Y63" s="16"/>
    </row>
    <row r="64" spans="1:9" s="16" customFormat="1" ht="11.25">
      <c r="A64" s="115"/>
      <c r="B64" s="35"/>
      <c r="C64" s="117"/>
      <c r="D64" s="112"/>
      <c r="E64" s="112"/>
      <c r="F64" s="112"/>
      <c r="G64" s="137" t="s">
        <v>81</v>
      </c>
      <c r="I64" s="22">
        <f>I62/(G51)</f>
        <v>0</v>
      </c>
    </row>
    <row r="65" spans="1:6" s="16" customFormat="1" ht="11.25">
      <c r="A65" s="115"/>
      <c r="B65" s="35"/>
      <c r="C65" s="35"/>
      <c r="D65" s="112"/>
      <c r="E65" s="112"/>
      <c r="F65" s="112"/>
    </row>
    <row r="66" spans="1:9" s="16" customFormat="1" ht="12" thickBot="1">
      <c r="A66" s="115"/>
      <c r="B66" s="116"/>
      <c r="C66" s="35"/>
      <c r="D66" s="112"/>
      <c r="E66" s="112"/>
      <c r="F66" s="112"/>
      <c r="G66" s="32" t="str">
        <f>$K$22+1&amp;" Net Credit"</f>
        <v>2020 Net Credit</v>
      </c>
      <c r="H66" s="27"/>
      <c r="I66" s="150">
        <f>+I59+I64</f>
        <v>-0.251</v>
      </c>
    </row>
    <row r="67" spans="1:6" s="16" customFormat="1" ht="12" thickTop="1">
      <c r="A67" s="115"/>
      <c r="B67" s="116"/>
      <c r="C67" s="35"/>
      <c r="D67" s="112"/>
      <c r="E67" s="112"/>
      <c r="F67" s="112"/>
    </row>
    <row r="68" spans="1:6" s="16" customFormat="1" ht="11.25">
      <c r="A68" s="115"/>
      <c r="B68" s="116"/>
      <c r="C68" s="35"/>
      <c r="D68" s="112"/>
      <c r="E68" s="112"/>
      <c r="F68" s="112"/>
    </row>
    <row r="69" spans="1:25" s="16" customFormat="1" ht="11.25">
      <c r="A69" s="115"/>
      <c r="B69" s="116"/>
      <c r="C69" s="35"/>
      <c r="D69" s="112"/>
      <c r="E69" s="112"/>
      <c r="F69" s="112"/>
      <c r="Y69" s="14"/>
    </row>
    <row r="70" spans="1:6" s="16" customFormat="1" ht="11.25">
      <c r="A70" s="115"/>
      <c r="B70" s="116"/>
      <c r="C70" s="35"/>
      <c r="D70" s="112"/>
      <c r="E70" s="112"/>
      <c r="F70" s="112"/>
    </row>
    <row r="71" spans="1:6" s="16" customFormat="1" ht="11.25">
      <c r="A71" s="115"/>
      <c r="B71" s="116"/>
      <c r="C71" s="35"/>
      <c r="D71" s="112"/>
      <c r="E71" s="112"/>
      <c r="F71" s="112"/>
    </row>
    <row r="72" spans="1:6" s="16" customFormat="1" ht="11.25">
      <c r="A72" s="115"/>
      <c r="B72" s="116"/>
      <c r="C72" s="35"/>
      <c r="D72" s="112"/>
      <c r="E72" s="112"/>
      <c r="F72" s="112"/>
    </row>
    <row r="73" spans="1:27" s="16" customFormat="1" ht="11.25">
      <c r="A73" s="115"/>
      <c r="B73" s="116"/>
      <c r="C73" s="35"/>
      <c r="D73" s="112"/>
      <c r="E73" s="118"/>
      <c r="F73" s="112"/>
      <c r="G73" s="14"/>
      <c r="H73" s="13"/>
      <c r="I73" s="14"/>
      <c r="J73" s="14"/>
      <c r="K73" s="13"/>
      <c r="L73" s="14"/>
      <c r="M73" s="14"/>
      <c r="N73" s="14"/>
      <c r="O73" s="14"/>
      <c r="P73" s="14"/>
      <c r="Q73" s="14"/>
      <c r="R73" s="14"/>
      <c r="S73" s="14"/>
      <c r="T73" s="14"/>
      <c r="U73" s="14"/>
      <c r="V73" s="13"/>
      <c r="W73" s="14"/>
      <c r="AA73" s="14"/>
    </row>
    <row r="74" spans="1:6" s="16" customFormat="1" ht="11.25">
      <c r="A74" s="115"/>
      <c r="B74" s="116"/>
      <c r="C74" s="35"/>
      <c r="D74" s="112"/>
      <c r="E74" s="112"/>
      <c r="F74" s="112"/>
    </row>
    <row r="75" spans="1:6" s="16" customFormat="1" ht="11.25">
      <c r="A75" s="115"/>
      <c r="B75" s="35"/>
      <c r="C75" s="35"/>
      <c r="D75" s="112"/>
      <c r="E75" s="112"/>
      <c r="F75" s="112"/>
    </row>
    <row r="76" spans="1:6" s="16" customFormat="1" ht="11.25">
      <c r="A76" s="115"/>
      <c r="B76" s="35"/>
      <c r="C76" s="117"/>
      <c r="D76" s="112"/>
      <c r="E76" s="112"/>
      <c r="F76" s="112"/>
    </row>
    <row r="77" spans="1:6" s="16" customFormat="1" ht="12.75">
      <c r="A77" s="119"/>
      <c r="B77" s="119"/>
      <c r="C77" s="119"/>
      <c r="D77" s="120"/>
      <c r="E77" s="112"/>
      <c r="F77" s="119"/>
    </row>
    <row r="78" spans="1:25" s="16" customFormat="1" ht="11.25">
      <c r="A78" s="121"/>
      <c r="B78" s="35"/>
      <c r="C78" s="117"/>
      <c r="D78" s="112"/>
      <c r="E78" s="112"/>
      <c r="F78" s="122"/>
      <c r="Y78" s="14"/>
    </row>
    <row r="79" s="16" customFormat="1" ht="11.25"/>
    <row r="80" s="16" customFormat="1" ht="11.25"/>
    <row r="81" s="16" customFormat="1" ht="11.25"/>
    <row r="82" s="16" customFormat="1" ht="11.25">
      <c r="B82" s="8"/>
    </row>
    <row r="83" spans="2:25" s="14" customFormat="1" ht="11.25">
      <c r="B83" s="31"/>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56"/>
      <c r="I97" s="56"/>
      <c r="J97" s="56"/>
      <c r="L97" s="56"/>
      <c r="M97" s="56"/>
      <c r="N97" s="56"/>
      <c r="O97" s="56"/>
      <c r="P97" s="56"/>
      <c r="Q97" s="56"/>
      <c r="R97" s="56"/>
      <c r="S97" s="56"/>
      <c r="T97" s="56"/>
      <c r="U97" s="56"/>
      <c r="V97" s="56"/>
      <c r="W97" s="56"/>
      <c r="X97" s="56"/>
      <c r="Y97" s="56"/>
      <c r="AA97" s="5"/>
    </row>
    <row r="98" s="16" customFormat="1" ht="12.75">
      <c r="AA98" s="5"/>
    </row>
    <row r="99" spans="7:27" s="16" customFormat="1" ht="13.5" thickBot="1">
      <c r="G99" s="57"/>
      <c r="I99" s="57"/>
      <c r="J99" s="57"/>
      <c r="L99" s="57"/>
      <c r="M99" s="57"/>
      <c r="N99" s="57"/>
      <c r="O99" s="57"/>
      <c r="P99" s="57"/>
      <c r="Q99" s="57"/>
      <c r="R99" s="57"/>
      <c r="S99" s="57"/>
      <c r="T99" s="57"/>
      <c r="U99" s="57"/>
      <c r="V99" s="57"/>
      <c r="W99" s="57"/>
      <c r="X99" s="57"/>
      <c r="Y99" s="57"/>
      <c r="AA99" s="5"/>
    </row>
    <row r="100" ht="13.5" thickTop="1"/>
    <row r="101" spans="23:25" ht="12.75">
      <c r="W101" s="58"/>
      <c r="X101" s="58"/>
      <c r="Y101" s="58"/>
    </row>
    <row r="102" spans="23:27" ht="12.75">
      <c r="W102" s="58"/>
      <c r="AA102" s="58"/>
    </row>
  </sheetData>
  <sheetProtection/>
  <printOptions horizontalCentered="1"/>
  <pageMargins left="0" right="0" top="0.52" bottom="0.44" header="0" footer="0"/>
  <pageSetup fitToHeight="1" fitToWidth="1" orientation="portrait" scale="75"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O6" sqref="O6"/>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46</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33</v>
      </c>
      <c r="F5" s="63" t="s">
        <v>23</v>
      </c>
      <c r="G5" s="63" t="s">
        <v>24</v>
      </c>
      <c r="H5" s="63" t="s">
        <v>25</v>
      </c>
      <c r="I5" s="63" t="s">
        <v>26</v>
      </c>
      <c r="J5" s="63" t="s">
        <v>27</v>
      </c>
      <c r="K5" s="63" t="s">
        <v>28</v>
      </c>
      <c r="L5" s="63" t="s">
        <v>29</v>
      </c>
      <c r="M5" s="63" t="s">
        <v>30</v>
      </c>
      <c r="O5" s="73" t="s">
        <v>30</v>
      </c>
      <c r="P5" s="63" t="s">
        <v>92</v>
      </c>
    </row>
    <row r="6" spans="1:17" ht="15.75" customHeight="1">
      <c r="A6" s="65">
        <f>+Pricing!A6</f>
        <v>43221</v>
      </c>
      <c r="B6" s="66"/>
      <c r="C6" s="71">
        <f>'Commodity Tonnages'!C6*Pricing!C6</f>
        <v>2799.6003899999996</v>
      </c>
      <c r="D6" s="74">
        <f>'Commodity Tonnages'!D6*Pricing!D6</f>
        <v>-1539.5084889600002</v>
      </c>
      <c r="E6" s="74">
        <f>'Commodity Tonnages'!E6*Pricing!E6</f>
        <v>0</v>
      </c>
      <c r="F6" s="74">
        <f>'Commodity Tonnages'!F6*Pricing!F6</f>
        <v>515.5494432</v>
      </c>
      <c r="G6" s="74">
        <f>'Commodity Tonnages'!G6*Pricing!G6</f>
        <v>0</v>
      </c>
      <c r="H6" s="74">
        <f>'Commodity Tonnages'!H6*Pricing!H6</f>
        <v>-2549.34504576</v>
      </c>
      <c r="I6" s="74">
        <f>'Commodity Tonnages'!I6*Pricing!I6</f>
        <v>777.5337130800001</v>
      </c>
      <c r="J6" s="74">
        <f>'Commodity Tonnages'!J6*Pricing!J6</f>
        <v>777.5337130800001</v>
      </c>
      <c r="K6" s="74">
        <f>'Commodity Tonnages'!K6*Pricing!K6</f>
        <v>2673.39460608</v>
      </c>
      <c r="L6" s="74">
        <f>'Commodity Tonnages'!L6*Pricing!L6</f>
        <v>-2751.2747826400064</v>
      </c>
      <c r="M6" s="129">
        <f>SUM(C6:L6)</f>
        <v>703.4835480799929</v>
      </c>
      <c r="O6" s="98">
        <f>M6*P6</f>
        <v>351.74177403999647</v>
      </c>
      <c r="P6" s="160">
        <v>0.5</v>
      </c>
      <c r="Q6" s="153"/>
    </row>
    <row r="7" spans="1:17" ht="15.75" customHeight="1">
      <c r="A7" s="65">
        <f>+Pricing!A7</f>
        <v>43281</v>
      </c>
      <c r="B7" s="66"/>
      <c r="C7" s="71">
        <f>'Commodity Tonnages'!C7*Pricing!C7</f>
        <v>2574.5778149999996</v>
      </c>
      <c r="D7" s="74">
        <f>'Commodity Tonnages'!D7*Pricing!D7</f>
        <v>-1037.3158328</v>
      </c>
      <c r="E7" s="74">
        <f>'Commodity Tonnages'!E7*Pricing!E7</f>
        <v>0</v>
      </c>
      <c r="F7" s="74">
        <f>'Commodity Tonnages'!F7*Pricing!F7</f>
        <v>470.9853885</v>
      </c>
      <c r="G7" s="74">
        <f>'Commodity Tonnages'!G7*Pricing!G7</f>
        <v>0</v>
      </c>
      <c r="H7" s="74">
        <f>'Commodity Tonnages'!H7*Pricing!H7</f>
        <v>317.00512000000003</v>
      </c>
      <c r="I7" s="74">
        <f>'Commodity Tonnages'!I7*Pricing!I7</f>
        <v>605.6411033999999</v>
      </c>
      <c r="J7" s="74">
        <f>'Commodity Tonnages'!J7*Pricing!J7</f>
        <v>605.6411033999999</v>
      </c>
      <c r="K7" s="74">
        <f>'Commodity Tonnages'!K7*Pricing!K7</f>
        <v>3285.2483334</v>
      </c>
      <c r="L7" s="74">
        <f>'Commodity Tonnages'!L7*Pricing!L7</f>
        <v>-2447.8300529000053</v>
      </c>
      <c r="M7" s="129">
        <f aca="true" t="shared" si="0" ref="M7:M17">SUM(C7:L7)</f>
        <v>4373.952977999994</v>
      </c>
      <c r="O7" s="98">
        <f aca="true" t="shared" si="1" ref="O7:O17">M7*P7</f>
        <v>2186.976488999997</v>
      </c>
      <c r="P7" s="160">
        <v>0.5</v>
      </c>
      <c r="Q7" s="153"/>
    </row>
    <row r="8" spans="1:17" ht="15.75" customHeight="1">
      <c r="A8" s="65">
        <f>+Pricing!A8</f>
        <v>43312</v>
      </c>
      <c r="B8" s="66"/>
      <c r="C8" s="71">
        <f>'Commodity Tonnages'!C8*Pricing!C8</f>
        <v>2717.3596560000005</v>
      </c>
      <c r="D8" s="74">
        <f>'Commodity Tonnages'!D8*Pricing!D8</f>
        <v>-214.70082816000004</v>
      </c>
      <c r="E8" s="74">
        <f>'Commodity Tonnages'!E8*Pricing!E8</f>
        <v>0</v>
      </c>
      <c r="F8" s="74">
        <f>'Commodity Tonnages'!F8*Pricing!F8</f>
        <v>511.0869984000001</v>
      </c>
      <c r="G8" s="74">
        <f>'Commodity Tonnages'!G8*Pricing!G8</f>
        <v>0</v>
      </c>
      <c r="H8" s="74">
        <f>'Commodity Tonnages'!H8*Pricing!H8</f>
        <v>736.5797427200002</v>
      </c>
      <c r="I8" s="74">
        <f>'Commodity Tonnages'!I8*Pricing!I8</f>
        <v>834.1449441600001</v>
      </c>
      <c r="J8" s="74">
        <f>'Commodity Tonnages'!J8*Pricing!J8</f>
        <v>834.1449441600001</v>
      </c>
      <c r="K8" s="74">
        <f>'Commodity Tonnages'!K8*Pricing!K8</f>
        <v>4144.957090559999</v>
      </c>
      <c r="L8" s="74">
        <f>'Commodity Tonnages'!L8*Pricing!L8</f>
        <v>-2714.880569920006</v>
      </c>
      <c r="M8" s="129">
        <f t="shared" si="0"/>
        <v>6848.691977919994</v>
      </c>
      <c r="O8" s="98">
        <f t="shared" si="1"/>
        <v>3424.345988959997</v>
      </c>
      <c r="P8" s="160">
        <v>0.5</v>
      </c>
      <c r="Q8" s="153"/>
    </row>
    <row r="9" spans="1:17" ht="15.75" customHeight="1">
      <c r="A9" s="65">
        <f>+Pricing!A9</f>
        <v>43343</v>
      </c>
      <c r="B9" s="66"/>
      <c r="C9" s="71">
        <f>'Commodity Tonnages'!C9*Pricing!C9</f>
        <v>2816.17709175</v>
      </c>
      <c r="D9" s="74">
        <f>'Commodity Tonnages'!D9*Pricing!D9</f>
        <v>46.12220496</v>
      </c>
      <c r="E9" s="74">
        <f>'Commodity Tonnages'!E9*Pricing!E9</f>
        <v>0</v>
      </c>
      <c r="F9" s="74">
        <f>'Commodity Tonnages'!F9*Pricing!F9</f>
        <v>359.76567825</v>
      </c>
      <c r="G9" s="74">
        <f>'Commodity Tonnages'!G9*Pricing!G9</f>
        <v>0</v>
      </c>
      <c r="H9" s="74">
        <f>'Commodity Tonnages'!H9*Pricing!H9</f>
        <v>1534.0187836799998</v>
      </c>
      <c r="I9" s="74">
        <f>'Commodity Tonnages'!I9*Pricing!I9</f>
        <v>1333.55929725</v>
      </c>
      <c r="J9" s="74">
        <f>'Commodity Tonnages'!J9*Pricing!J9</f>
        <v>1333.55929725</v>
      </c>
      <c r="K9" s="74">
        <f>'Commodity Tonnages'!K9*Pricing!K9</f>
        <v>3809.4561014399997</v>
      </c>
      <c r="L9" s="74">
        <f>'Commodity Tonnages'!L9*Pricing!L9</f>
        <v>-2813.607853110006</v>
      </c>
      <c r="M9" s="129">
        <f>SUM(C9:L9)</f>
        <v>8419.050601469993</v>
      </c>
      <c r="O9" s="98">
        <f t="shared" si="1"/>
        <v>4209.525300734997</v>
      </c>
      <c r="P9" s="160">
        <v>0.5</v>
      </c>
      <c r="Q9" s="153"/>
    </row>
    <row r="10" spans="1:17" ht="15.75" customHeight="1">
      <c r="A10" s="65">
        <f>+Pricing!A10</f>
        <v>43373</v>
      </c>
      <c r="B10" s="66"/>
      <c r="C10" s="71">
        <f>'Commodity Tonnages'!C10*Pricing!C10</f>
        <v>2192.4214365000003</v>
      </c>
      <c r="D10" s="74">
        <f>'Commodity Tonnages'!D10*Pricing!D10</f>
        <v>-803.8844413600001</v>
      </c>
      <c r="E10" s="74">
        <f>'Commodity Tonnages'!E10*Pricing!E10</f>
        <v>0</v>
      </c>
      <c r="F10" s="74">
        <f>'Commodity Tonnages'!F10*Pricing!F10</f>
        <v>357.1676377500001</v>
      </c>
      <c r="G10" s="74">
        <f>'Commodity Tonnages'!G10*Pricing!G10</f>
        <v>0</v>
      </c>
      <c r="H10" s="74">
        <f>'Commodity Tonnages'!H10*Pricing!H10</f>
        <v>4320.5777168</v>
      </c>
      <c r="I10" s="74">
        <f>'Commodity Tonnages'!I10*Pricing!I10</f>
        <v>550.015474465</v>
      </c>
      <c r="J10" s="74">
        <f>'Commodity Tonnages'!J10*Pricing!J10</f>
        <v>550.015474465</v>
      </c>
      <c r="K10" s="74">
        <f>'Commodity Tonnages'!K10*Pricing!K10</f>
        <v>3536.1903753</v>
      </c>
      <c r="L10" s="74">
        <f>'Commodity Tonnages'!L10*Pricing!L10</f>
        <v>-2480.4731077300057</v>
      </c>
      <c r="M10" s="129">
        <f t="shared" si="0"/>
        <v>8222.030566189995</v>
      </c>
      <c r="O10" s="98">
        <f t="shared" si="1"/>
        <v>4111.015283094997</v>
      </c>
      <c r="P10" s="160">
        <v>0.5</v>
      </c>
      <c r="Q10" s="153"/>
    </row>
    <row r="11" spans="1:17" ht="15.75" customHeight="1">
      <c r="A11" s="65">
        <f>+Pricing!A11</f>
        <v>43404</v>
      </c>
      <c r="B11" s="66"/>
      <c r="C11" s="71">
        <f>'Commodity Tonnages'!C11*Pricing!C11</f>
        <v>2061.54112875</v>
      </c>
      <c r="D11" s="74">
        <f>'Commodity Tonnages'!D11*Pricing!D11</f>
        <v>-882.2610836000002</v>
      </c>
      <c r="E11" s="74">
        <f>'Commodity Tonnages'!E11*Pricing!E11</f>
        <v>0</v>
      </c>
      <c r="F11" s="74">
        <f>'Commodity Tonnages'!F11*Pricing!F11</f>
        <v>386.15251950000004</v>
      </c>
      <c r="G11" s="74">
        <f>'Commodity Tonnages'!G11*Pricing!G11</f>
        <v>0</v>
      </c>
      <c r="H11" s="74">
        <f>'Commodity Tonnages'!H11*Pricing!H11</f>
        <v>3986.7241416000006</v>
      </c>
      <c r="I11" s="74">
        <f>'Commodity Tonnages'!I11*Pricing!I11</f>
        <v>505.77786845000014</v>
      </c>
      <c r="J11" s="74">
        <f>'Commodity Tonnages'!J11*Pricing!J11</f>
        <v>505.77786845000014</v>
      </c>
      <c r="K11" s="74">
        <f>'Commodity Tonnages'!K11*Pricing!K11</f>
        <v>3823.7101056000006</v>
      </c>
      <c r="L11" s="74">
        <f>'Commodity Tonnages'!L11*Pricing!L11</f>
        <v>-2389.1683284500054</v>
      </c>
      <c r="M11" s="129">
        <f t="shared" si="0"/>
        <v>7998.254220299996</v>
      </c>
      <c r="O11" s="98">
        <f t="shared" si="1"/>
        <v>3999.127110149998</v>
      </c>
      <c r="P11" s="160">
        <v>0.5</v>
      </c>
      <c r="Q11" s="153"/>
    </row>
    <row r="12" spans="1:17" ht="15.75" customHeight="1">
      <c r="A12" s="65">
        <f>+Pricing!A12</f>
        <v>43434</v>
      </c>
      <c r="B12" s="66"/>
      <c r="C12" s="71">
        <f>'Commodity Tonnages'!C12*Pricing!C12</f>
        <v>0</v>
      </c>
      <c r="D12" s="74">
        <f>'Commodity Tonnages'!D12*Pricing!D12</f>
        <v>0</v>
      </c>
      <c r="E12" s="74">
        <f>'Commodity Tonnages'!E12*Pricing!E12</f>
        <v>0</v>
      </c>
      <c r="F12" s="74">
        <f>'Commodity Tonnages'!F12*Pricing!F12</f>
        <v>0</v>
      </c>
      <c r="G12" s="74">
        <f>'Commodity Tonnages'!G12*Pricing!G12</f>
        <v>0</v>
      </c>
      <c r="H12" s="74">
        <f>'Commodity Tonnages'!H12*Pricing!H12</f>
        <v>0</v>
      </c>
      <c r="I12" s="74">
        <f>'Commodity Tonnages'!I12*Pricing!I12</f>
        <v>0</v>
      </c>
      <c r="J12" s="74">
        <f>'Commodity Tonnages'!J12*Pricing!J12</f>
        <v>0</v>
      </c>
      <c r="K12" s="74">
        <f>'Commodity Tonnages'!K12*Pricing!K12</f>
        <v>0</v>
      </c>
      <c r="L12" s="74">
        <f>'Commodity Tonnages'!L12*Pricing!L12</f>
        <v>0</v>
      </c>
      <c r="M12" s="129">
        <f t="shared" si="0"/>
        <v>0</v>
      </c>
      <c r="O12" s="98">
        <f t="shared" si="1"/>
        <v>0</v>
      </c>
      <c r="P12" s="160">
        <v>0.5</v>
      </c>
      <c r="Q12" s="153"/>
    </row>
    <row r="13" spans="1:17" ht="15.75" customHeight="1">
      <c r="A13" s="65">
        <f>+Pricing!A13</f>
        <v>43465</v>
      </c>
      <c r="B13" s="66"/>
      <c r="C13" s="71">
        <f>'Commodity Tonnages'!C13*Pricing!C13</f>
        <v>0</v>
      </c>
      <c r="D13" s="74">
        <f>'Commodity Tonnages'!D13*Pricing!D13</f>
        <v>0</v>
      </c>
      <c r="E13" s="74">
        <f>'Commodity Tonnages'!E13*Pricing!E13</f>
        <v>0</v>
      </c>
      <c r="F13" s="74">
        <f>'Commodity Tonnages'!F13*Pricing!F13</f>
        <v>0</v>
      </c>
      <c r="G13" s="74">
        <f>'Commodity Tonnages'!G13*Pricing!G13</f>
        <v>0</v>
      </c>
      <c r="H13" s="74">
        <f>'Commodity Tonnages'!H13*Pricing!H13</f>
        <v>0</v>
      </c>
      <c r="I13" s="74">
        <f>'Commodity Tonnages'!I13*Pricing!I13</f>
        <v>0</v>
      </c>
      <c r="J13" s="74">
        <f>'Commodity Tonnages'!J13*Pricing!J13</f>
        <v>0</v>
      </c>
      <c r="K13" s="74">
        <f>'Commodity Tonnages'!K13*Pricing!K13</f>
        <v>0</v>
      </c>
      <c r="L13" s="74">
        <f>'Commodity Tonnages'!L13*Pricing!L13</f>
        <v>0</v>
      </c>
      <c r="M13" s="129">
        <f t="shared" si="0"/>
        <v>0</v>
      </c>
      <c r="O13" s="98">
        <f t="shared" si="1"/>
        <v>0</v>
      </c>
      <c r="P13" s="160">
        <v>0.5</v>
      </c>
      <c r="Q13" s="153"/>
    </row>
    <row r="14" spans="1:17" ht="15.75" customHeight="1">
      <c r="A14" s="65">
        <f>+Pricing!A14</f>
        <v>43496</v>
      </c>
      <c r="B14" s="66"/>
      <c r="C14" s="71">
        <f>'Commodity Tonnages'!C14*Pricing!C14</f>
        <v>0</v>
      </c>
      <c r="D14" s="74">
        <f>'Commodity Tonnages'!D14*Pricing!D14</f>
        <v>0</v>
      </c>
      <c r="E14" s="74">
        <f>'Commodity Tonnages'!E14*Pricing!E14</f>
        <v>0</v>
      </c>
      <c r="F14" s="74">
        <f>'Commodity Tonnages'!F14*Pricing!F14</f>
        <v>0</v>
      </c>
      <c r="G14" s="74">
        <f>'Commodity Tonnages'!G14*Pricing!G14</f>
        <v>0</v>
      </c>
      <c r="H14" s="74">
        <f>'Commodity Tonnages'!H14*Pricing!H14</f>
        <v>0</v>
      </c>
      <c r="I14" s="74">
        <f>'Commodity Tonnages'!I14*Pricing!I14</f>
        <v>0</v>
      </c>
      <c r="J14" s="74">
        <f>'Commodity Tonnages'!J14*Pricing!J14</f>
        <v>0</v>
      </c>
      <c r="K14" s="74">
        <f>'Commodity Tonnages'!K14*Pricing!K14</f>
        <v>0</v>
      </c>
      <c r="L14" s="74">
        <f>'Commodity Tonnages'!L14*Pricing!L14</f>
        <v>0</v>
      </c>
      <c r="M14" s="129">
        <f t="shared" si="0"/>
        <v>0</v>
      </c>
      <c r="O14" s="98">
        <f t="shared" si="1"/>
        <v>0</v>
      </c>
      <c r="P14" s="160">
        <v>0.5</v>
      </c>
      <c r="Q14" s="153"/>
    </row>
    <row r="15" spans="1:17" ht="15.75" customHeight="1">
      <c r="A15" s="65">
        <f>+Pricing!A15</f>
        <v>43524</v>
      </c>
      <c r="B15" s="66"/>
      <c r="C15" s="71">
        <f>'Commodity Tonnages'!C15*Pricing!C15</f>
        <v>0</v>
      </c>
      <c r="D15" s="74">
        <f>'Commodity Tonnages'!D15*Pricing!D15</f>
        <v>0</v>
      </c>
      <c r="E15" s="74">
        <f>'Commodity Tonnages'!E15*Pricing!E15</f>
        <v>0</v>
      </c>
      <c r="F15" s="74">
        <f>'Commodity Tonnages'!F15*Pricing!F15</f>
        <v>0</v>
      </c>
      <c r="G15" s="74">
        <f>'Commodity Tonnages'!G15*Pricing!G15</f>
        <v>0</v>
      </c>
      <c r="H15" s="74">
        <f>'Commodity Tonnages'!H15*Pricing!H15</f>
        <v>0</v>
      </c>
      <c r="I15" s="74">
        <f>'Commodity Tonnages'!I15*Pricing!I15</f>
        <v>0</v>
      </c>
      <c r="J15" s="74">
        <f>'Commodity Tonnages'!J15*Pricing!J15</f>
        <v>0</v>
      </c>
      <c r="K15" s="74">
        <f>'Commodity Tonnages'!K15*Pricing!K15</f>
        <v>0</v>
      </c>
      <c r="L15" s="74">
        <f>'Commodity Tonnages'!L15*Pricing!L15</f>
        <v>0</v>
      </c>
      <c r="M15" s="129">
        <f t="shared" si="0"/>
        <v>0</v>
      </c>
      <c r="O15" s="98">
        <f t="shared" si="1"/>
        <v>0</v>
      </c>
      <c r="P15" s="160">
        <v>0.5</v>
      </c>
      <c r="Q15" s="153"/>
    </row>
    <row r="16" spans="1:17" ht="15.75" customHeight="1">
      <c r="A16" s="65">
        <f>+Pricing!A16</f>
        <v>43555</v>
      </c>
      <c r="B16" s="66"/>
      <c r="C16" s="71">
        <f>'Commodity Tonnages'!C16*Pricing!C16</f>
        <v>0</v>
      </c>
      <c r="D16" s="74">
        <f>'Commodity Tonnages'!D16*Pricing!D16</f>
        <v>0</v>
      </c>
      <c r="E16" s="74">
        <f>'Commodity Tonnages'!E16*Pricing!E16</f>
        <v>0</v>
      </c>
      <c r="F16" s="74">
        <f>'Commodity Tonnages'!F16*Pricing!F16</f>
        <v>0</v>
      </c>
      <c r="G16" s="74">
        <f>'Commodity Tonnages'!G16*Pricing!G16</f>
        <v>0</v>
      </c>
      <c r="H16" s="74">
        <f>'Commodity Tonnages'!H16*Pricing!H16</f>
        <v>0</v>
      </c>
      <c r="I16" s="74">
        <f>'Commodity Tonnages'!I16*Pricing!I16</f>
        <v>0</v>
      </c>
      <c r="J16" s="74">
        <f>'Commodity Tonnages'!J16*Pricing!J16</f>
        <v>0</v>
      </c>
      <c r="K16" s="74">
        <f>'Commodity Tonnages'!K16*Pricing!K16</f>
        <v>0</v>
      </c>
      <c r="L16" s="74">
        <f>'Commodity Tonnages'!L16*Pricing!L16</f>
        <v>0</v>
      </c>
      <c r="M16" s="129">
        <f t="shared" si="0"/>
        <v>0</v>
      </c>
      <c r="O16" s="98">
        <f t="shared" si="1"/>
        <v>0</v>
      </c>
      <c r="P16" s="160">
        <v>0.5</v>
      </c>
      <c r="Q16" s="153"/>
    </row>
    <row r="17" spans="1:17" ht="15.75" customHeight="1">
      <c r="A17" s="65">
        <f>+Pricing!A17</f>
        <v>43585</v>
      </c>
      <c r="B17" s="66"/>
      <c r="C17" s="71">
        <f>'Commodity Tonnages'!C17*Pricing!C17</f>
        <v>0</v>
      </c>
      <c r="D17" s="74">
        <f>'Commodity Tonnages'!D17*Pricing!D17</f>
        <v>0</v>
      </c>
      <c r="E17" s="74">
        <f>'Commodity Tonnages'!E17*Pricing!E17</f>
        <v>0</v>
      </c>
      <c r="F17" s="74">
        <f>'Commodity Tonnages'!F17*Pricing!F17</f>
        <v>0</v>
      </c>
      <c r="G17" s="74">
        <f>'Commodity Tonnages'!G17*Pricing!G17</f>
        <v>0</v>
      </c>
      <c r="H17" s="74">
        <f>'Commodity Tonnages'!H17*Pricing!H17</f>
        <v>0</v>
      </c>
      <c r="I17" s="74">
        <f>'Commodity Tonnages'!I17*Pricing!I17</f>
        <v>0</v>
      </c>
      <c r="J17" s="74">
        <f>'Commodity Tonnages'!J17*Pricing!J17</f>
        <v>0</v>
      </c>
      <c r="K17" s="74">
        <f>'Commodity Tonnages'!K17*Pricing!K17</f>
        <v>0</v>
      </c>
      <c r="L17" s="74">
        <f>'Commodity Tonnages'!L17*Pricing!L17</f>
        <v>0</v>
      </c>
      <c r="M17" s="129">
        <f t="shared" si="0"/>
        <v>0</v>
      </c>
      <c r="O17" s="98">
        <f t="shared" si="1"/>
        <v>0</v>
      </c>
      <c r="P17" s="160">
        <v>0.5</v>
      </c>
      <c r="Q17" s="153"/>
    </row>
    <row r="18" spans="1:16" ht="15.75" customHeight="1">
      <c r="A18" s="69" t="s">
        <v>32</v>
      </c>
      <c r="B18" s="66"/>
      <c r="C18" s="130">
        <f aca="true" t="shared" si="2" ref="C18:L18">SUM(C6:C17)</f>
        <v>15161.677518</v>
      </c>
      <c r="D18" s="131">
        <f t="shared" si="2"/>
        <v>-4431.548469920001</v>
      </c>
      <c r="E18" s="131">
        <f t="shared" si="2"/>
        <v>0</v>
      </c>
      <c r="F18" s="130">
        <f t="shared" si="2"/>
        <v>2600.7076656000004</v>
      </c>
      <c r="G18" s="130">
        <f t="shared" si="2"/>
        <v>0</v>
      </c>
      <c r="H18" s="130">
        <f t="shared" si="2"/>
        <v>8345.56045904</v>
      </c>
      <c r="I18" s="130">
        <f t="shared" si="2"/>
        <v>4606.6724008050005</v>
      </c>
      <c r="J18" s="130">
        <f t="shared" si="2"/>
        <v>4606.6724008050005</v>
      </c>
      <c r="K18" s="130">
        <f t="shared" si="2"/>
        <v>21272.95661238</v>
      </c>
      <c r="L18" s="131">
        <f t="shared" si="2"/>
        <v>-15597.234694750035</v>
      </c>
      <c r="M18" s="132">
        <f>SUM(C18:L18)</f>
        <v>36565.46389195997</v>
      </c>
      <c r="O18" s="133">
        <f>SUM(O6:O17)</f>
        <v>18282.731945979984</v>
      </c>
      <c r="P18" s="138">
        <f>+O18/M18</f>
        <v>0.5</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C6" sqref="C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2018 through April 2019)</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28">
        <f>'Single Family'!$C$6</f>
        <v>43221</v>
      </c>
      <c r="B6" s="66" t="s">
        <v>67</v>
      </c>
      <c r="C6" s="108">
        <f>'Single Family'!C32</f>
        <v>2.5854</v>
      </c>
      <c r="D6" s="109">
        <f>'Single Family'!C34</f>
        <v>60.94649600000001</v>
      </c>
      <c r="E6" s="108">
        <f>'Single Family'!C35</f>
        <v>0</v>
      </c>
      <c r="F6" s="108">
        <f>'Single Family'!C30</f>
        <v>5.687880000000001</v>
      </c>
      <c r="G6" s="108">
        <f>'Single Family'!C27</f>
        <v>0</v>
      </c>
      <c r="H6" s="108">
        <f>'Single Family'!C37</f>
        <v>178.15129600000003</v>
      </c>
      <c r="I6" s="108">
        <f>'Single Family'!C31/2</f>
        <v>7.738964000000001</v>
      </c>
      <c r="J6" s="108">
        <f>'Single Family'!C31/2</f>
        <v>7.738964000000001</v>
      </c>
      <c r="K6" s="108">
        <f>'Single Family'!C28</f>
        <v>61.429104</v>
      </c>
      <c r="L6" s="108">
        <f>'Single Family'!C36</f>
        <v>20.441896000000046</v>
      </c>
      <c r="M6" s="64"/>
      <c r="N6" s="134">
        <f aca="true" t="shared" si="0" ref="N6:N17">SUM(C6:L6)</f>
        <v>344.7200000000001</v>
      </c>
      <c r="O6" s="75"/>
      <c r="P6" s="68"/>
    </row>
    <row r="7" spans="1:16" ht="15.75" customHeight="1">
      <c r="A7" s="65">
        <f aca="true" t="shared" si="1" ref="A7:A17">EOMONTH(A6,1)</f>
        <v>43281</v>
      </c>
      <c r="B7" s="66" t="s">
        <v>68</v>
      </c>
      <c r="C7" s="108">
        <f>'Single Family'!D32</f>
        <v>2.3002499999999997</v>
      </c>
      <c r="D7" s="109">
        <f>'Single Family'!D34</f>
        <v>54.224560000000004</v>
      </c>
      <c r="E7" s="108">
        <f>'Single Family'!D35</f>
        <v>0</v>
      </c>
      <c r="F7" s="108">
        <f>'Single Family'!D30</f>
        <v>5.06055</v>
      </c>
      <c r="G7" s="108">
        <f>'Single Family'!D27</f>
        <v>0</v>
      </c>
      <c r="H7" s="108">
        <f>'Single Family'!D37</f>
        <v>158.50256000000002</v>
      </c>
      <c r="I7" s="108">
        <f>'Single Family'!D31/2</f>
        <v>6.885415</v>
      </c>
      <c r="J7" s="108">
        <f>'Single Family'!D31/2</f>
        <v>6.885415</v>
      </c>
      <c r="K7" s="108">
        <f>'Single Family'!D28</f>
        <v>54.65394</v>
      </c>
      <c r="L7" s="108">
        <f>'Single Family'!D36</f>
        <v>18.18731000000004</v>
      </c>
      <c r="M7" s="64"/>
      <c r="N7" s="134">
        <f t="shared" si="0"/>
        <v>306.70000000000005</v>
      </c>
      <c r="P7" s="68"/>
    </row>
    <row r="8" spans="1:16" ht="15.75" customHeight="1">
      <c r="A8" s="65">
        <f t="shared" si="1"/>
        <v>43312</v>
      </c>
      <c r="B8" s="66" t="s">
        <v>69</v>
      </c>
      <c r="C8" s="108">
        <f>'Single Family'!E32</f>
        <v>2.5512</v>
      </c>
      <c r="D8" s="109">
        <f>'Single Family'!E34</f>
        <v>60.140288000000005</v>
      </c>
      <c r="E8" s="108">
        <f>'Single Family'!E35</f>
        <v>0</v>
      </c>
      <c r="F8" s="108">
        <f>'Single Family'!E30</f>
        <v>5.612640000000001</v>
      </c>
      <c r="G8" s="108">
        <f>'Single Family'!E27</f>
        <v>0</v>
      </c>
      <c r="H8" s="108">
        <f>'Single Family'!E37</f>
        <v>175.79468800000004</v>
      </c>
      <c r="I8" s="108">
        <f>'Single Family'!E31/2</f>
        <v>7.636592000000001</v>
      </c>
      <c r="J8" s="108">
        <f>'Single Family'!E31/2</f>
        <v>7.636592000000001</v>
      </c>
      <c r="K8" s="108">
        <f>'Single Family'!E28</f>
        <v>60.616512</v>
      </c>
      <c r="L8" s="108">
        <f>'Single Family'!E36</f>
        <v>20.171488000000046</v>
      </c>
      <c r="M8" s="64"/>
      <c r="N8" s="134">
        <f t="shared" si="0"/>
        <v>340.16000000000014</v>
      </c>
      <c r="P8" s="68"/>
    </row>
    <row r="9" spans="1:16" ht="15.75" customHeight="1">
      <c r="A9" s="65">
        <f t="shared" si="1"/>
        <v>43343</v>
      </c>
      <c r="B9" s="66" t="s">
        <v>70</v>
      </c>
      <c r="C9" s="108">
        <f>'Single Family'!F32</f>
        <v>2.6439749999999997</v>
      </c>
      <c r="D9" s="109">
        <f>'Single Family'!F34</f>
        <v>62.327304</v>
      </c>
      <c r="E9" s="108">
        <f>'Single Family'!F35</f>
        <v>0</v>
      </c>
      <c r="F9" s="108">
        <f>'Single Family'!F30</f>
        <v>5.816745</v>
      </c>
      <c r="G9" s="108">
        <f>'Single Family'!F27</f>
        <v>0</v>
      </c>
      <c r="H9" s="108">
        <f>'Single Family'!F37</f>
        <v>182.187504</v>
      </c>
      <c r="I9" s="108">
        <f>'Single Family'!F31/2</f>
        <v>7.9142985</v>
      </c>
      <c r="J9" s="108">
        <f>'Single Family'!F31/2</f>
        <v>7.9142985</v>
      </c>
      <c r="K9" s="108">
        <f>'Single Family'!F28</f>
        <v>62.820845999999996</v>
      </c>
      <c r="L9" s="108">
        <f>'Single Family'!F36</f>
        <v>20.905029000000045</v>
      </c>
      <c r="M9" s="64"/>
      <c r="N9" s="134">
        <f t="shared" si="0"/>
        <v>352.53000000000003</v>
      </c>
      <c r="P9" s="68"/>
    </row>
    <row r="10" spans="1:16" ht="15.75" customHeight="1">
      <c r="A10" s="65">
        <f t="shared" si="1"/>
        <v>43373</v>
      </c>
      <c r="B10" s="66" t="s">
        <v>71</v>
      </c>
      <c r="C10" s="108">
        <f>'Single Family'!G32</f>
        <v>2.330925</v>
      </c>
      <c r="D10" s="109">
        <f>'Single Family'!G34</f>
        <v>54.947672000000004</v>
      </c>
      <c r="E10" s="108">
        <f>'Single Family'!G35</f>
        <v>0</v>
      </c>
      <c r="F10" s="108">
        <f>'Single Family'!G30</f>
        <v>5.128035000000001</v>
      </c>
      <c r="G10" s="108">
        <f>'Single Family'!G27</f>
        <v>0</v>
      </c>
      <c r="H10" s="108">
        <f>'Single Family'!G37</f>
        <v>160.616272</v>
      </c>
      <c r="I10" s="108">
        <f>'Single Family'!G31/2</f>
        <v>6.977235500000001</v>
      </c>
      <c r="J10" s="108">
        <f>'Single Family'!G31/2</f>
        <v>6.977235500000001</v>
      </c>
      <c r="K10" s="108">
        <f>'Single Family'!G28</f>
        <v>55.382778</v>
      </c>
      <c r="L10" s="108">
        <f>'Single Family'!G36</f>
        <v>18.42984700000004</v>
      </c>
      <c r="M10" s="64"/>
      <c r="N10" s="134">
        <f t="shared" si="0"/>
        <v>310.7900000000001</v>
      </c>
      <c r="P10" s="68"/>
    </row>
    <row r="11" spans="1:16" ht="15.75" customHeight="1">
      <c r="A11" s="65">
        <f t="shared" si="1"/>
        <v>43404</v>
      </c>
      <c r="B11" s="66" t="s">
        <v>72</v>
      </c>
      <c r="C11" s="108">
        <f>'Single Family'!H32</f>
        <v>2.2451250000000003</v>
      </c>
      <c r="D11" s="109">
        <f>'Single Family'!H34</f>
        <v>52.92508000000001</v>
      </c>
      <c r="E11" s="108">
        <f>'Single Family'!H35</f>
        <v>0</v>
      </c>
      <c r="F11" s="108">
        <f>'Single Family'!H30</f>
        <v>4.939275</v>
      </c>
      <c r="G11" s="108">
        <f>'Single Family'!H27</f>
        <v>0</v>
      </c>
      <c r="H11" s="108">
        <f>'Single Family'!H37</f>
        <v>154.70408000000003</v>
      </c>
      <c r="I11" s="108">
        <f>'Single Family'!H31/2</f>
        <v>6.720407500000001</v>
      </c>
      <c r="J11" s="108">
        <f>'Single Family'!H31/2</f>
        <v>6.720407500000001</v>
      </c>
      <c r="K11" s="108">
        <f>'Single Family'!H28</f>
        <v>53.344170000000005</v>
      </c>
      <c r="L11" s="108">
        <f>'Single Family'!H36</f>
        <v>17.75145500000004</v>
      </c>
      <c r="M11" s="64"/>
      <c r="N11" s="134">
        <f t="shared" si="0"/>
        <v>299.3500000000001</v>
      </c>
      <c r="P11" s="68"/>
    </row>
    <row r="12" spans="1:16" ht="15.75" customHeight="1">
      <c r="A12" s="65">
        <f t="shared" si="1"/>
        <v>43434</v>
      </c>
      <c r="B12" s="66" t="s">
        <v>73</v>
      </c>
      <c r="C12" s="108">
        <f>'Single Family'!I32</f>
        <v>0</v>
      </c>
      <c r="D12" s="109">
        <f>'Single Family'!I34</f>
        <v>0</v>
      </c>
      <c r="E12" s="108">
        <f>'Single Family'!I35</f>
        <v>0</v>
      </c>
      <c r="F12" s="108">
        <f>'Single Family'!I30</f>
        <v>0</v>
      </c>
      <c r="G12" s="108">
        <f>'Single Family'!I27</f>
        <v>0</v>
      </c>
      <c r="H12" s="108">
        <f>'Single Family'!I37</f>
        <v>0</v>
      </c>
      <c r="I12" s="108">
        <f>'Single Family'!I31/2</f>
        <v>0</v>
      </c>
      <c r="J12" s="108">
        <f>'Single Family'!I31/2</f>
        <v>0</v>
      </c>
      <c r="K12" s="108">
        <f>'Single Family'!I28</f>
        <v>0</v>
      </c>
      <c r="L12" s="108">
        <f>'Single Family'!I36</f>
        <v>0</v>
      </c>
      <c r="M12" s="64"/>
      <c r="N12" s="134">
        <f t="shared" si="0"/>
        <v>0</v>
      </c>
      <c r="P12" s="68"/>
    </row>
    <row r="13" spans="1:16" ht="15.75" customHeight="1">
      <c r="A13" s="65">
        <f t="shared" si="1"/>
        <v>43465</v>
      </c>
      <c r="B13" s="66" t="s">
        <v>74</v>
      </c>
      <c r="C13" s="108">
        <f>'Single Family'!J32</f>
        <v>0</v>
      </c>
      <c r="D13" s="109">
        <f>'Single Family'!J34</f>
        <v>0</v>
      </c>
      <c r="E13" s="108">
        <f>'Single Family'!J35</f>
        <v>0</v>
      </c>
      <c r="F13" s="108">
        <f>'Single Family'!J30</f>
        <v>0</v>
      </c>
      <c r="G13" s="108">
        <f>'Single Family'!J27</f>
        <v>0</v>
      </c>
      <c r="H13" s="108">
        <f>'Single Family'!J37</f>
        <v>0</v>
      </c>
      <c r="I13" s="108">
        <f>'Single Family'!J31/2</f>
        <v>0</v>
      </c>
      <c r="J13" s="108">
        <f>'Single Family'!J31/2</f>
        <v>0</v>
      </c>
      <c r="K13" s="108">
        <f>'Single Family'!J28</f>
        <v>0</v>
      </c>
      <c r="L13" s="108">
        <f>'Single Family'!J36</f>
        <v>0</v>
      </c>
      <c r="M13" s="64"/>
      <c r="N13" s="134">
        <f t="shared" si="0"/>
        <v>0</v>
      </c>
      <c r="P13" s="68"/>
    </row>
    <row r="14" spans="1:16" ht="15.75" customHeight="1">
      <c r="A14" s="65">
        <f t="shared" si="1"/>
        <v>43496</v>
      </c>
      <c r="B14" s="66" t="s">
        <v>75</v>
      </c>
      <c r="C14" s="108">
        <f>'Single Family'!K32</f>
        <v>0</v>
      </c>
      <c r="D14" s="109">
        <f>'Single Family'!K34</f>
        <v>0</v>
      </c>
      <c r="E14" s="108">
        <f>'Single Family'!K35</f>
        <v>0</v>
      </c>
      <c r="F14" s="108">
        <f>'Single Family'!K30</f>
        <v>0</v>
      </c>
      <c r="G14" s="108">
        <f>'Single Family'!K27</f>
        <v>0</v>
      </c>
      <c r="H14" s="108">
        <f>'Single Family'!K37</f>
        <v>0</v>
      </c>
      <c r="I14" s="108">
        <f>'Single Family'!K31/2</f>
        <v>0</v>
      </c>
      <c r="J14" s="108">
        <f>'Single Family'!K31/2</f>
        <v>0</v>
      </c>
      <c r="K14" s="108">
        <f>'Single Family'!K28</f>
        <v>0</v>
      </c>
      <c r="L14" s="108">
        <f>'Single Family'!K36</f>
        <v>0</v>
      </c>
      <c r="M14" s="64"/>
      <c r="N14" s="134">
        <f t="shared" si="0"/>
        <v>0</v>
      </c>
      <c r="P14" s="68"/>
    </row>
    <row r="15" spans="1:16" ht="15.75" customHeight="1">
      <c r="A15" s="65">
        <f t="shared" si="1"/>
        <v>43524</v>
      </c>
      <c r="B15" s="66" t="s">
        <v>76</v>
      </c>
      <c r="C15" s="108">
        <f>'Single Family'!L32</f>
        <v>0</v>
      </c>
      <c r="D15" s="109">
        <f>'Single Family'!L34</f>
        <v>0</v>
      </c>
      <c r="E15" s="108">
        <f>'Single Family'!L35</f>
        <v>0</v>
      </c>
      <c r="F15" s="108">
        <f>'Single Family'!L30</f>
        <v>0</v>
      </c>
      <c r="G15" s="108">
        <f>'Single Family'!L27</f>
        <v>0</v>
      </c>
      <c r="H15" s="108">
        <f>'Single Family'!L37</f>
        <v>0</v>
      </c>
      <c r="I15" s="108">
        <f>'Single Family'!L31/2</f>
        <v>0</v>
      </c>
      <c r="J15" s="108">
        <f>'Single Family'!L31/2</f>
        <v>0</v>
      </c>
      <c r="K15" s="108">
        <f>'Single Family'!L28</f>
        <v>0</v>
      </c>
      <c r="L15" s="108">
        <f>'Single Family'!L36</f>
        <v>0</v>
      </c>
      <c r="M15" s="64"/>
      <c r="N15" s="134">
        <f t="shared" si="0"/>
        <v>0</v>
      </c>
      <c r="P15" s="68"/>
    </row>
    <row r="16" spans="1:16" ht="15.75" customHeight="1">
      <c r="A16" s="65">
        <f t="shared" si="1"/>
        <v>43555</v>
      </c>
      <c r="B16" s="66" t="s">
        <v>77</v>
      </c>
      <c r="C16" s="108">
        <f>'Single Family'!M32</f>
        <v>0</v>
      </c>
      <c r="D16" s="109">
        <f>'Single Family'!M34</f>
        <v>0</v>
      </c>
      <c r="E16" s="108">
        <f>'Single Family'!M35</f>
        <v>0</v>
      </c>
      <c r="F16" s="108">
        <f>'Single Family'!M30</f>
        <v>0</v>
      </c>
      <c r="G16" s="108">
        <f>'Single Family'!M27</f>
        <v>0</v>
      </c>
      <c r="H16" s="108">
        <f>'Single Family'!M37</f>
        <v>0</v>
      </c>
      <c r="I16" s="108">
        <f>'Single Family'!M31/2</f>
        <v>0</v>
      </c>
      <c r="J16" s="108">
        <f>'Single Family'!M31/2</f>
        <v>0</v>
      </c>
      <c r="K16" s="108">
        <f>'Single Family'!M28</f>
        <v>0</v>
      </c>
      <c r="L16" s="108">
        <f>'Single Family'!M36</f>
        <v>0</v>
      </c>
      <c r="M16" s="64"/>
      <c r="N16" s="134">
        <f t="shared" si="0"/>
        <v>0</v>
      </c>
      <c r="P16" s="68"/>
    </row>
    <row r="17" spans="1:16" ht="15.75" customHeight="1">
      <c r="A17" s="65">
        <f t="shared" si="1"/>
        <v>43585</v>
      </c>
      <c r="B17" s="66" t="s">
        <v>78</v>
      </c>
      <c r="C17" s="108">
        <f>'Single Family'!N32</f>
        <v>0</v>
      </c>
      <c r="D17" s="109">
        <f>'Single Family'!N34</f>
        <v>0</v>
      </c>
      <c r="E17" s="108">
        <f>'Single Family'!N35</f>
        <v>0</v>
      </c>
      <c r="F17" s="108">
        <f>'Single Family'!N30</f>
        <v>0</v>
      </c>
      <c r="G17" s="108">
        <f>'Single Family'!N27</f>
        <v>0</v>
      </c>
      <c r="H17" s="108">
        <f>'Single Family'!N37</f>
        <v>0</v>
      </c>
      <c r="I17" s="108">
        <f>'Single Family'!N31/2</f>
        <v>0</v>
      </c>
      <c r="J17" s="108">
        <f>'Single Family'!N31/2</f>
        <v>0</v>
      </c>
      <c r="K17" s="108">
        <f>'Single Family'!N28</f>
        <v>0</v>
      </c>
      <c r="L17" s="108">
        <f>'Single Family'!N36</f>
        <v>0</v>
      </c>
      <c r="M17" s="64"/>
      <c r="N17" s="134">
        <f t="shared" si="0"/>
        <v>0</v>
      </c>
      <c r="P17" s="68"/>
    </row>
    <row r="18" spans="1:15" ht="15.75" customHeight="1">
      <c r="A18" s="69" t="s">
        <v>32</v>
      </c>
      <c r="B18" s="66"/>
      <c r="C18" s="135">
        <f aca="true" t="shared" si="2" ref="C18:L18">SUM(C6:C17)</f>
        <v>14.656875</v>
      </c>
      <c r="D18" s="135">
        <f t="shared" si="2"/>
        <v>345.5114</v>
      </c>
      <c r="E18" s="135">
        <f t="shared" si="2"/>
        <v>0</v>
      </c>
      <c r="F18" s="135">
        <f t="shared" si="2"/>
        <v>32.245125</v>
      </c>
      <c r="G18" s="135">
        <f t="shared" si="2"/>
        <v>0</v>
      </c>
      <c r="H18" s="135">
        <f t="shared" si="2"/>
        <v>1009.9564</v>
      </c>
      <c r="I18" s="135">
        <f t="shared" si="2"/>
        <v>43.872912500000005</v>
      </c>
      <c r="J18" s="135">
        <f t="shared" si="2"/>
        <v>43.872912500000005</v>
      </c>
      <c r="K18" s="135">
        <f t="shared" si="2"/>
        <v>348.24735000000004</v>
      </c>
      <c r="L18" s="135">
        <f t="shared" si="2"/>
        <v>115.88702500000025</v>
      </c>
      <c r="M18" s="64"/>
      <c r="N18" s="136">
        <f>SUM(N6:N17)</f>
        <v>1954.2500000000002</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SheetLayoutView="100" zoomScalePageLayoutView="0" workbookViewId="0" topLeftCell="A1">
      <selection activeCell="F32" sqref="F32"/>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2018 through April 2019)</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28">
        <f>'Single Family'!$C$6</f>
        <v>43221</v>
      </c>
      <c r="B6" s="66" t="s">
        <v>67</v>
      </c>
      <c r="C6" s="106">
        <f>'Single Family'!C74</f>
        <v>1082.85</v>
      </c>
      <c r="D6" s="107">
        <f>'Single Family'!C76</f>
        <v>-25.26</v>
      </c>
      <c r="E6" s="107">
        <f>'Single Family'!C77</f>
        <v>0</v>
      </c>
      <c r="F6" s="108">
        <f>'Single Family'!C72</f>
        <v>90.64</v>
      </c>
      <c r="G6" s="106">
        <f>'Single Family'!C69</f>
        <v>0</v>
      </c>
      <c r="H6" s="106">
        <f>'Single Family'!C79</f>
        <v>-14.309999999999999</v>
      </c>
      <c r="I6" s="106">
        <f>'Single Family'!C73</f>
        <v>100.47</v>
      </c>
      <c r="J6" s="106">
        <f>'Single Family'!C73</f>
        <v>100.47</v>
      </c>
      <c r="K6" s="106">
        <f>'Single Family'!C70</f>
        <v>43.519999999999996</v>
      </c>
      <c r="L6" s="107">
        <f>'Single Family'!C78</f>
        <v>-134.59</v>
      </c>
      <c r="M6" s="70"/>
    </row>
    <row r="7" spans="1:13" ht="15.75" customHeight="1">
      <c r="A7" s="65">
        <f>+'Commodity Tonnages'!A7</f>
        <v>43281</v>
      </c>
      <c r="B7" s="66" t="s">
        <v>68</v>
      </c>
      <c r="C7" s="106">
        <f>'Single Family'!D74</f>
        <v>1119.26</v>
      </c>
      <c r="D7" s="107">
        <f>'Single Family'!D76</f>
        <v>-19.13</v>
      </c>
      <c r="E7" s="107">
        <f>'Single Family'!D77</f>
        <v>0</v>
      </c>
      <c r="F7" s="108">
        <f>'Single Family'!D72</f>
        <v>93.07</v>
      </c>
      <c r="G7" s="106">
        <f>'Single Family'!D69</f>
        <v>0</v>
      </c>
      <c r="H7" s="106">
        <f>'Single Family'!D79</f>
        <v>2</v>
      </c>
      <c r="I7" s="106">
        <f>'Single Family'!D73</f>
        <v>87.96</v>
      </c>
      <c r="J7" s="106">
        <f>'Single Family'!D73</f>
        <v>87.96</v>
      </c>
      <c r="K7" s="106">
        <f>'Single Family'!D70</f>
        <v>60.11</v>
      </c>
      <c r="L7" s="107">
        <f>'Single Family'!D78</f>
        <v>-134.59</v>
      </c>
      <c r="M7" s="70"/>
    </row>
    <row r="8" spans="1:13" ht="15.75" customHeight="1">
      <c r="A8" s="65">
        <f>+'Commodity Tonnages'!A8</f>
        <v>43312</v>
      </c>
      <c r="B8" s="66" t="s">
        <v>69</v>
      </c>
      <c r="C8" s="106">
        <f>'Single Family'!E74</f>
        <v>1065.13</v>
      </c>
      <c r="D8" s="107">
        <f>'Single Family'!E76</f>
        <v>-3.5700000000000003</v>
      </c>
      <c r="E8" s="107">
        <f>'Single Family'!E77</f>
        <v>0</v>
      </c>
      <c r="F8" s="108">
        <f>'Single Family'!E72</f>
        <v>91.06</v>
      </c>
      <c r="G8" s="106">
        <f>'Single Family'!E69</f>
        <v>0</v>
      </c>
      <c r="H8" s="106">
        <f>'Single Family'!E79</f>
        <v>4.19</v>
      </c>
      <c r="I8" s="106">
        <f>'Single Family'!E73</f>
        <v>109.23</v>
      </c>
      <c r="J8" s="106">
        <f>'Single Family'!E73</f>
        <v>109.23</v>
      </c>
      <c r="K8" s="106">
        <f>'Single Family'!E70</f>
        <v>68.38</v>
      </c>
      <c r="L8" s="107">
        <f>'Single Family'!E78</f>
        <v>-134.59</v>
      </c>
      <c r="M8" s="67"/>
    </row>
    <row r="9" spans="1:13" ht="15.75" customHeight="1">
      <c r="A9" s="65">
        <f>+'Commodity Tonnages'!A9</f>
        <v>43343</v>
      </c>
      <c r="B9" s="66" t="s">
        <v>70</v>
      </c>
      <c r="C9" s="106">
        <f>'Single Family'!F74</f>
        <v>1065.13</v>
      </c>
      <c r="D9" s="107">
        <f>'Single Family'!F76</f>
        <v>0.74</v>
      </c>
      <c r="E9" s="107">
        <f>'Single Family'!F77</f>
        <v>0</v>
      </c>
      <c r="F9" s="108">
        <f>'Single Family'!F72</f>
        <v>61.85</v>
      </c>
      <c r="G9" s="106">
        <f>'Single Family'!F69</f>
        <v>0</v>
      </c>
      <c r="H9" s="106">
        <f>'Single Family'!F79</f>
        <v>8.42</v>
      </c>
      <c r="I9" s="106">
        <f>'Single Family'!F73</f>
        <v>168.5</v>
      </c>
      <c r="J9" s="106">
        <f>'Single Family'!F73</f>
        <v>168.5</v>
      </c>
      <c r="K9" s="106">
        <f>'Single Family'!F70</f>
        <v>60.64</v>
      </c>
      <c r="L9" s="107">
        <f>'Single Family'!F78</f>
        <v>-134.59</v>
      </c>
      <c r="M9" s="67"/>
    </row>
    <row r="10" spans="1:13" ht="15.75" customHeight="1">
      <c r="A10" s="65">
        <f>+'Commodity Tonnages'!A10</f>
        <v>43373</v>
      </c>
      <c r="B10" s="66" t="s">
        <v>71</v>
      </c>
      <c r="C10" s="106">
        <f>'Single Family'!G74</f>
        <v>940.58</v>
      </c>
      <c r="D10" s="107">
        <f>'Single Family'!G76</f>
        <v>-14.63</v>
      </c>
      <c r="E10" s="107">
        <f>'Single Family'!G77</f>
        <v>0</v>
      </c>
      <c r="F10" s="108">
        <f>'Single Family'!G72</f>
        <v>69.65</v>
      </c>
      <c r="G10" s="106">
        <f>'Single Family'!G69</f>
        <v>0</v>
      </c>
      <c r="H10" s="106">
        <f>'Single Family'!G79</f>
        <v>26.9</v>
      </c>
      <c r="I10" s="106">
        <f>'Single Family'!G73</f>
        <v>78.83</v>
      </c>
      <c r="J10" s="106">
        <f>'Single Family'!G73</f>
        <v>78.83</v>
      </c>
      <c r="K10" s="106">
        <f>'Single Family'!G70</f>
        <v>63.85</v>
      </c>
      <c r="L10" s="107">
        <f>'Single Family'!G78</f>
        <v>-134.59</v>
      </c>
      <c r="M10" s="67"/>
    </row>
    <row r="11" spans="1:13" ht="15.75" customHeight="1">
      <c r="A11" s="65">
        <f>+'Commodity Tonnages'!A11</f>
        <v>43404</v>
      </c>
      <c r="B11" s="66" t="s">
        <v>72</v>
      </c>
      <c r="C11" s="106">
        <f>'Single Family'!H74</f>
        <v>918.23</v>
      </c>
      <c r="D11" s="107">
        <f>'Single Family'!H76</f>
        <v>-16.67</v>
      </c>
      <c r="E11" s="107">
        <f>'Single Family'!H77</f>
        <v>0</v>
      </c>
      <c r="F11" s="108">
        <f>'Single Family'!H72</f>
        <v>78.18</v>
      </c>
      <c r="G11" s="106">
        <f>'Single Family'!H69</f>
        <v>0</v>
      </c>
      <c r="H11" s="106">
        <f>'Single Family'!H79</f>
        <v>25.77</v>
      </c>
      <c r="I11" s="106">
        <f>'Single Family'!H73</f>
        <v>75.26</v>
      </c>
      <c r="J11" s="106">
        <f>'Single Family'!H73</f>
        <v>75.26</v>
      </c>
      <c r="K11" s="106">
        <f>'Single Family'!H70</f>
        <v>71.68</v>
      </c>
      <c r="L11" s="107">
        <f>'Single Family'!H78</f>
        <v>-134.59</v>
      </c>
      <c r="M11" s="67"/>
    </row>
    <row r="12" spans="1:13" ht="15.75" customHeight="1">
      <c r="A12" s="65">
        <f>+'Commodity Tonnages'!A12</f>
        <v>43434</v>
      </c>
      <c r="B12" s="66" t="s">
        <v>73</v>
      </c>
      <c r="C12" s="106">
        <f>'Single Family'!I74</f>
        <v>0</v>
      </c>
      <c r="D12" s="107">
        <f>'Single Family'!I76</f>
        <v>0</v>
      </c>
      <c r="E12" s="107">
        <f>'Single Family'!I77</f>
        <v>0</v>
      </c>
      <c r="F12" s="108">
        <f>'Single Family'!I72</f>
        <v>0</v>
      </c>
      <c r="G12" s="106">
        <f>'Single Family'!I69</f>
        <v>0</v>
      </c>
      <c r="H12" s="106">
        <f>'Single Family'!I79</f>
        <v>0</v>
      </c>
      <c r="I12" s="106">
        <f>'Single Family'!I73</f>
        <v>0</v>
      </c>
      <c r="J12" s="106">
        <f>'Single Family'!I73</f>
        <v>0</v>
      </c>
      <c r="K12" s="106">
        <f>'Single Family'!I70</f>
        <v>0</v>
      </c>
      <c r="L12" s="107">
        <f>'Single Family'!I78</f>
        <v>0</v>
      </c>
      <c r="M12" s="67"/>
    </row>
    <row r="13" spans="1:13" ht="15.75" customHeight="1">
      <c r="A13" s="65">
        <f>+'Commodity Tonnages'!A13</f>
        <v>43465</v>
      </c>
      <c r="B13" s="66" t="s">
        <v>74</v>
      </c>
      <c r="C13" s="106">
        <f>'Single Family'!J74</f>
        <v>0</v>
      </c>
      <c r="D13" s="107">
        <f>'Single Family'!J76</f>
        <v>0</v>
      </c>
      <c r="E13" s="107">
        <f>'Single Family'!J77</f>
        <v>0</v>
      </c>
      <c r="F13" s="108">
        <f>'Single Family'!J72</f>
        <v>0</v>
      </c>
      <c r="G13" s="106">
        <f>'Single Family'!J69</f>
        <v>0</v>
      </c>
      <c r="H13" s="106">
        <f>'Single Family'!J79</f>
        <v>0</v>
      </c>
      <c r="I13" s="106">
        <f>'Single Family'!J73</f>
        <v>0</v>
      </c>
      <c r="J13" s="106">
        <f>'Single Family'!J73</f>
        <v>0</v>
      </c>
      <c r="K13" s="106">
        <f>'Single Family'!J70</f>
        <v>0</v>
      </c>
      <c r="L13" s="107">
        <f>'Single Family'!J78</f>
        <v>0</v>
      </c>
      <c r="M13" s="67"/>
    </row>
    <row r="14" spans="1:13" ht="15.75" customHeight="1">
      <c r="A14" s="65">
        <f>+'Commodity Tonnages'!A14</f>
        <v>43496</v>
      </c>
      <c r="B14" s="66" t="s">
        <v>75</v>
      </c>
      <c r="C14" s="106">
        <f>'Single Family'!K74</f>
        <v>0</v>
      </c>
      <c r="D14" s="107">
        <f>'Single Family'!K76</f>
        <v>0</v>
      </c>
      <c r="E14" s="107">
        <f>'Single Family'!K77</f>
        <v>0</v>
      </c>
      <c r="F14" s="108">
        <f>'Single Family'!K72</f>
        <v>0</v>
      </c>
      <c r="G14" s="106">
        <f>'Single Family'!K69</f>
        <v>0</v>
      </c>
      <c r="H14" s="106">
        <f>'Single Family'!K79</f>
        <v>0</v>
      </c>
      <c r="I14" s="106">
        <f>'Single Family'!K73</f>
        <v>0</v>
      </c>
      <c r="J14" s="106">
        <f>'Single Family'!K73</f>
        <v>0</v>
      </c>
      <c r="K14" s="106">
        <f>'Single Family'!K70</f>
        <v>0</v>
      </c>
      <c r="L14" s="107">
        <f>'Single Family'!K78</f>
        <v>0</v>
      </c>
      <c r="M14" s="67"/>
    </row>
    <row r="15" spans="1:13" ht="15.75" customHeight="1">
      <c r="A15" s="65">
        <f>+'Commodity Tonnages'!A15</f>
        <v>43524</v>
      </c>
      <c r="B15" s="66" t="s">
        <v>76</v>
      </c>
      <c r="C15" s="106">
        <f>'Single Family'!L74</f>
        <v>0</v>
      </c>
      <c r="D15" s="107">
        <f>'Single Family'!L76</f>
        <v>0</v>
      </c>
      <c r="E15" s="107">
        <f>'Single Family'!L77</f>
        <v>0</v>
      </c>
      <c r="F15" s="108">
        <f>'Single Family'!L72</f>
        <v>0</v>
      </c>
      <c r="G15" s="106">
        <f>'Single Family'!L69</f>
        <v>0</v>
      </c>
      <c r="H15" s="106">
        <f>'Single Family'!L79</f>
        <v>0</v>
      </c>
      <c r="I15" s="106">
        <f>'Single Family'!L73</f>
        <v>0</v>
      </c>
      <c r="J15" s="106">
        <f>'Single Family'!L73</f>
        <v>0</v>
      </c>
      <c r="K15" s="106">
        <f>'Single Family'!L70</f>
        <v>0</v>
      </c>
      <c r="L15" s="107">
        <f>'Single Family'!$L$78</f>
        <v>0</v>
      </c>
      <c r="M15" s="67"/>
    </row>
    <row r="16" spans="1:13" ht="15.75" customHeight="1">
      <c r="A16" s="65">
        <f>+'Commodity Tonnages'!A16</f>
        <v>43555</v>
      </c>
      <c r="B16" s="66" t="s">
        <v>77</v>
      </c>
      <c r="C16" s="106">
        <f>'Single Family'!M74</f>
        <v>0</v>
      </c>
      <c r="D16" s="107">
        <f>'Single Family'!M76</f>
        <v>0</v>
      </c>
      <c r="E16" s="107">
        <f>'Single Family'!M77</f>
        <v>0</v>
      </c>
      <c r="F16" s="108">
        <f>'Single Family'!M72</f>
        <v>0</v>
      </c>
      <c r="G16" s="106">
        <f>'Single Family'!M69</f>
        <v>0</v>
      </c>
      <c r="H16" s="106">
        <f>'Single Family'!M79</f>
        <v>0</v>
      </c>
      <c r="I16" s="106">
        <f>'Single Family'!M73</f>
        <v>0</v>
      </c>
      <c r="J16" s="106">
        <f>'Single Family'!M73</f>
        <v>0</v>
      </c>
      <c r="K16" s="106">
        <f>'Single Family'!M70</f>
        <v>0</v>
      </c>
      <c r="L16" s="107">
        <f>'Single Family'!$M$78</f>
        <v>0</v>
      </c>
      <c r="M16" s="67"/>
    </row>
    <row r="17" spans="1:13" ht="15.75" customHeight="1">
      <c r="A17" s="65">
        <f>+'Commodity Tonnages'!A17</f>
        <v>43585</v>
      </c>
      <c r="B17" s="66" t="s">
        <v>78</v>
      </c>
      <c r="C17" s="106">
        <f>'Single Family'!N74</f>
        <v>0</v>
      </c>
      <c r="D17" s="107">
        <f>'Single Family'!N76</f>
        <v>0</v>
      </c>
      <c r="E17" s="107">
        <f>'Single Family'!N77</f>
        <v>0</v>
      </c>
      <c r="F17" s="108">
        <f>'Single Family'!N72</f>
        <v>0</v>
      </c>
      <c r="G17" s="106">
        <f>'Single Family'!N69</f>
        <v>0</v>
      </c>
      <c r="H17" s="106">
        <f>'Single Family'!N79</f>
        <v>0</v>
      </c>
      <c r="I17" s="106">
        <f>'Single Family'!N73</f>
        <v>0</v>
      </c>
      <c r="J17" s="106">
        <f>'Single Family'!N73</f>
        <v>0</v>
      </c>
      <c r="K17" s="106">
        <f>'Single Family'!N70</f>
        <v>0</v>
      </c>
      <c r="L17" s="107">
        <f>'Single Family'!$M$78</f>
        <v>0</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17"/>
  <sheetViews>
    <sheetView showGridLines="0" zoomScaleSheetLayoutView="100" zoomScalePageLayoutView="0" workbookViewId="0" topLeftCell="A1">
      <pane xSplit="2" ySplit="6" topLeftCell="C43" activePane="bottomRight" state="frozen"/>
      <selection pane="topLeft" activeCell="I58" sqref="I58"/>
      <selection pane="topRight" activeCell="I58" sqref="I58"/>
      <selection pane="bottomLeft" activeCell="I58" sqref="I58"/>
      <selection pane="bottomRight" activeCell="C69" sqref="C69:H79"/>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79</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5">
        <v>43221</v>
      </c>
      <c r="D6" s="87">
        <f aca="true" t="shared" si="0" ref="D6:N6">EOMONTH(C6,1)</f>
        <v>43281</v>
      </c>
      <c r="E6" s="87">
        <f t="shared" si="0"/>
        <v>43312</v>
      </c>
      <c r="F6" s="87">
        <f t="shared" si="0"/>
        <v>43343</v>
      </c>
      <c r="G6" s="87">
        <f t="shared" si="0"/>
        <v>43373</v>
      </c>
      <c r="H6" s="87">
        <f t="shared" si="0"/>
        <v>43404</v>
      </c>
      <c r="I6" s="87">
        <f t="shared" si="0"/>
        <v>43434</v>
      </c>
      <c r="J6" s="87">
        <f t="shared" si="0"/>
        <v>43465</v>
      </c>
      <c r="K6" s="87">
        <f t="shared" si="0"/>
        <v>43496</v>
      </c>
      <c r="L6" s="87">
        <f t="shared" si="0"/>
        <v>43524</v>
      </c>
      <c r="M6" s="87">
        <f t="shared" si="0"/>
        <v>43555</v>
      </c>
      <c r="N6" s="87">
        <f t="shared" si="0"/>
        <v>43585</v>
      </c>
    </row>
    <row r="7" spans="1:14" s="67" customFormat="1" ht="11.25">
      <c r="A7" s="88" t="s">
        <v>47</v>
      </c>
      <c r="C7" s="126">
        <v>344.72</v>
      </c>
      <c r="D7" s="126">
        <v>306.7</v>
      </c>
      <c r="E7" s="126">
        <v>340.16</v>
      </c>
      <c r="F7" s="126">
        <v>352.53</v>
      </c>
      <c r="G7" s="126">
        <v>310.79</v>
      </c>
      <c r="H7" s="126">
        <v>299.35</v>
      </c>
      <c r="I7" s="126"/>
      <c r="J7" s="126"/>
      <c r="K7" s="126"/>
      <c r="L7" s="126"/>
      <c r="M7" s="126"/>
      <c r="N7" s="126"/>
    </row>
    <row r="8" spans="1:14" ht="11.25">
      <c r="A8" s="66" t="s">
        <v>48</v>
      </c>
      <c r="C8" s="89">
        <v>0</v>
      </c>
      <c r="D8" s="89">
        <v>0</v>
      </c>
      <c r="E8" s="89">
        <v>0</v>
      </c>
      <c r="F8" s="89">
        <v>0</v>
      </c>
      <c r="G8" s="89">
        <v>0</v>
      </c>
      <c r="H8" s="89">
        <v>0</v>
      </c>
      <c r="I8" s="89">
        <v>0</v>
      </c>
      <c r="J8" s="89">
        <v>0</v>
      </c>
      <c r="K8" s="89">
        <v>0</v>
      </c>
      <c r="L8" s="89">
        <v>0</v>
      </c>
      <c r="M8" s="89">
        <v>0</v>
      </c>
      <c r="N8" s="89">
        <v>0</v>
      </c>
    </row>
    <row r="9" spans="1:14" ht="11.25">
      <c r="A9" s="66" t="s">
        <v>49</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50</v>
      </c>
      <c r="C10" s="91">
        <f aca="true" t="shared" si="2" ref="C10:L10">+C7-C9</f>
        <v>344.72</v>
      </c>
      <c r="D10" s="91">
        <f t="shared" si="2"/>
        <v>306.7</v>
      </c>
      <c r="E10" s="91">
        <f t="shared" si="2"/>
        <v>340.16</v>
      </c>
      <c r="F10" s="91">
        <f t="shared" si="2"/>
        <v>352.53</v>
      </c>
      <c r="G10" s="91">
        <f t="shared" si="2"/>
        <v>310.79</v>
      </c>
      <c r="H10" s="91">
        <f t="shared" si="2"/>
        <v>299.35</v>
      </c>
      <c r="I10" s="91">
        <f t="shared" si="2"/>
        <v>0</v>
      </c>
      <c r="J10" s="91">
        <f t="shared" si="2"/>
        <v>0</v>
      </c>
      <c r="K10" s="91">
        <f t="shared" si="2"/>
        <v>0</v>
      </c>
      <c r="L10" s="91">
        <f t="shared" si="2"/>
        <v>0</v>
      </c>
      <c r="M10" s="91">
        <f>+M7-M9</f>
        <v>0</v>
      </c>
      <c r="N10" s="91">
        <f>+N7-N9</f>
        <v>0</v>
      </c>
    </row>
    <row r="11" ht="11.25"/>
    <row r="12" ht="11.25">
      <c r="A12" s="83" t="s">
        <v>51</v>
      </c>
    </row>
    <row r="13" spans="2:14" s="92" customFormat="1" ht="11.25">
      <c r="B13" s="92" t="s">
        <v>24</v>
      </c>
      <c r="C13" s="123">
        <v>0</v>
      </c>
      <c r="D13" s="123">
        <f>+C13</f>
        <v>0</v>
      </c>
      <c r="E13" s="123">
        <f aca="true" t="shared" si="3" ref="E13:M13">+D13</f>
        <v>0</v>
      </c>
      <c r="F13" s="123">
        <f t="shared" si="3"/>
        <v>0</v>
      </c>
      <c r="G13" s="123">
        <f t="shared" si="3"/>
        <v>0</v>
      </c>
      <c r="H13" s="123">
        <f t="shared" si="3"/>
        <v>0</v>
      </c>
      <c r="I13" s="123">
        <f t="shared" si="3"/>
        <v>0</v>
      </c>
      <c r="J13" s="123">
        <f t="shared" si="3"/>
        <v>0</v>
      </c>
      <c r="K13" s="123">
        <f t="shared" si="3"/>
        <v>0</v>
      </c>
      <c r="L13" s="123">
        <f t="shared" si="3"/>
        <v>0</v>
      </c>
      <c r="M13" s="123">
        <f t="shared" si="3"/>
        <v>0</v>
      </c>
      <c r="N13" s="123">
        <v>0</v>
      </c>
    </row>
    <row r="14" spans="2:14" s="92" customFormat="1" ht="11.25">
      <c r="B14" s="92" t="s">
        <v>28</v>
      </c>
      <c r="C14" s="123">
        <v>0.1782</v>
      </c>
      <c r="D14" s="123">
        <f aca="true" t="shared" si="4" ref="D14:N23">+C14</f>
        <v>0.1782</v>
      </c>
      <c r="E14" s="123">
        <f t="shared" si="4"/>
        <v>0.1782</v>
      </c>
      <c r="F14" s="123">
        <f t="shared" si="4"/>
        <v>0.1782</v>
      </c>
      <c r="G14" s="123">
        <f t="shared" si="4"/>
        <v>0.1782</v>
      </c>
      <c r="H14" s="123">
        <f t="shared" si="4"/>
        <v>0.1782</v>
      </c>
      <c r="I14" s="123">
        <f t="shared" si="4"/>
        <v>0.1782</v>
      </c>
      <c r="J14" s="123">
        <f t="shared" si="4"/>
        <v>0.1782</v>
      </c>
      <c r="K14" s="123">
        <f t="shared" si="4"/>
        <v>0.1782</v>
      </c>
      <c r="L14" s="123">
        <f t="shared" si="4"/>
        <v>0.1782</v>
      </c>
      <c r="M14" s="123">
        <f t="shared" si="4"/>
        <v>0.1782</v>
      </c>
      <c r="N14" s="123">
        <f t="shared" si="4"/>
        <v>0.1782</v>
      </c>
    </row>
    <row r="15" spans="2:14" s="92" customFormat="1" ht="11.25">
      <c r="B15" s="92" t="s">
        <v>52</v>
      </c>
      <c r="C15" s="123">
        <v>0</v>
      </c>
      <c r="D15" s="123">
        <f t="shared" si="4"/>
        <v>0</v>
      </c>
      <c r="E15" s="123">
        <f t="shared" si="4"/>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row>
    <row r="16" spans="2:14" s="92" customFormat="1" ht="11.25">
      <c r="B16" s="92" t="s">
        <v>53</v>
      </c>
      <c r="C16" s="123">
        <v>0.0165</v>
      </c>
      <c r="D16" s="123">
        <f t="shared" si="4"/>
        <v>0.0165</v>
      </c>
      <c r="E16" s="123">
        <f t="shared" si="4"/>
        <v>0.0165</v>
      </c>
      <c r="F16" s="123">
        <f t="shared" si="4"/>
        <v>0.0165</v>
      </c>
      <c r="G16" s="123">
        <f t="shared" si="4"/>
        <v>0.0165</v>
      </c>
      <c r="H16" s="123">
        <f t="shared" si="4"/>
        <v>0.0165</v>
      </c>
      <c r="I16" s="123">
        <f t="shared" si="4"/>
        <v>0.0165</v>
      </c>
      <c r="J16" s="123">
        <f t="shared" si="4"/>
        <v>0.0165</v>
      </c>
      <c r="K16" s="123">
        <f t="shared" si="4"/>
        <v>0.0165</v>
      </c>
      <c r="L16" s="123">
        <f t="shared" si="4"/>
        <v>0.0165</v>
      </c>
      <c r="M16" s="123">
        <f t="shared" si="4"/>
        <v>0.0165</v>
      </c>
      <c r="N16" s="123">
        <f t="shared" si="4"/>
        <v>0.0165</v>
      </c>
    </row>
    <row r="17" spans="2:14" s="92" customFormat="1" ht="11.25">
      <c r="B17" s="92" t="s">
        <v>54</v>
      </c>
      <c r="C17" s="123">
        <v>0.0449</v>
      </c>
      <c r="D17" s="123">
        <f t="shared" si="4"/>
        <v>0.0449</v>
      </c>
      <c r="E17" s="123">
        <f t="shared" si="4"/>
        <v>0.0449</v>
      </c>
      <c r="F17" s="123">
        <f t="shared" si="4"/>
        <v>0.0449</v>
      </c>
      <c r="G17" s="123">
        <f t="shared" si="4"/>
        <v>0.0449</v>
      </c>
      <c r="H17" s="123">
        <f t="shared" si="4"/>
        <v>0.0449</v>
      </c>
      <c r="I17" s="123">
        <f t="shared" si="4"/>
        <v>0.0449</v>
      </c>
      <c r="J17" s="123">
        <f t="shared" si="4"/>
        <v>0.0449</v>
      </c>
      <c r="K17" s="123">
        <f t="shared" si="4"/>
        <v>0.0449</v>
      </c>
      <c r="L17" s="123">
        <f t="shared" si="4"/>
        <v>0.0449</v>
      </c>
      <c r="M17" s="123">
        <f t="shared" si="4"/>
        <v>0.0449</v>
      </c>
      <c r="N17" s="123">
        <f t="shared" si="4"/>
        <v>0.0449</v>
      </c>
    </row>
    <row r="18" spans="2:14" s="92" customFormat="1" ht="11.25">
      <c r="B18" s="92" t="s">
        <v>55</v>
      </c>
      <c r="C18" s="123">
        <v>0.0075</v>
      </c>
      <c r="D18" s="123">
        <f t="shared" si="4"/>
        <v>0.0075</v>
      </c>
      <c r="E18" s="123">
        <f t="shared" si="4"/>
        <v>0.0075</v>
      </c>
      <c r="F18" s="123">
        <f t="shared" si="4"/>
        <v>0.0075</v>
      </c>
      <c r="G18" s="123">
        <f t="shared" si="4"/>
        <v>0.0075</v>
      </c>
      <c r="H18" s="123">
        <f t="shared" si="4"/>
        <v>0.0075</v>
      </c>
      <c r="I18" s="123">
        <f t="shared" si="4"/>
        <v>0.0075</v>
      </c>
      <c r="J18" s="123">
        <f t="shared" si="4"/>
        <v>0.0075</v>
      </c>
      <c r="K18" s="123">
        <f t="shared" si="4"/>
        <v>0.0075</v>
      </c>
      <c r="L18" s="123">
        <f t="shared" si="4"/>
        <v>0.0075</v>
      </c>
      <c r="M18" s="123">
        <f t="shared" si="4"/>
        <v>0.0075</v>
      </c>
      <c r="N18" s="123">
        <f t="shared" si="4"/>
        <v>0.0075</v>
      </c>
    </row>
    <row r="19" spans="2:14" s="92" customFormat="1" ht="11.25">
      <c r="B19" s="66" t="s">
        <v>56</v>
      </c>
      <c r="C19" s="123">
        <v>0</v>
      </c>
      <c r="D19" s="123">
        <f t="shared" si="4"/>
        <v>0</v>
      </c>
      <c r="E19" s="123">
        <f t="shared" si="4"/>
        <v>0</v>
      </c>
      <c r="F19" s="123">
        <f t="shared" si="4"/>
        <v>0</v>
      </c>
      <c r="G19" s="123">
        <f t="shared" si="4"/>
        <v>0</v>
      </c>
      <c r="H19" s="123">
        <f t="shared" si="4"/>
        <v>0</v>
      </c>
      <c r="I19" s="123">
        <f t="shared" si="4"/>
        <v>0</v>
      </c>
      <c r="J19" s="123">
        <f t="shared" si="4"/>
        <v>0</v>
      </c>
      <c r="K19" s="123">
        <f t="shared" si="4"/>
        <v>0</v>
      </c>
      <c r="L19" s="123">
        <f t="shared" si="4"/>
        <v>0</v>
      </c>
      <c r="M19" s="123">
        <f t="shared" si="4"/>
        <v>0</v>
      </c>
      <c r="N19" s="123">
        <f t="shared" si="4"/>
        <v>0</v>
      </c>
    </row>
    <row r="20" spans="2:14" s="92" customFormat="1" ht="11.25">
      <c r="B20" s="66" t="s">
        <v>22</v>
      </c>
      <c r="C20" s="123">
        <v>0.1768</v>
      </c>
      <c r="D20" s="123">
        <f t="shared" si="4"/>
        <v>0.1768</v>
      </c>
      <c r="E20" s="123">
        <f t="shared" si="4"/>
        <v>0.1768</v>
      </c>
      <c r="F20" s="123">
        <f t="shared" si="4"/>
        <v>0.1768</v>
      </c>
      <c r="G20" s="123">
        <f t="shared" si="4"/>
        <v>0.1768</v>
      </c>
      <c r="H20" s="123">
        <f t="shared" si="4"/>
        <v>0.1768</v>
      </c>
      <c r="I20" s="123">
        <f t="shared" si="4"/>
        <v>0.1768</v>
      </c>
      <c r="J20" s="123">
        <f t="shared" si="4"/>
        <v>0.1768</v>
      </c>
      <c r="K20" s="123">
        <f t="shared" si="4"/>
        <v>0.1768</v>
      </c>
      <c r="L20" s="123">
        <f t="shared" si="4"/>
        <v>0.1768</v>
      </c>
      <c r="M20" s="123">
        <f t="shared" si="4"/>
        <v>0.1768</v>
      </c>
      <c r="N20" s="123">
        <f t="shared" si="4"/>
        <v>0.1768</v>
      </c>
    </row>
    <row r="21" spans="2:14" s="92" customFormat="1" ht="11.25">
      <c r="B21" s="92" t="s">
        <v>57</v>
      </c>
      <c r="C21" s="123">
        <v>0</v>
      </c>
      <c r="D21" s="123">
        <f t="shared" si="4"/>
        <v>0</v>
      </c>
      <c r="E21" s="123">
        <f t="shared" si="4"/>
        <v>0</v>
      </c>
      <c r="F21" s="123">
        <f t="shared" si="4"/>
        <v>0</v>
      </c>
      <c r="G21" s="123">
        <f t="shared" si="4"/>
        <v>0</v>
      </c>
      <c r="H21" s="123">
        <f t="shared" si="4"/>
        <v>0</v>
      </c>
      <c r="I21" s="123">
        <f t="shared" si="4"/>
        <v>0</v>
      </c>
      <c r="J21" s="123">
        <f t="shared" si="4"/>
        <v>0</v>
      </c>
      <c r="K21" s="123">
        <f t="shared" si="4"/>
        <v>0</v>
      </c>
      <c r="L21" s="123">
        <f t="shared" si="4"/>
        <v>0</v>
      </c>
      <c r="M21" s="123">
        <f t="shared" si="4"/>
        <v>0</v>
      </c>
      <c r="N21" s="123">
        <f t="shared" si="4"/>
        <v>0</v>
      </c>
    </row>
    <row r="22" spans="2:14" s="92" customFormat="1" ht="11.25">
      <c r="B22" s="92" t="s">
        <v>58</v>
      </c>
      <c r="C22" s="123">
        <v>0.05930000000000013</v>
      </c>
      <c r="D22" s="123">
        <f t="shared" si="4"/>
        <v>0.05930000000000013</v>
      </c>
      <c r="E22" s="123">
        <f t="shared" si="4"/>
        <v>0.05930000000000013</v>
      </c>
      <c r="F22" s="123">
        <f t="shared" si="4"/>
        <v>0.05930000000000013</v>
      </c>
      <c r="G22" s="123">
        <f t="shared" si="4"/>
        <v>0.05930000000000013</v>
      </c>
      <c r="H22" s="123">
        <f t="shared" si="4"/>
        <v>0.05930000000000013</v>
      </c>
      <c r="I22" s="123">
        <f t="shared" si="4"/>
        <v>0.05930000000000013</v>
      </c>
      <c r="J22" s="123">
        <f t="shared" si="4"/>
        <v>0.05930000000000013</v>
      </c>
      <c r="K22" s="123">
        <f t="shared" si="4"/>
        <v>0.05930000000000013</v>
      </c>
      <c r="L22" s="123">
        <f t="shared" si="4"/>
        <v>0.05930000000000013</v>
      </c>
      <c r="M22" s="123">
        <f t="shared" si="4"/>
        <v>0.05930000000000013</v>
      </c>
      <c r="N22" s="123">
        <f t="shared" si="4"/>
        <v>0.05930000000000013</v>
      </c>
    </row>
    <row r="23" spans="2:14" s="92" customFormat="1" ht="11.25">
      <c r="B23" s="92" t="s">
        <v>59</v>
      </c>
      <c r="C23" s="124">
        <v>0.5168</v>
      </c>
      <c r="D23" s="123">
        <f t="shared" si="4"/>
        <v>0.5168</v>
      </c>
      <c r="E23" s="123">
        <f t="shared" si="4"/>
        <v>0.5168</v>
      </c>
      <c r="F23" s="123">
        <f t="shared" si="4"/>
        <v>0.5168</v>
      </c>
      <c r="G23" s="123">
        <f t="shared" si="4"/>
        <v>0.5168</v>
      </c>
      <c r="H23" s="123">
        <f t="shared" si="4"/>
        <v>0.5168</v>
      </c>
      <c r="I23" s="123">
        <f t="shared" si="4"/>
        <v>0.5168</v>
      </c>
      <c r="J23" s="123">
        <f t="shared" si="4"/>
        <v>0.5168</v>
      </c>
      <c r="K23" s="123">
        <f t="shared" si="4"/>
        <v>0.5168</v>
      </c>
      <c r="L23" s="123">
        <f t="shared" si="4"/>
        <v>0.5168</v>
      </c>
      <c r="M23" s="123">
        <f t="shared" si="4"/>
        <v>0.5168</v>
      </c>
      <c r="N23" s="123">
        <v>0.5168</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60</v>
      </c>
    </row>
    <row r="27" spans="2:14" ht="11.25">
      <c r="B27" s="66" t="s">
        <v>24</v>
      </c>
      <c r="C27" s="75">
        <f aca="true" t="shared" si="5" ref="C27:C37">+C$10*C13</f>
        <v>0</v>
      </c>
      <c r="D27" s="75">
        <f aca="true" t="shared" si="6" ref="D27:M27">+D$10*D13</f>
        <v>0</v>
      </c>
      <c r="E27" s="75">
        <f>+E$10*E13</f>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2:14" ht="11.25">
      <c r="B28" s="66" t="s">
        <v>28</v>
      </c>
      <c r="C28" s="75">
        <f t="shared" si="5"/>
        <v>61.429104</v>
      </c>
      <c r="D28" s="75">
        <f aca="true" t="shared" si="7" ref="D28:M28">+D$10*D14</f>
        <v>54.65394</v>
      </c>
      <c r="E28" s="75">
        <f>+E$10*E14</f>
        <v>60.616512</v>
      </c>
      <c r="F28" s="75">
        <f t="shared" si="7"/>
        <v>62.820845999999996</v>
      </c>
      <c r="G28" s="75">
        <f t="shared" si="7"/>
        <v>55.382778</v>
      </c>
      <c r="H28" s="75">
        <f t="shared" si="7"/>
        <v>53.344170000000005</v>
      </c>
      <c r="I28" s="75">
        <f t="shared" si="7"/>
        <v>0</v>
      </c>
      <c r="J28" s="75">
        <f t="shared" si="7"/>
        <v>0</v>
      </c>
      <c r="K28" s="75">
        <f t="shared" si="7"/>
        <v>0</v>
      </c>
      <c r="L28" s="75">
        <f t="shared" si="7"/>
        <v>0</v>
      </c>
      <c r="M28" s="75">
        <f t="shared" si="7"/>
        <v>0</v>
      </c>
      <c r="N28" s="75">
        <f>+N$10*N14</f>
        <v>0</v>
      </c>
    </row>
    <row r="29" spans="2:14" ht="11.25">
      <c r="B29" s="66" t="s">
        <v>52</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53</v>
      </c>
      <c r="C30" s="75">
        <f t="shared" si="5"/>
        <v>5.687880000000001</v>
      </c>
      <c r="D30" s="75">
        <f aca="true" t="shared" si="9" ref="D30:N30">+D$10*D16</f>
        <v>5.06055</v>
      </c>
      <c r="E30" s="75">
        <f t="shared" si="9"/>
        <v>5.612640000000001</v>
      </c>
      <c r="F30" s="75">
        <f t="shared" si="9"/>
        <v>5.816745</v>
      </c>
      <c r="G30" s="75">
        <f t="shared" si="9"/>
        <v>5.128035000000001</v>
      </c>
      <c r="H30" s="75">
        <f t="shared" si="9"/>
        <v>4.939275</v>
      </c>
      <c r="I30" s="75">
        <f t="shared" si="9"/>
        <v>0</v>
      </c>
      <c r="J30" s="75">
        <f t="shared" si="9"/>
        <v>0</v>
      </c>
      <c r="K30" s="75">
        <f t="shared" si="9"/>
        <v>0</v>
      </c>
      <c r="L30" s="75">
        <f t="shared" si="9"/>
        <v>0</v>
      </c>
      <c r="M30" s="75">
        <f t="shared" si="9"/>
        <v>0</v>
      </c>
      <c r="N30" s="75">
        <f t="shared" si="9"/>
        <v>0</v>
      </c>
      <c r="P30" s="103"/>
    </row>
    <row r="31" spans="2:16" ht="12.75">
      <c r="B31" s="66" t="s">
        <v>54</v>
      </c>
      <c r="C31" s="75">
        <f t="shared" si="5"/>
        <v>15.477928000000002</v>
      </c>
      <c r="D31" s="75">
        <f aca="true" t="shared" si="10" ref="D31:N31">+D$10*D17</f>
        <v>13.77083</v>
      </c>
      <c r="E31" s="75">
        <f t="shared" si="10"/>
        <v>15.273184000000002</v>
      </c>
      <c r="F31" s="75">
        <f t="shared" si="10"/>
        <v>15.828597</v>
      </c>
      <c r="G31" s="75">
        <f t="shared" si="10"/>
        <v>13.954471000000002</v>
      </c>
      <c r="H31" s="75">
        <f t="shared" si="10"/>
        <v>13.440815000000002</v>
      </c>
      <c r="I31" s="75">
        <f t="shared" si="10"/>
        <v>0</v>
      </c>
      <c r="J31" s="75">
        <f t="shared" si="10"/>
        <v>0</v>
      </c>
      <c r="K31" s="75">
        <f t="shared" si="10"/>
        <v>0</v>
      </c>
      <c r="L31" s="75">
        <f t="shared" si="10"/>
        <v>0</v>
      </c>
      <c r="M31" s="75">
        <f t="shared" si="10"/>
        <v>0</v>
      </c>
      <c r="N31" s="75">
        <f t="shared" si="10"/>
        <v>0</v>
      </c>
      <c r="P31" s="60"/>
    </row>
    <row r="32" spans="2:16" ht="12.75">
      <c r="B32" s="66" t="s">
        <v>55</v>
      </c>
      <c r="C32" s="75">
        <f t="shared" si="5"/>
        <v>2.5854</v>
      </c>
      <c r="D32" s="75">
        <f aca="true" t="shared" si="11" ref="D32:N32">+D$10*D18</f>
        <v>2.3002499999999997</v>
      </c>
      <c r="E32" s="75">
        <f t="shared" si="11"/>
        <v>2.5512</v>
      </c>
      <c r="F32" s="75">
        <f t="shared" si="11"/>
        <v>2.6439749999999997</v>
      </c>
      <c r="G32" s="75">
        <f t="shared" si="11"/>
        <v>2.330925</v>
      </c>
      <c r="H32" s="75">
        <f t="shared" si="11"/>
        <v>2.2451250000000003</v>
      </c>
      <c r="I32" s="75">
        <f t="shared" si="11"/>
        <v>0</v>
      </c>
      <c r="J32" s="75">
        <f t="shared" si="11"/>
        <v>0</v>
      </c>
      <c r="K32" s="75">
        <f t="shared" si="11"/>
        <v>0</v>
      </c>
      <c r="L32" s="75">
        <f t="shared" si="11"/>
        <v>0</v>
      </c>
      <c r="M32" s="75">
        <f t="shared" si="11"/>
        <v>0</v>
      </c>
      <c r="N32" s="75">
        <f t="shared" si="11"/>
        <v>0</v>
      </c>
      <c r="P32" s="60"/>
    </row>
    <row r="33" spans="2:16" ht="12.75">
      <c r="B33" s="66" t="s">
        <v>56</v>
      </c>
      <c r="C33" s="75">
        <f t="shared" si="5"/>
        <v>0</v>
      </c>
      <c r="D33" s="75">
        <f aca="true" t="shared" si="12" ref="D33:N33">+D$10*D19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c r="P33" s="60"/>
    </row>
    <row r="34" spans="2:16" ht="12.75">
      <c r="B34" s="66" t="s">
        <v>22</v>
      </c>
      <c r="C34" s="75">
        <f t="shared" si="5"/>
        <v>60.94649600000001</v>
      </c>
      <c r="D34" s="75">
        <f aca="true" t="shared" si="13" ref="D34:N34">+D$10*D20</f>
        <v>54.224560000000004</v>
      </c>
      <c r="E34" s="75">
        <f t="shared" si="13"/>
        <v>60.140288000000005</v>
      </c>
      <c r="F34" s="75">
        <f t="shared" si="13"/>
        <v>62.327304</v>
      </c>
      <c r="G34" s="75">
        <f t="shared" si="13"/>
        <v>54.947672000000004</v>
      </c>
      <c r="H34" s="75">
        <f t="shared" si="13"/>
        <v>52.92508000000001</v>
      </c>
      <c r="I34" s="75">
        <f t="shared" si="13"/>
        <v>0</v>
      </c>
      <c r="J34" s="75">
        <f t="shared" si="13"/>
        <v>0</v>
      </c>
      <c r="K34" s="75">
        <f t="shared" si="13"/>
        <v>0</v>
      </c>
      <c r="L34" s="75">
        <f t="shared" si="13"/>
        <v>0</v>
      </c>
      <c r="M34" s="75">
        <f t="shared" si="13"/>
        <v>0</v>
      </c>
      <c r="N34" s="75">
        <f t="shared" si="13"/>
        <v>0</v>
      </c>
      <c r="P34" s="60"/>
    </row>
    <row r="35" spans="2:16" ht="12.75">
      <c r="B35" s="66" t="s">
        <v>57</v>
      </c>
      <c r="C35" s="75">
        <f t="shared" si="5"/>
        <v>0</v>
      </c>
      <c r="D35" s="75">
        <f aca="true" t="shared" si="14" ref="D35:N35">+D$10*D21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c r="P35" s="60"/>
    </row>
    <row r="36" spans="2:16" ht="12.75">
      <c r="B36" s="66" t="s">
        <v>58</v>
      </c>
      <c r="C36" s="75">
        <f t="shared" si="5"/>
        <v>20.441896000000046</v>
      </c>
      <c r="D36" s="75">
        <f aca="true" t="shared" si="15" ref="D36:N36">+D$10*D22</f>
        <v>18.18731000000004</v>
      </c>
      <c r="E36" s="75">
        <f t="shared" si="15"/>
        <v>20.171488000000046</v>
      </c>
      <c r="F36" s="75">
        <f t="shared" si="15"/>
        <v>20.905029000000045</v>
      </c>
      <c r="G36" s="75">
        <f t="shared" si="15"/>
        <v>18.42984700000004</v>
      </c>
      <c r="H36" s="75">
        <f t="shared" si="15"/>
        <v>17.75145500000004</v>
      </c>
      <c r="I36" s="75">
        <f t="shared" si="15"/>
        <v>0</v>
      </c>
      <c r="J36" s="75">
        <f t="shared" si="15"/>
        <v>0</v>
      </c>
      <c r="K36" s="75">
        <f t="shared" si="15"/>
        <v>0</v>
      </c>
      <c r="L36" s="75">
        <f t="shared" si="15"/>
        <v>0</v>
      </c>
      <c r="M36" s="75">
        <f t="shared" si="15"/>
        <v>0</v>
      </c>
      <c r="N36" s="75">
        <f t="shared" si="15"/>
        <v>0</v>
      </c>
      <c r="P36" s="60"/>
    </row>
    <row r="37" spans="2:16" ht="12.75">
      <c r="B37" s="66" t="s">
        <v>59</v>
      </c>
      <c r="C37" s="90">
        <f t="shared" si="5"/>
        <v>178.15129600000003</v>
      </c>
      <c r="D37" s="90">
        <f aca="true" t="shared" si="16" ref="D37:N37">+D$10*D23</f>
        <v>158.50256000000002</v>
      </c>
      <c r="E37" s="90">
        <f t="shared" si="16"/>
        <v>175.79468800000004</v>
      </c>
      <c r="F37" s="90">
        <f t="shared" si="16"/>
        <v>182.187504</v>
      </c>
      <c r="G37" s="90">
        <f t="shared" si="16"/>
        <v>160.616272</v>
      </c>
      <c r="H37" s="90">
        <f t="shared" si="16"/>
        <v>154.70408000000003</v>
      </c>
      <c r="I37" s="90">
        <f t="shared" si="16"/>
        <v>0</v>
      </c>
      <c r="J37" s="90">
        <f t="shared" si="16"/>
        <v>0</v>
      </c>
      <c r="K37" s="90">
        <f t="shared" si="16"/>
        <v>0</v>
      </c>
      <c r="L37" s="90">
        <f t="shared" si="16"/>
        <v>0</v>
      </c>
      <c r="M37" s="90">
        <f t="shared" si="16"/>
        <v>0</v>
      </c>
      <c r="N37" s="90">
        <f t="shared" si="16"/>
        <v>0</v>
      </c>
      <c r="P37" s="60"/>
    </row>
    <row r="38" spans="3:16" ht="12.75">
      <c r="C38" s="75">
        <f>SUM(C27:C37)</f>
        <v>344.72000000000014</v>
      </c>
      <c r="D38" s="75">
        <f>SUM(D27:D37)</f>
        <v>306.70000000000005</v>
      </c>
      <c r="E38" s="75">
        <f>SUM(E27:E37)</f>
        <v>340.1600000000001</v>
      </c>
      <c r="F38" s="75">
        <f aca="true" t="shared" si="17" ref="F38:N38">SUM(F27:F37)</f>
        <v>352.53000000000003</v>
      </c>
      <c r="G38" s="75">
        <f t="shared" si="17"/>
        <v>310.7900000000001</v>
      </c>
      <c r="H38" s="75">
        <f t="shared" si="17"/>
        <v>299.35000000000014</v>
      </c>
      <c r="I38" s="75">
        <f t="shared" si="17"/>
        <v>0</v>
      </c>
      <c r="J38" s="75">
        <f t="shared" si="17"/>
        <v>0</v>
      </c>
      <c r="K38" s="75">
        <f t="shared" si="17"/>
        <v>0</v>
      </c>
      <c r="L38" s="75">
        <f t="shared" si="17"/>
        <v>0</v>
      </c>
      <c r="M38" s="75">
        <f t="shared" si="17"/>
        <v>0</v>
      </c>
      <c r="N38" s="75">
        <f t="shared" si="17"/>
        <v>0</v>
      </c>
      <c r="P38" s="60"/>
    </row>
    <row r="39" ht="11.25">
      <c r="P39" s="103"/>
    </row>
    <row r="40" ht="11.25">
      <c r="A40" s="83" t="s">
        <v>61</v>
      </c>
    </row>
    <row r="41" spans="2:14" ht="11.25">
      <c r="B41" s="66" t="s">
        <v>24</v>
      </c>
      <c r="C41" s="94">
        <v>1</v>
      </c>
      <c r="D41" s="95">
        <v>1</v>
      </c>
      <c r="E41" s="95">
        <v>1</v>
      </c>
      <c r="F41" s="95">
        <v>1</v>
      </c>
      <c r="G41" s="95">
        <v>1</v>
      </c>
      <c r="H41" s="95">
        <v>1</v>
      </c>
      <c r="I41" s="95">
        <v>1</v>
      </c>
      <c r="J41" s="95">
        <v>1</v>
      </c>
      <c r="K41" s="95">
        <v>1</v>
      </c>
      <c r="L41" s="95">
        <v>1</v>
      </c>
      <c r="M41" s="95">
        <v>1</v>
      </c>
      <c r="N41" s="95">
        <v>1</v>
      </c>
    </row>
    <row r="42" spans="2:14" ht="11.25">
      <c r="B42" s="66" t="s">
        <v>28</v>
      </c>
      <c r="C42" s="94">
        <v>1</v>
      </c>
      <c r="D42" s="95">
        <v>1</v>
      </c>
      <c r="E42" s="95">
        <v>1</v>
      </c>
      <c r="F42" s="95">
        <v>1</v>
      </c>
      <c r="G42" s="95">
        <v>1</v>
      </c>
      <c r="H42" s="95">
        <v>1</v>
      </c>
      <c r="I42" s="95">
        <v>1</v>
      </c>
      <c r="J42" s="95">
        <v>1</v>
      </c>
      <c r="K42" s="95">
        <v>1</v>
      </c>
      <c r="L42" s="95">
        <v>1</v>
      </c>
      <c r="M42" s="95">
        <v>1</v>
      </c>
      <c r="N42" s="95">
        <v>1</v>
      </c>
    </row>
    <row r="43" spans="2:14" ht="11.25">
      <c r="B43" s="66" t="s">
        <v>52</v>
      </c>
      <c r="C43" s="94">
        <v>1</v>
      </c>
      <c r="D43" s="95">
        <v>1</v>
      </c>
      <c r="E43" s="95">
        <v>1</v>
      </c>
      <c r="F43" s="95">
        <v>1</v>
      </c>
      <c r="G43" s="95">
        <v>1</v>
      </c>
      <c r="H43" s="95">
        <v>1</v>
      </c>
      <c r="I43" s="95">
        <v>1</v>
      </c>
      <c r="J43" s="95">
        <v>1</v>
      </c>
      <c r="K43" s="95">
        <v>1</v>
      </c>
      <c r="L43" s="95">
        <v>1</v>
      </c>
      <c r="M43" s="95">
        <v>1</v>
      </c>
      <c r="N43" s="95">
        <v>1</v>
      </c>
    </row>
    <row r="44" spans="2:14" ht="11.25">
      <c r="B44" s="66" t="s">
        <v>53</v>
      </c>
      <c r="C44" s="94">
        <v>1</v>
      </c>
      <c r="D44" s="95">
        <v>1</v>
      </c>
      <c r="E44" s="95">
        <v>1</v>
      </c>
      <c r="F44" s="95">
        <v>1</v>
      </c>
      <c r="G44" s="95">
        <v>1</v>
      </c>
      <c r="H44" s="95">
        <v>1</v>
      </c>
      <c r="I44" s="95">
        <v>1</v>
      </c>
      <c r="J44" s="95">
        <v>1</v>
      </c>
      <c r="K44" s="95">
        <v>1</v>
      </c>
      <c r="L44" s="95">
        <v>1</v>
      </c>
      <c r="M44" s="95">
        <v>1</v>
      </c>
      <c r="N44" s="95">
        <v>1</v>
      </c>
    </row>
    <row r="45" spans="2:14" ht="11.25">
      <c r="B45" s="66" t="s">
        <v>54</v>
      </c>
      <c r="C45" s="94">
        <v>1</v>
      </c>
      <c r="D45" s="95">
        <v>1</v>
      </c>
      <c r="E45" s="95">
        <v>1</v>
      </c>
      <c r="F45" s="95">
        <v>1</v>
      </c>
      <c r="G45" s="95">
        <v>1</v>
      </c>
      <c r="H45" s="95">
        <v>1</v>
      </c>
      <c r="I45" s="95">
        <v>1</v>
      </c>
      <c r="J45" s="95">
        <v>1</v>
      </c>
      <c r="K45" s="95">
        <v>1</v>
      </c>
      <c r="L45" s="95">
        <v>1</v>
      </c>
      <c r="M45" s="95">
        <v>1</v>
      </c>
      <c r="N45" s="95">
        <v>1</v>
      </c>
    </row>
    <row r="46" spans="2:14" ht="11.25">
      <c r="B46" s="66" t="s">
        <v>55</v>
      </c>
      <c r="C46" s="94">
        <v>1</v>
      </c>
      <c r="D46" s="95">
        <v>1</v>
      </c>
      <c r="E46" s="95">
        <v>1</v>
      </c>
      <c r="F46" s="95">
        <v>1</v>
      </c>
      <c r="G46" s="95">
        <v>1</v>
      </c>
      <c r="H46" s="95">
        <v>1</v>
      </c>
      <c r="I46" s="95">
        <v>1</v>
      </c>
      <c r="J46" s="95">
        <v>1</v>
      </c>
      <c r="K46" s="95">
        <v>1</v>
      </c>
      <c r="L46" s="95">
        <v>1</v>
      </c>
      <c r="M46" s="95">
        <v>1</v>
      </c>
      <c r="N46" s="95">
        <v>1</v>
      </c>
    </row>
    <row r="47" spans="2:14" ht="11.25">
      <c r="B47" s="66" t="s">
        <v>56</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57</v>
      </c>
      <c r="C49" s="94">
        <v>1</v>
      </c>
      <c r="D49" s="95">
        <v>1</v>
      </c>
      <c r="E49" s="95">
        <v>1</v>
      </c>
      <c r="F49" s="95">
        <v>1</v>
      </c>
      <c r="G49" s="95">
        <v>1</v>
      </c>
      <c r="H49" s="95">
        <v>1</v>
      </c>
      <c r="I49" s="95">
        <v>1</v>
      </c>
      <c r="J49" s="95">
        <v>1</v>
      </c>
      <c r="K49" s="95">
        <v>1</v>
      </c>
      <c r="L49" s="95">
        <v>1</v>
      </c>
      <c r="M49" s="95">
        <v>1</v>
      </c>
      <c r="N49" s="95">
        <v>1</v>
      </c>
    </row>
    <row r="50" spans="2:14" ht="11.25">
      <c r="B50" s="66" t="s">
        <v>58</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59</v>
      </c>
      <c r="C52" s="93">
        <f>+C65/C37</f>
        <v>0.9999999999999996</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62</v>
      </c>
      <c r="L54" s="93"/>
      <c r="N54" s="95"/>
    </row>
    <row r="55" spans="2:14" ht="11.25">
      <c r="B55" s="66" t="s">
        <v>24</v>
      </c>
      <c r="C55" s="75">
        <f aca="true" t="shared" si="18" ref="C55:N55">+C27*C41</f>
        <v>0</v>
      </c>
      <c r="D55" s="75">
        <f t="shared" si="18"/>
        <v>0</v>
      </c>
      <c r="E55" s="75">
        <f>+E27*E41</f>
        <v>0</v>
      </c>
      <c r="F55" s="75">
        <f>+F27*F41</f>
        <v>0</v>
      </c>
      <c r="G55" s="75">
        <f t="shared" si="18"/>
        <v>0</v>
      </c>
      <c r="H55" s="75">
        <f t="shared" si="18"/>
        <v>0</v>
      </c>
      <c r="I55" s="75">
        <f t="shared" si="18"/>
        <v>0</v>
      </c>
      <c r="J55" s="75">
        <f t="shared" si="18"/>
        <v>0</v>
      </c>
      <c r="K55" s="75">
        <f t="shared" si="18"/>
        <v>0</v>
      </c>
      <c r="L55" s="75">
        <f t="shared" si="18"/>
        <v>0</v>
      </c>
      <c r="M55" s="75">
        <f t="shared" si="18"/>
        <v>0</v>
      </c>
      <c r="N55" s="75">
        <f t="shared" si="18"/>
        <v>0</v>
      </c>
    </row>
    <row r="56" spans="2:16" ht="12.75">
      <c r="B56" s="66" t="s">
        <v>28</v>
      </c>
      <c r="C56" s="75">
        <f aca="true" t="shared" si="19" ref="C56:N56">+C28*C42</f>
        <v>61.429104</v>
      </c>
      <c r="D56" s="75">
        <f t="shared" si="19"/>
        <v>54.65394</v>
      </c>
      <c r="E56" s="75">
        <f t="shared" si="19"/>
        <v>60.616512</v>
      </c>
      <c r="F56" s="75">
        <f t="shared" si="19"/>
        <v>62.820845999999996</v>
      </c>
      <c r="G56" s="75">
        <f t="shared" si="19"/>
        <v>55.382778</v>
      </c>
      <c r="H56" s="75">
        <f t="shared" si="19"/>
        <v>53.344170000000005</v>
      </c>
      <c r="I56" s="75">
        <f t="shared" si="19"/>
        <v>0</v>
      </c>
      <c r="J56" s="75">
        <f t="shared" si="19"/>
        <v>0</v>
      </c>
      <c r="K56" s="75">
        <f t="shared" si="19"/>
        <v>0</v>
      </c>
      <c r="L56" s="75">
        <f t="shared" si="19"/>
        <v>0</v>
      </c>
      <c r="M56" s="75">
        <f t="shared" si="19"/>
        <v>0</v>
      </c>
      <c r="N56" s="75">
        <f t="shared" si="19"/>
        <v>0</v>
      </c>
      <c r="P56" s="151"/>
    </row>
    <row r="57" spans="2:16" ht="12.75">
      <c r="B57" s="66" t="s">
        <v>52</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1"/>
    </row>
    <row r="58" spans="2:16" ht="12.75">
      <c r="B58" s="66" t="s">
        <v>53</v>
      </c>
      <c r="C58" s="75">
        <f aca="true" t="shared" si="21" ref="C58:N58">+C30*C44</f>
        <v>5.687880000000001</v>
      </c>
      <c r="D58" s="75">
        <f t="shared" si="21"/>
        <v>5.06055</v>
      </c>
      <c r="E58" s="75">
        <f t="shared" si="21"/>
        <v>5.612640000000001</v>
      </c>
      <c r="F58" s="75">
        <f t="shared" si="21"/>
        <v>5.816745</v>
      </c>
      <c r="G58" s="75">
        <f t="shared" si="21"/>
        <v>5.128035000000001</v>
      </c>
      <c r="H58" s="75">
        <f t="shared" si="21"/>
        <v>4.939275</v>
      </c>
      <c r="I58" s="75">
        <f t="shared" si="21"/>
        <v>0</v>
      </c>
      <c r="J58" s="75">
        <f t="shared" si="21"/>
        <v>0</v>
      </c>
      <c r="K58" s="75">
        <f t="shared" si="21"/>
        <v>0</v>
      </c>
      <c r="L58" s="75">
        <f t="shared" si="21"/>
        <v>0</v>
      </c>
      <c r="M58" s="75">
        <f t="shared" si="21"/>
        <v>0</v>
      </c>
      <c r="N58" s="75">
        <f t="shared" si="21"/>
        <v>0</v>
      </c>
      <c r="P58" s="151"/>
    </row>
    <row r="59" spans="2:16" ht="12.75">
      <c r="B59" s="66" t="s">
        <v>54</v>
      </c>
      <c r="C59" s="75">
        <f aca="true" t="shared" si="22" ref="C59:N59">+C31*C45</f>
        <v>15.477928000000002</v>
      </c>
      <c r="D59" s="75">
        <f t="shared" si="22"/>
        <v>13.77083</v>
      </c>
      <c r="E59" s="75">
        <f t="shared" si="22"/>
        <v>15.273184000000002</v>
      </c>
      <c r="F59" s="75">
        <f t="shared" si="22"/>
        <v>15.828597</v>
      </c>
      <c r="G59" s="75">
        <f t="shared" si="22"/>
        <v>13.954471000000002</v>
      </c>
      <c r="H59" s="75">
        <f t="shared" si="22"/>
        <v>13.440815000000002</v>
      </c>
      <c r="I59" s="75">
        <f t="shared" si="22"/>
        <v>0</v>
      </c>
      <c r="J59" s="75">
        <f t="shared" si="22"/>
        <v>0</v>
      </c>
      <c r="K59" s="75">
        <f t="shared" si="22"/>
        <v>0</v>
      </c>
      <c r="L59" s="75">
        <f t="shared" si="22"/>
        <v>0</v>
      </c>
      <c r="M59" s="75">
        <f t="shared" si="22"/>
        <v>0</v>
      </c>
      <c r="N59" s="75">
        <f t="shared" si="22"/>
        <v>0</v>
      </c>
      <c r="P59" s="151"/>
    </row>
    <row r="60" spans="2:16" ht="12.75">
      <c r="B60" s="66" t="s">
        <v>55</v>
      </c>
      <c r="C60" s="96">
        <f aca="true" t="shared" si="23" ref="C60:N60">+C32*C46</f>
        <v>2.5854</v>
      </c>
      <c r="D60" s="96">
        <f t="shared" si="23"/>
        <v>2.3002499999999997</v>
      </c>
      <c r="E60" s="96">
        <f t="shared" si="23"/>
        <v>2.5512</v>
      </c>
      <c r="F60" s="96">
        <f t="shared" si="23"/>
        <v>2.6439749999999997</v>
      </c>
      <c r="G60" s="96">
        <f t="shared" si="23"/>
        <v>2.330925</v>
      </c>
      <c r="H60" s="96">
        <f t="shared" si="23"/>
        <v>2.2451250000000003</v>
      </c>
      <c r="I60" s="96">
        <f t="shared" si="23"/>
        <v>0</v>
      </c>
      <c r="J60" s="96">
        <f t="shared" si="23"/>
        <v>0</v>
      </c>
      <c r="K60" s="96">
        <f t="shared" si="23"/>
        <v>0</v>
      </c>
      <c r="L60" s="96">
        <f t="shared" si="23"/>
        <v>0</v>
      </c>
      <c r="M60" s="96">
        <f t="shared" si="23"/>
        <v>0</v>
      </c>
      <c r="N60" s="96">
        <f t="shared" si="23"/>
        <v>0</v>
      </c>
      <c r="P60" s="151"/>
    </row>
    <row r="61" spans="2:16" ht="12.75">
      <c r="B61" s="66" t="s">
        <v>56</v>
      </c>
      <c r="C61" s="75">
        <f aca="true" t="shared" si="24" ref="C61:N61">+C33*C47</f>
        <v>0</v>
      </c>
      <c r="D61" s="75">
        <f t="shared" si="24"/>
        <v>0</v>
      </c>
      <c r="E61" s="75">
        <f t="shared" si="24"/>
        <v>0</v>
      </c>
      <c r="F61" s="75">
        <f t="shared" si="24"/>
        <v>0</v>
      </c>
      <c r="G61" s="75">
        <f t="shared" si="24"/>
        <v>0</v>
      </c>
      <c r="H61" s="75">
        <f t="shared" si="24"/>
        <v>0</v>
      </c>
      <c r="I61" s="75">
        <f t="shared" si="24"/>
        <v>0</v>
      </c>
      <c r="J61" s="75">
        <f t="shared" si="24"/>
        <v>0</v>
      </c>
      <c r="K61" s="75">
        <f t="shared" si="24"/>
        <v>0</v>
      </c>
      <c r="L61" s="75">
        <f t="shared" si="24"/>
        <v>0</v>
      </c>
      <c r="M61" s="75">
        <f t="shared" si="24"/>
        <v>0</v>
      </c>
      <c r="N61" s="75">
        <f t="shared" si="24"/>
        <v>0</v>
      </c>
      <c r="P61" s="151"/>
    </row>
    <row r="62" spans="2:20" ht="12.75">
      <c r="B62" s="66" t="s">
        <v>49</v>
      </c>
      <c r="C62" s="75">
        <f aca="true" t="shared" si="25" ref="C62:N62">+C34*C48</f>
        <v>60.94649600000001</v>
      </c>
      <c r="D62" s="75">
        <f t="shared" si="25"/>
        <v>54.224560000000004</v>
      </c>
      <c r="E62" s="75">
        <f>+E34*E48</f>
        <v>60.140288000000005</v>
      </c>
      <c r="F62" s="75">
        <f t="shared" si="25"/>
        <v>62.327304</v>
      </c>
      <c r="G62" s="75">
        <f t="shared" si="25"/>
        <v>54.947672000000004</v>
      </c>
      <c r="H62" s="75">
        <f t="shared" si="25"/>
        <v>52.92508000000001</v>
      </c>
      <c r="I62" s="75">
        <f t="shared" si="25"/>
        <v>0</v>
      </c>
      <c r="J62" s="75">
        <f t="shared" si="25"/>
        <v>0</v>
      </c>
      <c r="K62" s="75">
        <f t="shared" si="25"/>
        <v>0</v>
      </c>
      <c r="L62" s="75">
        <f t="shared" si="25"/>
        <v>0</v>
      </c>
      <c r="M62" s="75">
        <f t="shared" si="25"/>
        <v>0</v>
      </c>
      <c r="N62" s="75">
        <f t="shared" si="25"/>
        <v>0</v>
      </c>
      <c r="Q62" s="155"/>
      <c r="R62" s="103"/>
      <c r="S62" s="152"/>
      <c r="T62" s="152"/>
    </row>
    <row r="63" spans="2:20" ht="12.75">
      <c r="B63" s="66" t="s">
        <v>57</v>
      </c>
      <c r="C63" s="75">
        <f aca="true" t="shared" si="26" ref="C63:N63">+C35*C49</f>
        <v>0</v>
      </c>
      <c r="D63" s="75">
        <f t="shared" si="26"/>
        <v>0</v>
      </c>
      <c r="E63" s="75">
        <f t="shared" si="26"/>
        <v>0</v>
      </c>
      <c r="F63" s="75">
        <f t="shared" si="26"/>
        <v>0</v>
      </c>
      <c r="G63" s="75">
        <f t="shared" si="26"/>
        <v>0</v>
      </c>
      <c r="H63" s="75">
        <f t="shared" si="26"/>
        <v>0</v>
      </c>
      <c r="I63" s="75">
        <f t="shared" si="26"/>
        <v>0</v>
      </c>
      <c r="J63" s="75">
        <f t="shared" si="26"/>
        <v>0</v>
      </c>
      <c r="K63" s="75">
        <f t="shared" si="26"/>
        <v>0</v>
      </c>
      <c r="L63" s="75">
        <f t="shared" si="26"/>
        <v>0</v>
      </c>
      <c r="M63" s="75">
        <f t="shared" si="26"/>
        <v>0</v>
      </c>
      <c r="N63" s="75">
        <f t="shared" si="26"/>
        <v>0</v>
      </c>
      <c r="Q63" s="155"/>
      <c r="R63" s="103"/>
      <c r="S63" s="152"/>
      <c r="T63" s="152"/>
    </row>
    <row r="64" spans="2:20" ht="12.75">
      <c r="B64" s="66" t="s">
        <v>58</v>
      </c>
      <c r="C64" s="75">
        <f aca="true" t="shared" si="27" ref="C64:N64">+C36*C50</f>
        <v>20.441896000000046</v>
      </c>
      <c r="D64" s="75">
        <f t="shared" si="27"/>
        <v>18.18731000000004</v>
      </c>
      <c r="E64" s="75">
        <f>+E36*E50</f>
        <v>20.171488000000046</v>
      </c>
      <c r="F64" s="75">
        <f t="shared" si="27"/>
        <v>20.905029000000045</v>
      </c>
      <c r="G64" s="75">
        <f t="shared" si="27"/>
        <v>18.42984700000004</v>
      </c>
      <c r="H64" s="75">
        <f t="shared" si="27"/>
        <v>17.75145500000004</v>
      </c>
      <c r="I64" s="75">
        <f t="shared" si="27"/>
        <v>0</v>
      </c>
      <c r="J64" s="75">
        <f t="shared" si="27"/>
        <v>0</v>
      </c>
      <c r="K64" s="75">
        <f t="shared" si="27"/>
        <v>0</v>
      </c>
      <c r="L64" s="75">
        <f t="shared" si="27"/>
        <v>0</v>
      </c>
      <c r="M64" s="75">
        <f t="shared" si="27"/>
        <v>0</v>
      </c>
      <c r="N64" s="75">
        <f t="shared" si="27"/>
        <v>0</v>
      </c>
      <c r="Q64" s="155"/>
      <c r="R64" s="103"/>
      <c r="S64" s="152"/>
      <c r="T64" s="152"/>
    </row>
    <row r="65" spans="2:20" ht="12.75">
      <c r="B65" s="66" t="s">
        <v>59</v>
      </c>
      <c r="C65" s="90">
        <f aca="true" t="shared" si="28" ref="C65:L65">+C7-SUM(C55:C64)</f>
        <v>178.15129599999995</v>
      </c>
      <c r="D65" s="90">
        <f t="shared" si="28"/>
        <v>158.50255999999996</v>
      </c>
      <c r="E65" s="90">
        <f t="shared" si="28"/>
        <v>175.79468799999998</v>
      </c>
      <c r="F65" s="90">
        <f t="shared" si="28"/>
        <v>182.18750399999993</v>
      </c>
      <c r="G65" s="90">
        <f t="shared" si="28"/>
        <v>160.61627199999998</v>
      </c>
      <c r="H65" s="90">
        <f t="shared" si="28"/>
        <v>154.70407999999995</v>
      </c>
      <c r="I65" s="90">
        <f t="shared" si="28"/>
        <v>0</v>
      </c>
      <c r="J65" s="90">
        <f t="shared" si="28"/>
        <v>0</v>
      </c>
      <c r="K65" s="90">
        <f t="shared" si="28"/>
        <v>0</v>
      </c>
      <c r="L65" s="90">
        <f t="shared" si="28"/>
        <v>0</v>
      </c>
      <c r="M65" s="90">
        <f>+M7-SUM(M55:M64)</f>
        <v>0</v>
      </c>
      <c r="N65" s="90">
        <f>+N7-SUM(N55:N64)</f>
        <v>0</v>
      </c>
      <c r="Q65" s="155"/>
      <c r="R65" s="103"/>
      <c r="S65" s="152"/>
      <c r="T65" s="152"/>
    </row>
    <row r="66" spans="3:20" ht="12.75">
      <c r="C66" s="75">
        <f aca="true" t="shared" si="29" ref="C66:N66">SUM(C55:C65)</f>
        <v>344.72</v>
      </c>
      <c r="D66" s="75">
        <f t="shared" si="29"/>
        <v>306.7</v>
      </c>
      <c r="E66" s="75">
        <f t="shared" si="29"/>
        <v>340.16</v>
      </c>
      <c r="F66" s="75">
        <f t="shared" si="29"/>
        <v>352.53</v>
      </c>
      <c r="G66" s="75">
        <f t="shared" si="29"/>
        <v>310.79</v>
      </c>
      <c r="H66" s="75">
        <f t="shared" si="29"/>
        <v>299.35</v>
      </c>
      <c r="I66" s="75">
        <f t="shared" si="29"/>
        <v>0</v>
      </c>
      <c r="J66" s="75">
        <f t="shared" si="29"/>
        <v>0</v>
      </c>
      <c r="K66" s="75">
        <f t="shared" si="29"/>
        <v>0</v>
      </c>
      <c r="L66" s="75">
        <f t="shared" si="29"/>
        <v>0</v>
      </c>
      <c r="M66" s="75">
        <f t="shared" si="29"/>
        <v>0</v>
      </c>
      <c r="N66" s="75">
        <f t="shared" si="29"/>
        <v>0</v>
      </c>
      <c r="Q66" s="155"/>
      <c r="R66" s="103"/>
      <c r="S66" s="152"/>
      <c r="T66" s="152"/>
    </row>
    <row r="67" spans="17:20" ht="7.5" customHeight="1">
      <c r="Q67" s="155"/>
      <c r="R67" s="103"/>
      <c r="S67" s="152"/>
      <c r="T67" s="152"/>
    </row>
    <row r="68" spans="1:20" ht="12.75">
      <c r="A68" s="97" t="s">
        <v>63</v>
      </c>
      <c r="Q68" s="155"/>
      <c r="R68" s="103"/>
      <c r="S68" s="152"/>
      <c r="T68" s="152"/>
    </row>
    <row r="69" spans="2:21" ht="12.75">
      <c r="B69" s="66" t="s">
        <v>24</v>
      </c>
      <c r="C69" s="156"/>
      <c r="D69" s="156"/>
      <c r="E69" s="156"/>
      <c r="F69" s="156"/>
      <c r="G69" s="157"/>
      <c r="H69" s="157"/>
      <c r="I69" s="156"/>
      <c r="J69" s="156"/>
      <c r="K69" s="156"/>
      <c r="L69" s="158"/>
      <c r="M69" s="158"/>
      <c r="N69" s="156"/>
      <c r="Q69" s="155"/>
      <c r="R69" s="103"/>
      <c r="S69" s="152"/>
      <c r="T69" s="152"/>
      <c r="U69" s="60"/>
    </row>
    <row r="70" spans="2:21" ht="12.75">
      <c r="B70" s="66" t="s">
        <v>28</v>
      </c>
      <c r="C70" s="156">
        <v>43.519999999999996</v>
      </c>
      <c r="D70" s="156">
        <v>60.11</v>
      </c>
      <c r="E70" s="156">
        <v>68.38</v>
      </c>
      <c r="F70" s="156">
        <v>60.64</v>
      </c>
      <c r="G70" s="157">
        <v>63.85</v>
      </c>
      <c r="H70" s="157">
        <v>71.68</v>
      </c>
      <c r="I70" s="156"/>
      <c r="J70" s="156"/>
      <c r="K70" s="156"/>
      <c r="L70" s="156"/>
      <c r="M70" s="156"/>
      <c r="N70" s="156"/>
      <c r="Q70" s="60"/>
      <c r="R70" s="103"/>
      <c r="S70" s="103"/>
      <c r="T70" s="152"/>
      <c r="U70" s="152"/>
    </row>
    <row r="71" spans="2:21" ht="12.75">
      <c r="B71" s="66" t="s">
        <v>52</v>
      </c>
      <c r="C71" s="156"/>
      <c r="D71" s="156"/>
      <c r="E71" s="156"/>
      <c r="F71" s="156"/>
      <c r="G71" s="157"/>
      <c r="H71" s="157"/>
      <c r="I71" s="156"/>
      <c r="J71" s="156"/>
      <c r="K71" s="156"/>
      <c r="L71" s="156"/>
      <c r="M71" s="156"/>
      <c r="N71" s="156"/>
      <c r="Q71" s="60"/>
      <c r="R71" s="103"/>
      <c r="S71" s="103"/>
      <c r="T71" s="152"/>
      <c r="U71" s="152"/>
    </row>
    <row r="72" spans="2:21" ht="12.75">
      <c r="B72" s="66" t="s">
        <v>53</v>
      </c>
      <c r="C72" s="156">
        <v>90.64</v>
      </c>
      <c r="D72" s="156">
        <v>93.07</v>
      </c>
      <c r="E72" s="156">
        <v>91.06</v>
      </c>
      <c r="F72" s="156">
        <v>61.85</v>
      </c>
      <c r="G72" s="157">
        <v>69.65</v>
      </c>
      <c r="H72" s="157">
        <v>78.18</v>
      </c>
      <c r="I72" s="156"/>
      <c r="J72" s="156"/>
      <c r="K72" s="156"/>
      <c r="L72" s="156"/>
      <c r="M72" s="156"/>
      <c r="N72" s="156"/>
      <c r="Q72" s="60"/>
      <c r="R72" s="103"/>
      <c r="T72" s="152"/>
      <c r="U72" s="152"/>
    </row>
    <row r="73" spans="2:21" ht="12.75">
      <c r="B73" s="66" t="s">
        <v>54</v>
      </c>
      <c r="C73" s="156">
        <v>100.47</v>
      </c>
      <c r="D73" s="156">
        <v>87.96</v>
      </c>
      <c r="E73" s="156">
        <v>109.23</v>
      </c>
      <c r="F73" s="156">
        <v>168.5</v>
      </c>
      <c r="G73" s="157">
        <v>78.83</v>
      </c>
      <c r="H73" s="157">
        <v>75.26</v>
      </c>
      <c r="I73" s="156"/>
      <c r="J73" s="156"/>
      <c r="K73" s="156"/>
      <c r="L73" s="156"/>
      <c r="M73" s="156"/>
      <c r="N73" s="156"/>
      <c r="Q73" s="103"/>
      <c r="R73" s="103"/>
      <c r="T73" s="152"/>
      <c r="U73" s="152"/>
    </row>
    <row r="74" spans="2:21" ht="12.75">
      <c r="B74" s="66" t="s">
        <v>55</v>
      </c>
      <c r="C74" s="156">
        <v>1082.85</v>
      </c>
      <c r="D74" s="156">
        <v>1119.26</v>
      </c>
      <c r="E74" s="156">
        <v>1065.13</v>
      </c>
      <c r="F74" s="156">
        <v>1065.13</v>
      </c>
      <c r="G74" s="157">
        <v>940.58</v>
      </c>
      <c r="H74" s="157">
        <v>918.23</v>
      </c>
      <c r="I74" s="156"/>
      <c r="J74" s="156"/>
      <c r="K74" s="156"/>
      <c r="L74" s="156"/>
      <c r="M74" s="156"/>
      <c r="N74" s="156"/>
      <c r="R74" s="155"/>
      <c r="S74" s="103"/>
      <c r="T74" s="152"/>
      <c r="U74" s="152"/>
    </row>
    <row r="75" spans="2:21" ht="12.75">
      <c r="B75" s="66" t="s">
        <v>56</v>
      </c>
      <c r="C75" s="156"/>
      <c r="D75" s="156"/>
      <c r="E75" s="156"/>
      <c r="F75" s="156"/>
      <c r="G75" s="157"/>
      <c r="H75" s="157"/>
      <c r="I75" s="156"/>
      <c r="J75" s="156"/>
      <c r="K75" s="156"/>
      <c r="L75" s="156"/>
      <c r="M75" s="156"/>
      <c r="N75" s="156"/>
      <c r="R75" s="155"/>
      <c r="S75" s="103"/>
      <c r="T75" s="152"/>
      <c r="U75" s="152"/>
    </row>
    <row r="76" spans="2:21" ht="12.75">
      <c r="B76" s="66" t="s">
        <v>49</v>
      </c>
      <c r="C76" s="156">
        <v>-25.26</v>
      </c>
      <c r="D76" s="156">
        <v>-19.13</v>
      </c>
      <c r="E76" s="156">
        <v>-3.5700000000000003</v>
      </c>
      <c r="F76" s="156">
        <v>0.74</v>
      </c>
      <c r="G76" s="157">
        <v>-14.63</v>
      </c>
      <c r="H76" s="157">
        <v>-16.67</v>
      </c>
      <c r="I76" s="156"/>
      <c r="J76" s="156"/>
      <c r="K76" s="156"/>
      <c r="L76" s="156"/>
      <c r="M76" s="156"/>
      <c r="N76" s="156"/>
      <c r="R76" s="155"/>
      <c r="S76" s="103"/>
      <c r="T76" s="152"/>
      <c r="U76" s="152"/>
    </row>
    <row r="77" spans="2:21" ht="12.75">
      <c r="B77" s="66" t="s">
        <v>57</v>
      </c>
      <c r="C77" s="158"/>
      <c r="D77" s="158"/>
      <c r="E77" s="158"/>
      <c r="F77" s="158"/>
      <c r="G77" s="159"/>
      <c r="H77" s="159"/>
      <c r="I77" s="158"/>
      <c r="J77" s="158"/>
      <c r="K77" s="158"/>
      <c r="L77" s="158"/>
      <c r="M77" s="158"/>
      <c r="N77" s="158"/>
      <c r="R77" s="155"/>
      <c r="S77" s="152"/>
      <c r="T77" s="152"/>
      <c r="U77" s="152"/>
    </row>
    <row r="78" spans="2:19" ht="12.75">
      <c r="B78" s="66" t="s">
        <v>58</v>
      </c>
      <c r="C78" s="158">
        <v>-134.59</v>
      </c>
      <c r="D78" s="158">
        <v>-134.59</v>
      </c>
      <c r="E78" s="158">
        <v>-134.59</v>
      </c>
      <c r="F78" s="158">
        <v>-134.59</v>
      </c>
      <c r="G78" s="159">
        <v>-134.59</v>
      </c>
      <c r="H78" s="159">
        <v>-134.59</v>
      </c>
      <c r="I78" s="158"/>
      <c r="J78" s="158"/>
      <c r="K78" s="158"/>
      <c r="L78" s="158"/>
      <c r="M78" s="158"/>
      <c r="N78" s="158"/>
      <c r="R78" s="155"/>
      <c r="S78" s="103"/>
    </row>
    <row r="79" spans="2:18" ht="12.75">
      <c r="B79" s="66" t="s">
        <v>59</v>
      </c>
      <c r="C79" s="156">
        <v>-14.309999999999999</v>
      </c>
      <c r="D79" s="156">
        <v>2</v>
      </c>
      <c r="E79" s="156">
        <v>4.19</v>
      </c>
      <c r="F79" s="156">
        <v>8.42</v>
      </c>
      <c r="G79" s="157">
        <v>26.9</v>
      </c>
      <c r="H79" s="157">
        <v>25.77</v>
      </c>
      <c r="I79" s="156"/>
      <c r="J79" s="156"/>
      <c r="K79" s="156"/>
      <c r="L79" s="158"/>
      <c r="M79" s="158"/>
      <c r="N79" s="158"/>
      <c r="O79" s="111">
        <f>SUM(C69:N79)</f>
        <v>6830.9699999999975</v>
      </c>
      <c r="R79" s="155"/>
    </row>
    <row r="80" ht="7.5" customHeight="1">
      <c r="R80" s="155"/>
    </row>
    <row r="81" spans="1:18" ht="12.75">
      <c r="A81" s="83" t="s">
        <v>64</v>
      </c>
      <c r="R81" s="155"/>
    </row>
    <row r="82" spans="2:19" ht="11.25">
      <c r="B82" s="66" t="s">
        <v>24</v>
      </c>
      <c r="C82" s="98">
        <f aca="true" t="shared" si="30" ref="C82:N82">+C69*C55</f>
        <v>0</v>
      </c>
      <c r="D82" s="75">
        <f t="shared" si="30"/>
        <v>0</v>
      </c>
      <c r="E82" s="75">
        <f t="shared" si="30"/>
        <v>0</v>
      </c>
      <c r="F82" s="75">
        <f t="shared" si="30"/>
        <v>0</v>
      </c>
      <c r="G82" s="75">
        <f t="shared" si="30"/>
        <v>0</v>
      </c>
      <c r="H82" s="75">
        <f t="shared" si="30"/>
        <v>0</v>
      </c>
      <c r="I82" s="75">
        <f t="shared" si="30"/>
        <v>0</v>
      </c>
      <c r="J82" s="75">
        <f t="shared" si="30"/>
        <v>0</v>
      </c>
      <c r="K82" s="75">
        <f t="shared" si="30"/>
        <v>0</v>
      </c>
      <c r="L82" s="75">
        <f t="shared" si="30"/>
        <v>0</v>
      </c>
      <c r="M82" s="75">
        <f t="shared" si="30"/>
        <v>0</v>
      </c>
      <c r="N82" s="75">
        <f t="shared" si="30"/>
        <v>0</v>
      </c>
      <c r="P82" s="103"/>
      <c r="Q82" s="103"/>
      <c r="R82" s="103"/>
      <c r="S82" s="103"/>
    </row>
    <row r="83" spans="2:19" ht="12.75">
      <c r="B83" s="66" t="s">
        <v>28</v>
      </c>
      <c r="C83" s="98">
        <f aca="true" t="shared" si="31" ref="C83:M83">+C70*C56</f>
        <v>2673.39460608</v>
      </c>
      <c r="D83" s="75">
        <f>D70*D56</f>
        <v>3285.2483334</v>
      </c>
      <c r="E83" s="75">
        <f t="shared" si="31"/>
        <v>4144.957090559999</v>
      </c>
      <c r="F83" s="75">
        <f t="shared" si="31"/>
        <v>3809.4561014399997</v>
      </c>
      <c r="G83" s="75">
        <f t="shared" si="31"/>
        <v>3536.1903753</v>
      </c>
      <c r="H83" s="75">
        <f t="shared" si="31"/>
        <v>3823.7101056000006</v>
      </c>
      <c r="I83" s="75">
        <f t="shared" si="31"/>
        <v>0</v>
      </c>
      <c r="J83" s="75">
        <f t="shared" si="31"/>
        <v>0</v>
      </c>
      <c r="K83" s="75">
        <f t="shared" si="31"/>
        <v>0</v>
      </c>
      <c r="L83" s="75">
        <f t="shared" si="31"/>
        <v>0</v>
      </c>
      <c r="M83" s="75">
        <f t="shared" si="31"/>
        <v>0</v>
      </c>
      <c r="N83" s="75">
        <f>+N70*N56</f>
        <v>0</v>
      </c>
      <c r="P83" s="103"/>
      <c r="Q83" s="60"/>
      <c r="R83" s="152"/>
      <c r="S83" s="103"/>
    </row>
    <row r="84" spans="2:19" ht="12.75">
      <c r="B84" s="66" t="s">
        <v>52</v>
      </c>
      <c r="C84" s="98">
        <f aca="true" t="shared" si="32" ref="C84:N84">+C71*C57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c r="P84" s="103"/>
      <c r="Q84" s="60"/>
      <c r="R84" s="152"/>
      <c r="S84" s="103"/>
    </row>
    <row r="85" spans="2:19" ht="12.75">
      <c r="B85" s="66" t="s">
        <v>53</v>
      </c>
      <c r="C85" s="98">
        <f aca="true" t="shared" si="33" ref="C85:N85">+C72*C58</f>
        <v>515.5494432</v>
      </c>
      <c r="D85" s="75">
        <f>+D72*D58</f>
        <v>470.9853885</v>
      </c>
      <c r="E85" s="75">
        <f t="shared" si="33"/>
        <v>511.0869984000001</v>
      </c>
      <c r="F85" s="75">
        <f t="shared" si="33"/>
        <v>359.76567825</v>
      </c>
      <c r="G85" s="75">
        <f t="shared" si="33"/>
        <v>357.1676377500001</v>
      </c>
      <c r="H85" s="75">
        <f t="shared" si="33"/>
        <v>386.15251950000004</v>
      </c>
      <c r="I85" s="75">
        <f t="shared" si="33"/>
        <v>0</v>
      </c>
      <c r="J85" s="75">
        <f t="shared" si="33"/>
        <v>0</v>
      </c>
      <c r="K85" s="75">
        <f t="shared" si="33"/>
        <v>0</v>
      </c>
      <c r="L85" s="75">
        <f t="shared" si="33"/>
        <v>0</v>
      </c>
      <c r="M85" s="75">
        <f t="shared" si="33"/>
        <v>0</v>
      </c>
      <c r="N85" s="75">
        <f t="shared" si="33"/>
        <v>0</v>
      </c>
      <c r="P85" s="103"/>
      <c r="Q85" s="60"/>
      <c r="R85" s="152"/>
      <c r="S85" s="103"/>
    </row>
    <row r="86" spans="2:19" ht="12.75">
      <c r="B86" s="66" t="s">
        <v>54</v>
      </c>
      <c r="C86" s="98">
        <f aca="true" t="shared" si="34" ref="C86:M86">+C73*C59</f>
        <v>1555.0674261600002</v>
      </c>
      <c r="D86" s="75">
        <f t="shared" si="34"/>
        <v>1211.2822067999998</v>
      </c>
      <c r="E86" s="75">
        <f t="shared" si="34"/>
        <v>1668.2898883200003</v>
      </c>
      <c r="F86" s="75">
        <f t="shared" si="34"/>
        <v>2667.1185945</v>
      </c>
      <c r="G86" s="75">
        <f t="shared" si="34"/>
        <v>1100.03094893</v>
      </c>
      <c r="H86" s="75">
        <f t="shared" si="34"/>
        <v>1011.5557369000003</v>
      </c>
      <c r="I86" s="75">
        <f t="shared" si="34"/>
        <v>0</v>
      </c>
      <c r="J86" s="75">
        <f t="shared" si="34"/>
        <v>0</v>
      </c>
      <c r="K86" s="75">
        <f t="shared" si="34"/>
        <v>0</v>
      </c>
      <c r="L86" s="75">
        <f t="shared" si="34"/>
        <v>0</v>
      </c>
      <c r="M86" s="75">
        <f t="shared" si="34"/>
        <v>0</v>
      </c>
      <c r="N86" s="75">
        <f>+N73*N59</f>
        <v>0</v>
      </c>
      <c r="P86" s="103"/>
      <c r="Q86" s="60"/>
      <c r="R86" s="152"/>
      <c r="S86" s="103"/>
    </row>
    <row r="87" spans="2:19" ht="12.75">
      <c r="B87" s="66" t="s">
        <v>55</v>
      </c>
      <c r="C87" s="98">
        <f aca="true" t="shared" si="35" ref="C87:N87">+C74*C60</f>
        <v>2799.6003899999996</v>
      </c>
      <c r="D87" s="75">
        <f t="shared" si="35"/>
        <v>2574.5778149999996</v>
      </c>
      <c r="E87" s="75">
        <f t="shared" si="35"/>
        <v>2717.3596560000005</v>
      </c>
      <c r="F87" s="75">
        <f t="shared" si="35"/>
        <v>2816.17709175</v>
      </c>
      <c r="G87" s="75">
        <f t="shared" si="35"/>
        <v>2192.4214365000003</v>
      </c>
      <c r="H87" s="75">
        <f t="shared" si="35"/>
        <v>2061.54112875</v>
      </c>
      <c r="I87" s="75">
        <f t="shared" si="35"/>
        <v>0</v>
      </c>
      <c r="J87" s="75">
        <f>+J74*J60</f>
        <v>0</v>
      </c>
      <c r="K87" s="75">
        <f t="shared" si="35"/>
        <v>0</v>
      </c>
      <c r="L87" s="75">
        <f t="shared" si="35"/>
        <v>0</v>
      </c>
      <c r="M87" s="75">
        <f t="shared" si="35"/>
        <v>0</v>
      </c>
      <c r="N87" s="75">
        <f t="shared" si="35"/>
        <v>0</v>
      </c>
      <c r="P87" s="103"/>
      <c r="Q87" s="60"/>
      <c r="R87" s="152"/>
      <c r="S87" s="103"/>
    </row>
    <row r="88" spans="2:19" ht="12.75">
      <c r="B88" s="66" t="s">
        <v>56</v>
      </c>
      <c r="C88" s="98">
        <f aca="true" t="shared" si="36" ref="C88:N88">+C75*C61</f>
        <v>0</v>
      </c>
      <c r="D88" s="75">
        <f t="shared" si="36"/>
        <v>0</v>
      </c>
      <c r="E88" s="75">
        <f t="shared" si="36"/>
        <v>0</v>
      </c>
      <c r="F88" s="75">
        <f t="shared" si="36"/>
        <v>0</v>
      </c>
      <c r="G88" s="75">
        <f t="shared" si="36"/>
        <v>0</v>
      </c>
      <c r="H88" s="75">
        <f t="shared" si="36"/>
        <v>0</v>
      </c>
      <c r="I88" s="75"/>
      <c r="J88" s="75">
        <f t="shared" si="36"/>
        <v>0</v>
      </c>
      <c r="K88" s="75">
        <f t="shared" si="36"/>
        <v>0</v>
      </c>
      <c r="L88" s="75">
        <f t="shared" si="36"/>
        <v>0</v>
      </c>
      <c r="M88" s="75">
        <f t="shared" si="36"/>
        <v>0</v>
      </c>
      <c r="N88" s="75">
        <f t="shared" si="36"/>
        <v>0</v>
      </c>
      <c r="P88" s="103"/>
      <c r="Q88" s="60"/>
      <c r="R88" s="152"/>
      <c r="S88" s="103"/>
    </row>
    <row r="89" spans="2:19" ht="12.75">
      <c r="B89" s="66" t="s">
        <v>49</v>
      </c>
      <c r="C89" s="98">
        <f aca="true" t="shared" si="37" ref="C89:N89">+C76*C62</f>
        <v>-1539.5084889600002</v>
      </c>
      <c r="D89" s="75">
        <f t="shared" si="37"/>
        <v>-1037.3158328</v>
      </c>
      <c r="E89" s="75">
        <f t="shared" si="37"/>
        <v>-214.70082816000004</v>
      </c>
      <c r="F89" s="75">
        <f t="shared" si="37"/>
        <v>46.12220496</v>
      </c>
      <c r="G89" s="75">
        <f t="shared" si="37"/>
        <v>-803.8844413600001</v>
      </c>
      <c r="H89" s="75">
        <f t="shared" si="37"/>
        <v>-882.2610836000002</v>
      </c>
      <c r="I89" s="75">
        <f t="shared" si="37"/>
        <v>0</v>
      </c>
      <c r="J89" s="75">
        <f t="shared" si="37"/>
        <v>0</v>
      </c>
      <c r="K89" s="75">
        <f t="shared" si="37"/>
        <v>0</v>
      </c>
      <c r="L89" s="75">
        <f t="shared" si="37"/>
        <v>0</v>
      </c>
      <c r="M89" s="75">
        <f t="shared" si="37"/>
        <v>0</v>
      </c>
      <c r="N89" s="75">
        <f t="shared" si="37"/>
        <v>0</v>
      </c>
      <c r="P89" s="103"/>
      <c r="Q89" s="60"/>
      <c r="R89" s="152"/>
      <c r="S89" s="103"/>
    </row>
    <row r="90" spans="2:19" ht="12.75">
      <c r="B90" s="66" t="s">
        <v>57</v>
      </c>
      <c r="C90" s="98">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c r="P90" s="103"/>
      <c r="Q90" s="60"/>
      <c r="R90" s="152"/>
      <c r="S90" s="103"/>
    </row>
    <row r="91" spans="2:19" ht="11.25">
      <c r="B91" s="66" t="s">
        <v>58</v>
      </c>
      <c r="C91" s="98">
        <f aca="true" t="shared" si="39" ref="C91:J91">+C78*C64</f>
        <v>-2751.2747826400064</v>
      </c>
      <c r="D91" s="75">
        <f t="shared" si="39"/>
        <v>-2447.8300529000053</v>
      </c>
      <c r="E91" s="75">
        <f t="shared" si="39"/>
        <v>-2714.880569920006</v>
      </c>
      <c r="F91" s="75">
        <f t="shared" si="39"/>
        <v>-2813.607853110006</v>
      </c>
      <c r="G91" s="75">
        <f t="shared" si="39"/>
        <v>-2480.4731077300057</v>
      </c>
      <c r="H91" s="75">
        <f t="shared" si="39"/>
        <v>-2389.1683284500054</v>
      </c>
      <c r="I91" s="75">
        <f t="shared" si="39"/>
        <v>0</v>
      </c>
      <c r="J91" s="75">
        <f t="shared" si="39"/>
        <v>0</v>
      </c>
      <c r="K91" s="75">
        <f aca="true" t="shared" si="40" ref="K91:N92">+K78*K64</f>
        <v>0</v>
      </c>
      <c r="L91" s="75">
        <f t="shared" si="40"/>
        <v>0</v>
      </c>
      <c r="M91" s="75">
        <f t="shared" si="40"/>
        <v>0</v>
      </c>
      <c r="N91" s="75">
        <f t="shared" si="40"/>
        <v>0</v>
      </c>
      <c r="P91" s="103"/>
      <c r="Q91" s="103"/>
      <c r="R91" s="103"/>
      <c r="S91" s="103"/>
    </row>
    <row r="92" spans="2:14" ht="11.25">
      <c r="B92" s="66" t="s">
        <v>59</v>
      </c>
      <c r="C92" s="99">
        <f aca="true" t="shared" si="41" ref="C92:J92">+C79*C65</f>
        <v>-2549.345045759999</v>
      </c>
      <c r="D92" s="90">
        <f t="shared" si="41"/>
        <v>317.0051199999999</v>
      </c>
      <c r="E92" s="90">
        <f t="shared" si="41"/>
        <v>736.57974272</v>
      </c>
      <c r="F92" s="90">
        <f t="shared" si="41"/>
        <v>1534.0187836799994</v>
      </c>
      <c r="G92" s="90">
        <f t="shared" si="41"/>
        <v>4320.5777167999995</v>
      </c>
      <c r="H92" s="90">
        <f t="shared" si="41"/>
        <v>3986.724141599999</v>
      </c>
      <c r="I92" s="90">
        <f t="shared" si="41"/>
        <v>0</v>
      </c>
      <c r="J92" s="90">
        <f t="shared" si="41"/>
        <v>0</v>
      </c>
      <c r="K92" s="90">
        <f t="shared" si="40"/>
        <v>0</v>
      </c>
      <c r="L92" s="90">
        <f t="shared" si="40"/>
        <v>0</v>
      </c>
      <c r="M92" s="90">
        <f t="shared" si="40"/>
        <v>0</v>
      </c>
      <c r="N92" s="75">
        <f t="shared" si="40"/>
        <v>0</v>
      </c>
    </row>
    <row r="93" spans="1:15" ht="11.25">
      <c r="A93" s="83" t="s">
        <v>65</v>
      </c>
      <c r="B93" s="83"/>
      <c r="C93" s="100">
        <f aca="true" t="shared" si="42" ref="C93:J93">SUM(C82:C92)</f>
        <v>703.4835480799943</v>
      </c>
      <c r="D93" s="101">
        <f t="shared" si="42"/>
        <v>4373.952977999994</v>
      </c>
      <c r="E93" s="101">
        <f t="shared" si="42"/>
        <v>6848.691977919994</v>
      </c>
      <c r="F93" s="101">
        <f t="shared" si="42"/>
        <v>8419.050601469993</v>
      </c>
      <c r="G93" s="101">
        <f t="shared" si="42"/>
        <v>8222.030566189995</v>
      </c>
      <c r="H93" s="101">
        <f t="shared" si="42"/>
        <v>7998.254220299994</v>
      </c>
      <c r="I93" s="101">
        <f t="shared" si="42"/>
        <v>0</v>
      </c>
      <c r="J93" s="101">
        <f t="shared" si="42"/>
        <v>0</v>
      </c>
      <c r="K93" s="101">
        <f>SUM(K82:K92)</f>
        <v>0</v>
      </c>
      <c r="L93" s="101">
        <f>SUM(L82:L92)</f>
        <v>0</v>
      </c>
      <c r="M93" s="101">
        <f>SUM(M82:M92)</f>
        <v>0</v>
      </c>
      <c r="N93" s="110">
        <f>SUM(N82:N92)</f>
        <v>0</v>
      </c>
      <c r="O93" s="111">
        <f>SUM(C93:N93)/2</f>
        <v>18282.731945979984</v>
      </c>
    </row>
    <row r="94" spans="1:14" ht="11.25">
      <c r="A94" s="83" t="s">
        <v>66</v>
      </c>
      <c r="B94" s="83"/>
      <c r="C94" s="100">
        <f>+C93/C66</f>
        <v>2.0407389999999834</v>
      </c>
      <c r="D94" s="101">
        <f aca="true" t="shared" si="43" ref="D94:J94">+D93/D66</f>
        <v>14.261339999999981</v>
      </c>
      <c r="E94" s="101">
        <f>+E93/E66</f>
        <v>20.133736999999982</v>
      </c>
      <c r="F94" s="101">
        <f t="shared" si="43"/>
        <v>23.881798999999983</v>
      </c>
      <c r="G94" s="101">
        <f t="shared" si="43"/>
        <v>26.455260999999982</v>
      </c>
      <c r="H94" s="101">
        <f t="shared" si="43"/>
        <v>26.718737999999977</v>
      </c>
      <c r="I94" s="101" t="e">
        <f t="shared" si="43"/>
        <v>#DIV/0!</v>
      </c>
      <c r="J94" s="101" t="e">
        <f t="shared" si="43"/>
        <v>#DIV/0!</v>
      </c>
      <c r="K94" s="101" t="e">
        <f>+K93/K66</f>
        <v>#DIV/0!</v>
      </c>
      <c r="L94" s="101" t="e">
        <f>+L93/L66</f>
        <v>#DIV/0!</v>
      </c>
      <c r="M94" s="101" t="e">
        <f>+M93/M66</f>
        <v>#DIV/0!</v>
      </c>
      <c r="N94" s="75" t="e">
        <f>+N93/N66</f>
        <v>#DIV/0!</v>
      </c>
    </row>
    <row r="95" ht="7.5" customHeight="1"/>
    <row r="96" spans="1:14" ht="11.25">
      <c r="A96" s="83"/>
      <c r="C96" s="111"/>
      <c r="D96" s="111"/>
      <c r="E96" s="111"/>
      <c r="F96" s="111"/>
      <c r="G96" s="111"/>
      <c r="H96" s="111"/>
      <c r="I96" s="111"/>
      <c r="J96" s="111"/>
      <c r="K96" s="111"/>
      <c r="L96" s="111"/>
      <c r="M96" s="111"/>
      <c r="N96" s="111"/>
    </row>
    <row r="97" spans="3:10" ht="11.25">
      <c r="C97" s="164"/>
      <c r="D97" s="164"/>
      <c r="E97" s="164"/>
      <c r="F97" s="164"/>
      <c r="G97" s="164"/>
      <c r="H97" s="164"/>
      <c r="I97" s="102"/>
      <c r="J97" s="103"/>
    </row>
    <row r="98" spans="1:10" ht="11.25">
      <c r="A98" s="83"/>
      <c r="B98" s="83"/>
      <c r="C98" s="100"/>
      <c r="D98" s="100"/>
      <c r="E98" s="100"/>
      <c r="F98" s="100"/>
      <c r="G98" s="100"/>
      <c r="H98" s="100"/>
      <c r="I98" s="100"/>
      <c r="J98" s="104"/>
    </row>
    <row r="99" spans="3:10" ht="10.5" customHeight="1">
      <c r="C99" s="165"/>
      <c r="D99" s="166"/>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E102" s="102"/>
      <c r="F102" s="102"/>
      <c r="G102" s="102"/>
      <c r="H102" s="102"/>
      <c r="I102" s="102"/>
      <c r="J102" s="105"/>
    </row>
    <row r="105" ht="11.25">
      <c r="B105" s="66" t="str">
        <f ca="1">CELL("filename")</f>
        <v>S:\District\~WUTC Files~\1. RSA\2017-2019 Plan Year\UTC Filing 12-2018\Eastside Tariff 11\[EastSide Single Family Commodity Credit Template - Dec 2018.xls]WUTC_AW of Bellevue_SF</v>
      </c>
    </row>
    <row r="107" spans="3:4" ht="11.25">
      <c r="C107" s="111"/>
      <c r="D107" s="102"/>
    </row>
    <row r="108" spans="3:5" ht="11.25">
      <c r="C108" s="111"/>
      <c r="D108" s="147"/>
      <c r="E108" s="91"/>
    </row>
    <row r="109" spans="3:5" ht="11.25">
      <c r="C109" s="111"/>
      <c r="D109" s="164"/>
      <c r="E109" s="91"/>
    </row>
    <row r="110" spans="3:5" ht="11.25">
      <c r="C110" s="111"/>
      <c r="D110" s="147"/>
      <c r="E110" s="91"/>
    </row>
    <row r="111" spans="3:5" ht="11.25">
      <c r="C111" s="111"/>
      <c r="D111" s="164"/>
      <c r="E111" s="91"/>
    </row>
    <row r="112" spans="3:5" ht="11.25">
      <c r="C112" s="111"/>
      <c r="D112" s="147"/>
      <c r="E112" s="91"/>
    </row>
    <row r="113" spans="3:5" ht="11.25">
      <c r="C113" s="111"/>
      <c r="D113" s="164"/>
      <c r="E113" s="91"/>
    </row>
    <row r="114" spans="3:5" ht="11.25">
      <c r="C114" s="111"/>
      <c r="D114" s="147"/>
      <c r="E114" s="91"/>
    </row>
    <row r="115" spans="3:5" ht="11.25">
      <c r="C115" s="111"/>
      <c r="D115" s="164"/>
      <c r="E115" s="91"/>
    </row>
    <row r="116" spans="3:5" ht="11.25">
      <c r="C116" s="111"/>
      <c r="D116" s="147"/>
      <c r="E116" s="91"/>
    </row>
    <row r="117" spans="3:5" ht="11.25">
      <c r="C117" s="111"/>
      <c r="D117" s="164"/>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2018-11-16T21:46:54Z</cp:lastPrinted>
  <dcterms:created xsi:type="dcterms:W3CDTF">2008-05-23T15:47:44Z</dcterms:created>
  <dcterms:modified xsi:type="dcterms:W3CDTF">2018-12-04T15:10:25Z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181020</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