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September 2017\Sept 8 Friday\170851\"/>
    </mc:Choice>
  </mc:AlternateContent>
  <bookViews>
    <workbookView xWindow="0" yWindow="0" windowWidth="24975" windowHeight="16305" tabRatio="889" activeTab="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2" l="1"/>
  <c r="H32" i="2"/>
  <c r="H38" i="2"/>
  <c r="H46" i="2"/>
  <c r="D41" i="1"/>
  <c r="H20" i="12"/>
  <c r="H32" i="12"/>
  <c r="H35" i="12"/>
  <c r="H38" i="12"/>
  <c r="H46" i="12"/>
  <c r="D41" i="13"/>
  <c r="D15" i="1"/>
  <c r="D22" i="1"/>
  <c r="D23" i="1"/>
  <c r="D28" i="1"/>
  <c r="D29" i="1"/>
  <c r="D34" i="1"/>
  <c r="D38" i="1"/>
  <c r="D39" i="1"/>
  <c r="D56" i="1"/>
  <c r="E12" i="3"/>
  <c r="E16" i="3"/>
  <c r="E19" i="3"/>
  <c r="D16" i="3"/>
  <c r="D12" i="3"/>
  <c r="C25" i="12"/>
  <c r="C46" i="12"/>
  <c r="C47" i="12"/>
  <c r="C35" i="12"/>
  <c r="D12" i="13"/>
  <c r="D15" i="13"/>
  <c r="D16" i="13"/>
  <c r="D17" i="13"/>
  <c r="D20" i="13"/>
  <c r="D21" i="13"/>
  <c r="D22" i="13"/>
  <c r="D23" i="13"/>
  <c r="D26" i="13"/>
  <c r="D27" i="13"/>
  <c r="D28" i="13"/>
  <c r="D29" i="13"/>
  <c r="D30" i="13"/>
  <c r="D34" i="13"/>
  <c r="D38" i="13"/>
  <c r="E38" i="13"/>
  <c r="C12" i="13"/>
  <c r="D14" i="2"/>
  <c r="A3" i="5"/>
  <c r="I35" i="12"/>
  <c r="G35" i="5"/>
  <c r="E14" i="18"/>
  <c r="D10" i="2"/>
  <c r="I35" i="2"/>
  <c r="F35" i="5"/>
  <c r="D14" i="18"/>
  <c r="C22" i="13"/>
  <c r="C22" i="1"/>
  <c r="B4" i="16"/>
  <c r="A3" i="17"/>
  <c r="B3" i="3"/>
  <c r="B3" i="10"/>
  <c r="B3" i="1"/>
  <c r="B3" i="8"/>
  <c r="B3" i="18"/>
  <c r="F14" i="18"/>
  <c r="D19" i="3"/>
  <c r="E52" i="13"/>
  <c r="D52" i="10"/>
  <c r="D51" i="13"/>
  <c r="C51" i="13"/>
  <c r="E50" i="13"/>
  <c r="D50" i="10"/>
  <c r="E49" i="13"/>
  <c r="D49" i="10"/>
  <c r="E48" i="13"/>
  <c r="D48" i="10"/>
  <c r="E46" i="13"/>
  <c r="D46" i="10"/>
  <c r="E45" i="13"/>
  <c r="D45" i="10"/>
  <c r="E44" i="13"/>
  <c r="D44" i="10"/>
  <c r="E43" i="13"/>
  <c r="D43" i="10"/>
  <c r="E42" i="13"/>
  <c r="E41" i="13"/>
  <c r="D41" i="10"/>
  <c r="E37" i="13"/>
  <c r="D37" i="10"/>
  <c r="E36" i="13"/>
  <c r="D36" i="10"/>
  <c r="E35" i="13"/>
  <c r="D35" i="10"/>
  <c r="C34" i="13"/>
  <c r="E33" i="13"/>
  <c r="D33" i="10"/>
  <c r="E32" i="13"/>
  <c r="D32" i="10"/>
  <c r="E31" i="13"/>
  <c r="D31" i="10"/>
  <c r="E30" i="13"/>
  <c r="C28" i="13"/>
  <c r="E27" i="13"/>
  <c r="D27" i="10"/>
  <c r="E25" i="13"/>
  <c r="D25" i="10"/>
  <c r="E24" i="13"/>
  <c r="D24" i="10"/>
  <c r="E21" i="13"/>
  <c r="D21" i="10"/>
  <c r="E20" i="13"/>
  <c r="D20" i="10"/>
  <c r="E19" i="13"/>
  <c r="D19" i="10"/>
  <c r="E18" i="13"/>
  <c r="D18" i="10"/>
  <c r="E17" i="13"/>
  <c r="D17" i="10"/>
  <c r="E16" i="13"/>
  <c r="C15" i="13"/>
  <c r="C23" i="13"/>
  <c r="E14" i="13"/>
  <c r="D14" i="10"/>
  <c r="E13" i="13"/>
  <c r="D13" i="10"/>
  <c r="E12" i="13"/>
  <c r="D12" i="10"/>
  <c r="E11" i="13"/>
  <c r="D11" i="10"/>
  <c r="E10" i="13"/>
  <c r="D10" i="10"/>
  <c r="E20" i="3"/>
  <c r="E21" i="3"/>
  <c r="E9" i="13"/>
  <c r="D42" i="10"/>
  <c r="E22" i="13"/>
  <c r="E51" i="13"/>
  <c r="E34" i="13"/>
  <c r="D16" i="10"/>
  <c r="D22" i="10"/>
  <c r="D30" i="10"/>
  <c r="E15" i="13"/>
  <c r="D9" i="10"/>
  <c r="C29" i="13"/>
  <c r="C39" i="13"/>
  <c r="C54" i="13"/>
  <c r="C53" i="13"/>
  <c r="E23" i="13"/>
  <c r="E26" i="13"/>
  <c r="C55" i="13"/>
  <c r="C47" i="13"/>
  <c r="C56" i="13"/>
  <c r="I43" i="12"/>
  <c r="G43" i="5"/>
  <c r="I23" i="12"/>
  <c r="G23" i="5"/>
  <c r="G47" i="12"/>
  <c r="B47" i="12"/>
  <c r="D46" i="12"/>
  <c r="C46" i="5"/>
  <c r="E12" i="18"/>
  <c r="I45" i="12"/>
  <c r="G45" i="5"/>
  <c r="D45" i="12"/>
  <c r="C45" i="5"/>
  <c r="I44" i="12"/>
  <c r="G44" i="5"/>
  <c r="D44" i="12"/>
  <c r="C44" i="5"/>
  <c r="D43" i="12"/>
  <c r="C43" i="5"/>
  <c r="E11" i="18"/>
  <c r="I42" i="12"/>
  <c r="G42" i="5"/>
  <c r="D42" i="12"/>
  <c r="C42" i="5"/>
  <c r="E10" i="18"/>
  <c r="I41" i="12"/>
  <c r="G41" i="5"/>
  <c r="I40" i="12"/>
  <c r="G40" i="5"/>
  <c r="B39" i="12"/>
  <c r="G38" i="12"/>
  <c r="D38" i="12"/>
  <c r="C38" i="5"/>
  <c r="I37" i="12"/>
  <c r="G37" i="5"/>
  <c r="D37" i="12"/>
  <c r="C37" i="5"/>
  <c r="I36" i="12"/>
  <c r="G36" i="5"/>
  <c r="D36" i="12"/>
  <c r="C36" i="5"/>
  <c r="I34" i="12"/>
  <c r="D34" i="12"/>
  <c r="C34" i="5"/>
  <c r="G32" i="12"/>
  <c r="D33" i="12"/>
  <c r="C33" i="5"/>
  <c r="I31" i="12"/>
  <c r="G31" i="5"/>
  <c r="I30" i="12"/>
  <c r="G30" i="5"/>
  <c r="D31" i="12"/>
  <c r="C31" i="5"/>
  <c r="I29" i="12"/>
  <c r="G29" i="5"/>
  <c r="D30" i="12"/>
  <c r="C30" i="5"/>
  <c r="I28" i="12"/>
  <c r="G28" i="5"/>
  <c r="I27" i="12"/>
  <c r="G27" i="5"/>
  <c r="I26" i="12"/>
  <c r="G26" i="5"/>
  <c r="I25" i="12"/>
  <c r="G25" i="5"/>
  <c r="B25" i="12"/>
  <c r="I24" i="12"/>
  <c r="G24" i="5"/>
  <c r="D24" i="12"/>
  <c r="C24" i="5"/>
  <c r="D23" i="12"/>
  <c r="C23" i="5"/>
  <c r="I22" i="12"/>
  <c r="D22" i="12"/>
  <c r="C22" i="5"/>
  <c r="D21" i="12"/>
  <c r="C21" i="5"/>
  <c r="E13" i="18"/>
  <c r="G20" i="12"/>
  <c r="D20" i="12"/>
  <c r="C20" i="5"/>
  <c r="I19" i="12"/>
  <c r="G19" i="5"/>
  <c r="D19" i="12"/>
  <c r="C19" i="5"/>
  <c r="I18" i="12"/>
  <c r="G18" i="5"/>
  <c r="D18" i="12"/>
  <c r="C18" i="5"/>
  <c r="I17" i="12"/>
  <c r="G17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C25" i="2"/>
  <c r="E15" i="18"/>
  <c r="C11" i="16"/>
  <c r="D11" i="16"/>
  <c r="I32" i="12"/>
  <c r="I38" i="12"/>
  <c r="E28" i="13"/>
  <c r="E29" i="13"/>
  <c r="E39" i="13"/>
  <c r="E47" i="13"/>
  <c r="D26" i="10"/>
  <c r="D53" i="13"/>
  <c r="D54" i="13"/>
  <c r="G22" i="5"/>
  <c r="B49" i="12"/>
  <c r="G49" i="12"/>
  <c r="I20" i="12"/>
  <c r="G10" i="5"/>
  <c r="G34" i="5"/>
  <c r="D47" i="12"/>
  <c r="D25" i="12"/>
  <c r="E11" i="8"/>
  <c r="E10" i="8"/>
  <c r="E54" i="13"/>
  <c r="E53" i="13"/>
  <c r="D39" i="13"/>
  <c r="I46" i="12"/>
  <c r="H47" i="12"/>
  <c r="H49" i="12"/>
  <c r="D35" i="12"/>
  <c r="C39" i="12"/>
  <c r="C49" i="12"/>
  <c r="D11" i="2"/>
  <c r="E56" i="13"/>
  <c r="D38" i="10"/>
  <c r="D55" i="13"/>
  <c r="D47" i="13"/>
  <c r="D56" i="13"/>
  <c r="I47" i="12"/>
  <c r="I49" i="12"/>
  <c r="G46" i="5"/>
  <c r="D39" i="12"/>
  <c r="D49" i="12"/>
  <c r="C35" i="5"/>
  <c r="D34" i="2"/>
  <c r="B39" i="2"/>
  <c r="E55" i="13"/>
  <c r="E52" i="1"/>
  <c r="C51" i="1"/>
  <c r="E30" i="1"/>
  <c r="E31" i="1"/>
  <c r="C52" i="10"/>
  <c r="E50" i="1"/>
  <c r="C50" i="10"/>
  <c r="E49" i="1"/>
  <c r="C49" i="10"/>
  <c r="E48" i="1"/>
  <c r="C48" i="10"/>
  <c r="E41" i="1"/>
  <c r="C41" i="10"/>
  <c r="E42" i="1"/>
  <c r="C42" i="10"/>
  <c r="E43" i="1"/>
  <c r="C43" i="10"/>
  <c r="E44" i="1"/>
  <c r="C44" i="10"/>
  <c r="E45" i="1"/>
  <c r="C45" i="10"/>
  <c r="E46" i="1"/>
  <c r="C46" i="10"/>
  <c r="E36" i="1"/>
  <c r="C36" i="10"/>
  <c r="E37" i="1"/>
  <c r="C37" i="10"/>
  <c r="E35" i="1"/>
  <c r="C31" i="10"/>
  <c r="E32" i="1"/>
  <c r="E33" i="1"/>
  <c r="C33" i="10"/>
  <c r="C30" i="10"/>
  <c r="E25" i="1"/>
  <c r="E27" i="1"/>
  <c r="C27" i="10"/>
  <c r="E24" i="1"/>
  <c r="C24" i="10"/>
  <c r="E17" i="1"/>
  <c r="C17" i="10"/>
  <c r="E18" i="1"/>
  <c r="C18" i="10"/>
  <c r="E19" i="1"/>
  <c r="C19" i="10"/>
  <c r="E20" i="1"/>
  <c r="C20" i="10"/>
  <c r="E21" i="1"/>
  <c r="C21" i="10"/>
  <c r="E16" i="1"/>
  <c r="E10" i="1"/>
  <c r="E11" i="1"/>
  <c r="C11" i="10"/>
  <c r="E12" i="1"/>
  <c r="C12" i="10"/>
  <c r="E13" i="1"/>
  <c r="C13" i="10"/>
  <c r="E14" i="1"/>
  <c r="C14" i="10"/>
  <c r="E9" i="1"/>
  <c r="C9" i="10"/>
  <c r="D51" i="1"/>
  <c r="C34" i="1"/>
  <c r="C28" i="1"/>
  <c r="C15" i="1"/>
  <c r="C16" i="10"/>
  <c r="C22" i="10"/>
  <c r="E22" i="1"/>
  <c r="C35" i="10"/>
  <c r="E34" i="1"/>
  <c r="D15" i="10"/>
  <c r="C10" i="10"/>
  <c r="C53" i="1"/>
  <c r="C54" i="1"/>
  <c r="D51" i="10"/>
  <c r="D34" i="10"/>
  <c r="C51" i="10"/>
  <c r="C25" i="10"/>
  <c r="C23" i="1"/>
  <c r="D28" i="10"/>
  <c r="C32" i="10"/>
  <c r="C34" i="10"/>
  <c r="E51" i="1"/>
  <c r="E15" i="1"/>
  <c r="I41" i="2"/>
  <c r="F41" i="5"/>
  <c r="I42" i="2"/>
  <c r="F42" i="5"/>
  <c r="I43" i="2"/>
  <c r="F43" i="5"/>
  <c r="I44" i="2"/>
  <c r="F44" i="5"/>
  <c r="I45" i="2"/>
  <c r="F45" i="5"/>
  <c r="I40" i="2"/>
  <c r="F40" i="5"/>
  <c r="I36" i="2"/>
  <c r="F36" i="5"/>
  <c r="I37" i="2"/>
  <c r="F37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3" i="2"/>
  <c r="D44" i="2"/>
  <c r="D45" i="2"/>
  <c r="D46" i="2"/>
  <c r="D42" i="2"/>
  <c r="B42" i="5"/>
  <c r="D10" i="18"/>
  <c r="F10" i="18"/>
  <c r="D36" i="2"/>
  <c r="D37" i="2"/>
  <c r="D38" i="2"/>
  <c r="D33" i="2"/>
  <c r="D31" i="2"/>
  <c r="D30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5" i="2"/>
  <c r="D13" i="2"/>
  <c r="B10" i="5"/>
  <c r="D12" i="8"/>
  <c r="C12" i="8"/>
  <c r="F10" i="8"/>
  <c r="E23" i="1"/>
  <c r="C15" i="10"/>
  <c r="C23" i="10"/>
  <c r="D20" i="3"/>
  <c r="D21" i="3"/>
  <c r="C29" i="1"/>
  <c r="C39" i="1"/>
  <c r="G47" i="5"/>
  <c r="C39" i="5"/>
  <c r="D54" i="10"/>
  <c r="D53" i="10"/>
  <c r="E12" i="8"/>
  <c r="F12" i="8"/>
  <c r="D23" i="10"/>
  <c r="D29" i="10"/>
  <c r="C13" i="16"/>
  <c r="G38" i="5"/>
  <c r="G32" i="5"/>
  <c r="G20" i="5"/>
  <c r="C47" i="5"/>
  <c r="F38" i="5"/>
  <c r="F32" i="5"/>
  <c r="F20" i="5"/>
  <c r="F11" i="8"/>
  <c r="B43" i="5"/>
  <c r="D11" i="18"/>
  <c r="B44" i="5"/>
  <c r="B45" i="5"/>
  <c r="B46" i="5"/>
  <c r="D12" i="18"/>
  <c r="F12" i="18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I38" i="2"/>
  <c r="G38" i="2"/>
  <c r="I32" i="2"/>
  <c r="G32" i="2"/>
  <c r="I20" i="2"/>
  <c r="G20" i="2"/>
  <c r="C47" i="2"/>
  <c r="C35" i="2"/>
  <c r="C39" i="2"/>
  <c r="D47" i="2"/>
  <c r="B47" i="2"/>
  <c r="D25" i="2"/>
  <c r="B25" i="2"/>
  <c r="C15" i="16"/>
  <c r="D13" i="16"/>
  <c r="D15" i="16"/>
  <c r="F11" i="18"/>
  <c r="D15" i="18"/>
  <c r="C10" i="16"/>
  <c r="D10" i="16"/>
  <c r="D12" i="16"/>
  <c r="E26" i="1"/>
  <c r="I46" i="2"/>
  <c r="F46" i="5"/>
  <c r="F47" i="5"/>
  <c r="F49" i="5"/>
  <c r="C47" i="1"/>
  <c r="C56" i="1"/>
  <c r="C55" i="1"/>
  <c r="D35" i="2"/>
  <c r="D39" i="10"/>
  <c r="D47" i="10"/>
  <c r="G49" i="2"/>
  <c r="B49" i="2"/>
  <c r="B47" i="5"/>
  <c r="G49" i="5"/>
  <c r="B25" i="5"/>
  <c r="C49" i="5"/>
  <c r="H47" i="2"/>
  <c r="H49" i="2"/>
  <c r="D16" i="16"/>
  <c r="F15" i="18"/>
  <c r="D54" i="1"/>
  <c r="D53" i="1"/>
  <c r="C26" i="10"/>
  <c r="C28" i="10"/>
  <c r="E28" i="1"/>
  <c r="I47" i="2"/>
  <c r="I49" i="2"/>
  <c r="D55" i="10"/>
  <c r="C49" i="2"/>
  <c r="D56" i="10"/>
  <c r="E54" i="1"/>
  <c r="E53" i="1"/>
  <c r="E29" i="1"/>
  <c r="C54" i="10"/>
  <c r="C53" i="10"/>
  <c r="C29" i="10"/>
  <c r="E38" i="1"/>
  <c r="D39" i="2"/>
  <c r="D49" i="2"/>
  <c r="B35" i="5"/>
  <c r="B39" i="5"/>
  <c r="B49" i="5"/>
  <c r="E39" i="1"/>
  <c r="C12" i="16"/>
  <c r="C16" i="16"/>
  <c r="D55" i="1"/>
  <c r="C38" i="10"/>
  <c r="C39" i="10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<sst xmlns="http://schemas.openxmlformats.org/spreadsheetml/2006/main" count="632" uniqueCount="269">
  <si>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</si>
  <si>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</si>
  <si>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</si>
  <si>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</si>
  <si>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</si>
  <si>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</si>
  <si>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</si>
  <si>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</si>
  <si>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</si>
  <si>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</si>
  <si>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</si>
  <si>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</si>
  <si>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</si>
  <si>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</si>
  <si>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</si>
  <si>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</si>
  <si>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</si>
  <si>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</si>
  <si>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</si>
  <si>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</si>
  <si>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</si>
  <si>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</si>
  <si>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</si>
  <si>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</si>
  <si>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</si>
  <si>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</si>
  <si>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</si>
  <si>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</si>
  <si>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</si>
  <si>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</si>
  <si>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</si>
  <si>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</si>
  <si>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</si>
  <si>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</si>
  <si>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</si>
  <si>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</si>
  <si>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</si>
  <si>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</si>
  <si>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</si>
  <si>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</si>
  <si>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</si>
  <si>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</si>
  <si>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</si>
  <si>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</si>
  <si>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</si>
  <si>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</si>
  <si>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</si>
  <si>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</si>
  <si>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</si>
  <si>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</si>
  <si>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</si>
  <si>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</si>
  <si>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</si>
  <si>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</si>
  <si>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</si>
  <si>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</si>
  <si>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</si>
  <si>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</si>
  <si>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</si>
  <si>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</si>
  <si>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</si>
  <si>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</si>
  <si>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</si>
  <si>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</si>
  <si>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</si>
  <si>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</si>
  <si>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</si>
  <si>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</si>
  <si>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</si>
  <si>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</si>
  <si>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</si>
  <si>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</si>
  <si>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</si>
  <si>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</si>
  <si>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</si>
  <si>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</si>
  <si>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</si>
  <si>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</si>
  <si>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</si>
  <si>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</si>
  <si>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</si>
  <si>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</si>
  <si>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</si>
  <si>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</si>
  <si>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</si>
  <si>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</si>
  <si>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</si>
  <si>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</si>
  <si>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</si>
  <si>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</si>
  <si>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</si>
  <si>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</si>
  <si>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</si>
  <si>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</si>
  <si>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</si>
  <si>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</si>
  <si>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</si>
  <si>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</si>
  <si>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</si>
  <si>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</si>
  <si>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</si>
  <si>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</si>
  <si>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</si>
  <si>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</si>
  <si>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</si>
  <si>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</si>
  <si>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</si>
  <si>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</si>
  <si>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</si>
  <si>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</si>
  <si>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</si>
  <si>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</si>
  <si>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</si>
  <si>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</si>
  <si>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</si>
  <si>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</si>
  <si>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</si>
  <si>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</si>
  <si>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</si>
  <si>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</si>
  <si>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</si>
  <si>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</si>
  <si>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</si>
  <si>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</si>
  <si>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</si>
  <si>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</si>
  <si>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</si>
  <si>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</si>
  <si>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</si>
  <si>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</si>
  <si>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</si>
  <si>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</si>
  <si>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</si>
  <si>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</si>
  <si>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</si>
  <si>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</si>
  <si>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</si>
  <si>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</si>
  <si>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</si>
  <si>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</si>
  <si>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</si>
  <si>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</si>
  <si>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</si>
  <si>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</si>
  <si>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</si>
  <si>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</si>
  <si>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</si>
  <si>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</si>
  <si>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</si>
  <si>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</si>
  <si>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</si>
  <si>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</si>
  <si>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</si>
  <si>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</si>
  <si>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</si>
  <si>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</si>
  <si>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</si>
  <si>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</si>
  <si>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</si>
  <si>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</si>
  <si>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</si>
  <si>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</si>
  <si>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</si>
  <si>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</si>
  <si>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</si>
  <si>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</si>
  <si>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</si>
  <si>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</si>
  <si>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</si>
  <si>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</si>
  <si>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</si>
  <si>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</si>
  <si>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</si>
  <si>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</si>
  <si>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</si>
  <si>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</si>
  <si>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</si>
  <si>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</si>
  <si>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</si>
  <si>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</si>
  <si>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</si>
  <si>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</si>
  <si>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</si>
  <si>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</si>
  <si>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</si>
  <si>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</si>
  <si>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</si>
  <si>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</si>
  <si>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</si>
  <si>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</si>
  <si>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</si>
  <si>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</si>
  <si>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</si>
  <si>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</si>
  <si>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</si>
  <si>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</si>
  <si>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</si>
  <si>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</si>
  <si>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</si>
  <si>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</si>
  <si>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</si>
  <si>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</si>
  <si>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</si>
  <si>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</si>
  <si>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</si>
  <si>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</si>
  <si>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</si>
  <si>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</si>
  <si>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</si>
  <si>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</si>
  <si>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</si>
  <si>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</si>
  <si>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</si>
  <si>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</si>
  <si>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</si>
  <si>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</si>
  <si>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</si>
  <si>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</si>
  <si>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</si>
  <si>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</si>
  <si>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</si>
  <si>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</si>
  <si>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</si>
  <si>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</si>
  <si>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</si>
  <si>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</si>
  <si>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</si>
  <si>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</si>
  <si>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</si>
  <si>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</si>
  <si>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</si>
  <si>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</si>
  <si>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</si>
  <si>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</si>
  <si>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</si>
  <si>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</si>
  <si>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</si>
  <si>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</si>
  <si>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</si>
  <si>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</si>
  <si>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</si>
  <si>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</si>
  <si>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</si>
  <si>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</si>
  <si>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</si>
  <si>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</si>
  <si>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</si>
  <si>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</si>
  <si>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</si>
  <si>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</si>
  <si>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</si>
  <si>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</si>
  <si>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</si>
  <si>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</si>
  <si>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</si>
  <si>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</si>
  <si>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</si>
  <si>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</si>
  <si>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</si>
  <si>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</si>
  <si>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</si>
  <si>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</si>
  <si>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</si>
  <si>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</si>
  <si>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</si>
  <si>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</si>
  <si>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</si>
  <si>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</si>
  <si>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The Toledo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</si>
</sst>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37" fontId="0" fillId="0" borderId="0" xfId="0" applyNumberFormat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17" sqref="A17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activeCell="E13" sqref="E13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The Toledo Telephone Company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v>276728</v>
      </c>
      <c r="E9" s="55">
        <v>259012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v>155443</v>
      </c>
      <c r="E11" s="52">
        <v>81851</v>
      </c>
    </row>
    <row r="12" spans="1:5" x14ac:dyDescent="0.25">
      <c r="A12" s="10" t="s">
        <v>183</v>
      </c>
      <c r="B12" s="17" t="s">
        <v>210</v>
      </c>
      <c r="C12" s="10"/>
      <c r="D12" s="52">
        <f>1787616.36-990978</f>
        <v>796638.3600000001</v>
      </c>
      <c r="E12" s="52">
        <f>1696902-950957</f>
        <v>745945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>
        <v>13153</v>
      </c>
      <c r="E14" s="52">
        <v>12903.95</v>
      </c>
    </row>
    <row r="15" spans="1:5" x14ac:dyDescent="0.25">
      <c r="A15" s="10" t="s">
        <v>185</v>
      </c>
      <c r="B15" s="17" t="s">
        <v>148</v>
      </c>
      <c r="C15" s="10"/>
      <c r="D15" s="52">
        <v>742918</v>
      </c>
      <c r="E15" s="52">
        <v>697100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f>733972+990978</f>
        <v>1724950</v>
      </c>
      <c r="E16" s="52">
        <f>1124744+950957</f>
        <v>2075701</v>
      </c>
    </row>
    <row r="17" spans="1:5" x14ac:dyDescent="0.25">
      <c r="A17" s="10">
        <v>5</v>
      </c>
      <c r="B17" s="17" t="s">
        <v>199</v>
      </c>
      <c r="C17" s="10"/>
      <c r="D17" s="52">
        <v>405848</v>
      </c>
      <c r="E17" s="52">
        <v>320153</v>
      </c>
    </row>
    <row r="18" spans="1:5" x14ac:dyDescent="0.25">
      <c r="A18" s="10">
        <v>6</v>
      </c>
      <c r="B18" s="17" t="s">
        <v>170</v>
      </c>
      <c r="C18" s="11"/>
      <c r="D18" s="53"/>
      <c r="E18" s="53"/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4115678.3600000003</v>
      </c>
      <c r="E19" s="35">
        <f>E9+E11+E12+E14+E15+E16+E17+E18</f>
        <v>4192665.95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4115678</v>
      </c>
      <c r="E20" s="37">
        <f>IncomeStmtSummary!D10</f>
        <v>4192753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0.36000000033527613</v>
      </c>
      <c r="E21" s="34">
        <f>E19-E20</f>
        <v>-87.049999999813735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workbookViewId="0">
      <selection activeCell="A13" sqref="A13"/>
    </sheetView>
  </sheetViews>
  <sheetFormatPr defaultColWidth="8.85546875" defaultRowHeight="15" x14ac:dyDescent="0.25"/>
  <cols>
    <col min="1" max="1" width="73.42578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The Toledo Telephone Company</v>
      </c>
      <c r="B3" s="66"/>
    </row>
    <row r="6" spans="1:5" x14ac:dyDescent="0.25">
      <c r="A6" s="9" t="s">
        <v>257</v>
      </c>
      <c r="B6" s="9" t="s">
        <v>230</v>
      </c>
      <c r="C6" s="6"/>
      <c r="D6" s="124" t="s">
        <v>195</v>
      </c>
      <c r="E6" s="125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/>
  <headerFooter>
    <oddHeader>&amp;L&amp;"-,Bold"State USF Petition Filing Requirement -WAC 480-123-110 (1)(e)
Out-of-Period and Pro Forma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workbookViewId="0">
      <selection activeCell="E22" sqref="E22"/>
    </sheetView>
  </sheetViews>
  <sheetFormatPr defaultColWidth="8.85546875" defaultRowHeight="15" x14ac:dyDescent="0.25"/>
  <cols>
    <col min="1" max="1" width="5.85546875" style="72" customWidth="1"/>
    <col min="2" max="2" width="40.42578125" style="72" customWidth="1"/>
    <col min="3" max="4" width="13.85546875" style="72" customWidth="1"/>
    <col min="5" max="16384" width="8.8554687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The Toledo Telephone Company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16358954</v>
      </c>
      <c r="D10" s="82">
        <f>C10</f>
        <v>16358954</v>
      </c>
    </row>
    <row r="11" spans="1:4" x14ac:dyDescent="0.25">
      <c r="A11" s="75">
        <v>2</v>
      </c>
      <c r="B11" s="79" t="s">
        <v>177</v>
      </c>
      <c r="C11" s="94">
        <f>'RateBase '!E15</f>
        <v>15327954</v>
      </c>
      <c r="D11" s="94">
        <f>C11</f>
        <v>15327954</v>
      </c>
    </row>
    <row r="12" spans="1:4" x14ac:dyDescent="0.25">
      <c r="A12" s="75">
        <v>3</v>
      </c>
      <c r="B12" s="90" t="s">
        <v>178</v>
      </c>
      <c r="C12" s="80">
        <f>(C10+C11)/2</f>
        <v>15843454</v>
      </c>
      <c r="D12" s="80">
        <f>(D10+D11)/2</f>
        <v>15843454</v>
      </c>
    </row>
    <row r="13" spans="1:4" x14ac:dyDescent="0.25">
      <c r="A13" s="75">
        <v>4</v>
      </c>
      <c r="B13" s="79" t="s">
        <v>179</v>
      </c>
      <c r="C13" s="58">
        <f>IncomeStmtSummary!D29</f>
        <v>411481</v>
      </c>
      <c r="D13" s="58">
        <f>C13</f>
        <v>411481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411481</v>
      </c>
      <c r="D15" s="80">
        <f>D13+D14</f>
        <v>411481</v>
      </c>
    </row>
    <row r="16" spans="1:4" x14ac:dyDescent="0.25">
      <c r="A16" s="75">
        <v>7</v>
      </c>
      <c r="B16" s="90" t="s">
        <v>180</v>
      </c>
      <c r="C16" s="81">
        <f>C15/C12</f>
        <v>2.5971672591090303E-2</v>
      </c>
      <c r="D16" s="81">
        <f>D15/D12</f>
        <v>2.5971672591090303E-2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topLeftCell="A16" workbookViewId="0">
      <selection activeCell="C51" sqref="C51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1271028</v>
      </c>
      <c r="C10" s="54"/>
      <c r="D10" s="58">
        <f>SUM(B10:C10)</f>
        <v>1271028</v>
      </c>
      <c r="E10" s="17"/>
      <c r="F10" s="17" t="s">
        <v>78</v>
      </c>
      <c r="G10" s="52">
        <v>582049</v>
      </c>
      <c r="H10" s="54"/>
      <c r="I10" s="58">
        <f>SUM(G10:H10)</f>
        <v>582049</v>
      </c>
    </row>
    <row r="11" spans="1:9" x14ac:dyDescent="0.25">
      <c r="A11" s="17" t="s">
        <v>134</v>
      </c>
      <c r="B11" s="52">
        <v>4988</v>
      </c>
      <c r="C11" s="54"/>
      <c r="D11" s="58">
        <f>SUM(B11:C11)</f>
        <v>4988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/>
      <c r="I13" s="58">
        <f t="shared" si="0"/>
        <v>0</v>
      </c>
    </row>
    <row r="14" spans="1:9" x14ac:dyDescent="0.25">
      <c r="A14" s="17" t="s">
        <v>47</v>
      </c>
      <c r="B14" s="52">
        <v>-3340</v>
      </c>
      <c r="C14" s="54"/>
      <c r="D14" s="58">
        <f>SUM(B14:C14)</f>
        <v>-3340</v>
      </c>
      <c r="E14" s="17"/>
      <c r="F14" s="17" t="s">
        <v>84</v>
      </c>
      <c r="G14" s="52">
        <v>915826</v>
      </c>
      <c r="H14" s="54"/>
      <c r="I14" s="58">
        <f t="shared" si="0"/>
        <v>915826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137982</v>
      </c>
      <c r="C17" s="54"/>
      <c r="D17" s="58">
        <f>SUM(B17:C17)</f>
        <v>137982</v>
      </c>
      <c r="E17" s="18"/>
      <c r="F17" s="17" t="s">
        <v>87</v>
      </c>
      <c r="G17" s="52">
        <v>-507528</v>
      </c>
      <c r="H17" s="54"/>
      <c r="I17" s="58">
        <f t="shared" si="0"/>
        <v>-507528</v>
      </c>
    </row>
    <row r="18" spans="1:9" x14ac:dyDescent="0.25">
      <c r="A18" s="17" t="s">
        <v>47</v>
      </c>
      <c r="B18" s="52">
        <v>748740</v>
      </c>
      <c r="C18" s="54"/>
      <c r="D18" s="58">
        <f t="shared" ref="D18:D24" si="2">SUM(B18:C18)</f>
        <v>748740</v>
      </c>
      <c r="E18" s="17"/>
      <c r="F18" s="17" t="s">
        <v>88</v>
      </c>
      <c r="G18" s="52">
        <v>554305</v>
      </c>
      <c r="H18" s="54"/>
      <c r="I18" s="58">
        <f t="shared" si="0"/>
        <v>554305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10395</v>
      </c>
      <c r="H19" s="113"/>
      <c r="I19" s="59">
        <f t="shared" si="0"/>
        <v>10395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1555047</v>
      </c>
      <c r="H20" s="58">
        <f>SUM(H10:H19)</f>
        <v>0</v>
      </c>
      <c r="I20" s="58">
        <f t="shared" ref="I20" si="3">SUM(I10:I19)</f>
        <v>1555047</v>
      </c>
    </row>
    <row r="21" spans="1:9" x14ac:dyDescent="0.25">
      <c r="A21" s="17" t="s">
        <v>49</v>
      </c>
      <c r="B21" s="52">
        <v>211111</v>
      </c>
      <c r="C21" s="54"/>
      <c r="D21" s="58">
        <f t="shared" si="2"/>
        <v>211111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349883</v>
      </c>
      <c r="C22" s="54">
        <v>-349883</v>
      </c>
      <c r="D22" s="58">
        <f t="shared" si="2"/>
        <v>0</v>
      </c>
      <c r="E22" s="17"/>
      <c r="F22" s="17" t="s">
        <v>92</v>
      </c>
      <c r="G22" s="52">
        <v>733247</v>
      </c>
      <c r="H22" s="54"/>
      <c r="I22" s="58">
        <f>SUM(G22:H22)</f>
        <v>733247</v>
      </c>
    </row>
    <row r="23" spans="1:9" x14ac:dyDescent="0.25">
      <c r="A23" s="17" t="s">
        <v>51</v>
      </c>
      <c r="B23" s="52">
        <v>99256</v>
      </c>
      <c r="C23" s="54"/>
      <c r="D23" s="58">
        <f t="shared" si="2"/>
        <v>99256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2274408</v>
      </c>
      <c r="C24" s="113"/>
      <c r="D24" s="59">
        <f t="shared" si="2"/>
        <v>2274408</v>
      </c>
      <c r="E24" s="17"/>
      <c r="F24" s="17" t="s">
        <v>94</v>
      </c>
      <c r="G24" s="52">
        <v>14778384</v>
      </c>
      <c r="H24" s="54"/>
      <c r="I24" s="58">
        <f t="shared" si="4"/>
        <v>14778384</v>
      </c>
    </row>
    <row r="25" spans="1:9" x14ac:dyDescent="0.25">
      <c r="A25" s="17" t="s">
        <v>41</v>
      </c>
      <c r="B25" s="58">
        <f>B10+B11+B13+B14+B15+B17+B18+B19+B20+B21+B22+B23+B24</f>
        <v>5094056</v>
      </c>
      <c r="C25" s="58">
        <f>C10+C11+C13+C14+C15+C17+C18+C19+C20+C21+C22+C23+C24</f>
        <v>-349883</v>
      </c>
      <c r="D25" s="58">
        <f t="shared" ref="D25" si="5">D10+D11+D13+D14+D15+D17+D18+D19+D20+D21+D22+D23+D24</f>
        <v>4744173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637398</v>
      </c>
      <c r="C31" s="54"/>
      <c r="D31" s="58">
        <f>SUM(B31:C31)</f>
        <v>637398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15511631</v>
      </c>
      <c r="H32" s="121">
        <f>SUM(H22:H31)</f>
        <v>0</v>
      </c>
      <c r="I32" s="121">
        <f>SUM(I22:I31)</f>
        <v>15511631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>
        <v>475125</v>
      </c>
      <c r="C34" s="54"/>
      <c r="D34" s="58">
        <f t="shared" ref="D34:D38" si="7">SUM(B34:C34)</f>
        <v>475125</v>
      </c>
      <c r="E34" s="17"/>
      <c r="F34" s="17" t="s">
        <v>103</v>
      </c>
      <c r="G34" s="52"/>
      <c r="H34" s="54"/>
      <c r="I34" s="58">
        <f>SUM(G34:H34)</f>
        <v>0</v>
      </c>
    </row>
    <row r="35" spans="1:9" x14ac:dyDescent="0.25">
      <c r="A35" s="17" t="s">
        <v>158</v>
      </c>
      <c r="B35" s="52">
        <v>96676</v>
      </c>
      <c r="C35" s="69">
        <f>-1*(C25+C30+C31+C33+C34+C36+C37+C38+C47)</f>
        <v>504590</v>
      </c>
      <c r="D35" s="58">
        <f t="shared" si="7"/>
        <v>601266</v>
      </c>
      <c r="E35" s="17"/>
      <c r="F35" s="18" t="s">
        <v>236</v>
      </c>
      <c r="G35" s="52">
        <v>1514071</v>
      </c>
      <c r="H35" s="52">
        <v>1404677</v>
      </c>
      <c r="I35" s="58">
        <f>SUM(G35:H35)</f>
        <v>2918748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/>
      <c r="C37" s="54"/>
      <c r="D37" s="58">
        <f t="shared" si="7"/>
        <v>0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1514071</v>
      </c>
      <c r="H38" s="58">
        <f>SUM(H34:H37)</f>
        <v>1404677</v>
      </c>
      <c r="I38" s="58">
        <f>SUM(I34:I37)</f>
        <v>2918748</v>
      </c>
    </row>
    <row r="39" spans="1:9" x14ac:dyDescent="0.25">
      <c r="A39" s="17" t="s">
        <v>65</v>
      </c>
      <c r="B39" s="58">
        <f>B30+B31+B33+B34+B35+B36+B37+B38</f>
        <v>1209199</v>
      </c>
      <c r="C39" s="58">
        <f>C30+C31+C33+C34+C35+C36+C37+C38</f>
        <v>504590</v>
      </c>
      <c r="D39" s="58">
        <f>D30+D31+D33+D34+D35+D36+D37+D38</f>
        <v>1713789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10670</v>
      </c>
      <c r="H40" s="22"/>
      <c r="I40" s="58">
        <f>SUM(G40:H40)</f>
        <v>10670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35406333</v>
      </c>
      <c r="C42" s="52">
        <v>-669898</v>
      </c>
      <c r="D42" s="58">
        <f>SUM(B42:C42)</f>
        <v>34736435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>
        <v>464524</v>
      </c>
      <c r="C44" s="52">
        <v>-10095</v>
      </c>
      <c r="D44" s="58">
        <f t="shared" si="10"/>
        <v>454429</v>
      </c>
      <c r="E44" s="17"/>
      <c r="F44" s="17" t="s">
        <v>241</v>
      </c>
      <c r="G44" s="52">
        <v>51660</v>
      </c>
      <c r="H44" s="22"/>
      <c r="I44" s="58">
        <f t="shared" si="9"/>
        <v>51660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-16195130</v>
      </c>
      <c r="C46" s="53">
        <v>525286</v>
      </c>
      <c r="D46" s="59">
        <f t="shared" si="10"/>
        <v>-15669844</v>
      </c>
      <c r="E46" s="17"/>
      <c r="F46" s="17" t="s">
        <v>243</v>
      </c>
      <c r="G46" s="53">
        <v>7335903</v>
      </c>
      <c r="H46" s="95">
        <f>-1*(H20+H32+H38)</f>
        <v>-1404677</v>
      </c>
      <c r="I46" s="59">
        <f t="shared" si="9"/>
        <v>5931226</v>
      </c>
    </row>
    <row r="47" spans="1:9" x14ac:dyDescent="0.25">
      <c r="A47" s="17" t="s">
        <v>71</v>
      </c>
      <c r="B47" s="58">
        <f>B42+B43+B44+B45+B46</f>
        <v>19675727</v>
      </c>
      <c r="C47" s="58">
        <f t="shared" ref="C47:D47" si="11">C42+C43+C44+C45+C46</f>
        <v>-154707</v>
      </c>
      <c r="D47" s="58">
        <f t="shared" si="11"/>
        <v>19521020</v>
      </c>
      <c r="E47" s="17"/>
      <c r="F47" s="17" t="s">
        <v>244</v>
      </c>
      <c r="G47" s="58">
        <f>SUM(G40:G46)</f>
        <v>7398233</v>
      </c>
      <c r="H47" s="61">
        <f t="shared" ref="H47:I47" si="12">SUM(H40:H46)</f>
        <v>-1404677</v>
      </c>
      <c r="I47" s="58">
        <f t="shared" si="12"/>
        <v>5993556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25978982</v>
      </c>
      <c r="C49" s="60">
        <f>C25+C39+C47</f>
        <v>0</v>
      </c>
      <c r="D49" s="60">
        <f>D25+D39+D47</f>
        <v>25978982</v>
      </c>
      <c r="E49" s="19"/>
      <c r="F49" s="83" t="s">
        <v>248</v>
      </c>
      <c r="G49" s="60">
        <f>G20+G32+G38+G47</f>
        <v>25978982</v>
      </c>
      <c r="H49" s="60">
        <f>H20+H32+H38+H47</f>
        <v>0</v>
      </c>
      <c r="I49" s="60">
        <f>I20+I32+I38+I47</f>
        <v>25978982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6" workbookViewId="0">
      <selection activeCell="D52" sqref="D52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1737564</v>
      </c>
      <c r="C10" s="54"/>
      <c r="D10" s="58">
        <f>SUM(B10:C10)</f>
        <v>1737564</v>
      </c>
      <c r="E10" s="17"/>
      <c r="F10" s="17" t="s">
        <v>78</v>
      </c>
      <c r="G10" s="52">
        <v>89930</v>
      </c>
      <c r="H10" s="54"/>
      <c r="I10" s="58">
        <f>SUM(G10:H10)</f>
        <v>89930</v>
      </c>
    </row>
    <row r="11" spans="1:9" x14ac:dyDescent="0.25">
      <c r="A11" s="17" t="s">
        <v>134</v>
      </c>
      <c r="B11" s="52">
        <v>4963</v>
      </c>
      <c r="C11" s="54"/>
      <c r="D11" s="58">
        <f>SUM(B11:C11)</f>
        <v>4963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/>
      <c r="C13" s="54"/>
      <c r="D13" s="58">
        <f>SUM(B13:C13)</f>
        <v>0</v>
      </c>
      <c r="E13" s="17"/>
      <c r="F13" s="17" t="s">
        <v>83</v>
      </c>
      <c r="G13" s="52"/>
      <c r="H13" s="54">
        <v>-271</v>
      </c>
      <c r="I13" s="58">
        <f t="shared" si="0"/>
        <v>-271</v>
      </c>
    </row>
    <row r="14" spans="1:9" x14ac:dyDescent="0.25">
      <c r="A14" s="17" t="s">
        <v>47</v>
      </c>
      <c r="B14" s="52">
        <v>1344</v>
      </c>
      <c r="C14" s="54"/>
      <c r="D14" s="58">
        <f t="shared" ref="D14:D15" si="1">SUM(B14:C14)</f>
        <v>1344</v>
      </c>
      <c r="E14" s="17"/>
      <c r="F14" s="17" t="s">
        <v>84</v>
      </c>
      <c r="G14" s="52">
        <v>995113</v>
      </c>
      <c r="H14" s="54"/>
      <c r="I14" s="58">
        <f t="shared" si="0"/>
        <v>995113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>
        <v>170211</v>
      </c>
      <c r="C17" s="54"/>
      <c r="D17" s="58">
        <f>SUM(B17:C17)</f>
        <v>170211</v>
      </c>
      <c r="E17" s="18"/>
      <c r="F17" s="17" t="s">
        <v>87</v>
      </c>
      <c r="G17" s="52">
        <v>-32972</v>
      </c>
      <c r="H17" s="54"/>
      <c r="I17" s="58">
        <f t="shared" si="0"/>
        <v>-32972</v>
      </c>
    </row>
    <row r="18" spans="1:9" x14ac:dyDescent="0.25">
      <c r="A18" s="17" t="s">
        <v>47</v>
      </c>
      <c r="B18" s="52">
        <v>299818</v>
      </c>
      <c r="C18" s="54"/>
      <c r="D18" s="58">
        <f t="shared" ref="D18:D24" si="2">SUM(B18:C18)</f>
        <v>299818</v>
      </c>
      <c r="E18" s="17"/>
      <c r="F18" s="17" t="s">
        <v>88</v>
      </c>
      <c r="G18" s="52">
        <v>10579</v>
      </c>
      <c r="H18" s="54"/>
      <c r="I18" s="58">
        <f t="shared" si="0"/>
        <v>10579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>
        <v>4176</v>
      </c>
      <c r="H19" s="113"/>
      <c r="I19" s="59">
        <f t="shared" si="0"/>
        <v>4176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1066826</v>
      </c>
      <c r="H20" s="58">
        <f>SUM(H10:H19)</f>
        <v>-271</v>
      </c>
      <c r="I20" s="58">
        <f t="shared" ref="I20" si="3">SUM(I10:I19)</f>
        <v>1066555</v>
      </c>
    </row>
    <row r="21" spans="1:9" x14ac:dyDescent="0.25">
      <c r="A21" s="17" t="s">
        <v>49</v>
      </c>
      <c r="B21" s="52">
        <v>211858</v>
      </c>
      <c r="C21" s="54"/>
      <c r="D21" s="58">
        <f t="shared" si="2"/>
        <v>211858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90235</v>
      </c>
      <c r="C22" s="54">
        <v>-90235</v>
      </c>
      <c r="D22" s="58">
        <f t="shared" si="2"/>
        <v>0</v>
      </c>
      <c r="E22" s="17"/>
      <c r="F22" s="17" t="s">
        <v>92</v>
      </c>
      <c r="G22" s="52"/>
      <c r="H22" s="54"/>
      <c r="I22" s="58">
        <f>SUM(G22:H22)</f>
        <v>0</v>
      </c>
    </row>
    <row r="23" spans="1:9" x14ac:dyDescent="0.25">
      <c r="A23" s="17" t="s">
        <v>51</v>
      </c>
      <c r="B23" s="52">
        <v>63078</v>
      </c>
      <c r="C23" s="54"/>
      <c r="D23" s="58">
        <f t="shared" si="2"/>
        <v>63078</v>
      </c>
      <c r="E23" s="17"/>
      <c r="F23" s="17" t="s">
        <v>93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52</v>
      </c>
      <c r="B24" s="53">
        <v>2517801</v>
      </c>
      <c r="C24" s="113"/>
      <c r="D24" s="59">
        <f t="shared" si="2"/>
        <v>2517801</v>
      </c>
      <c r="E24" s="17"/>
      <c r="F24" s="17" t="s">
        <v>94</v>
      </c>
      <c r="G24" s="52">
        <v>14213465</v>
      </c>
      <c r="H24" s="54"/>
      <c r="I24" s="58">
        <f t="shared" si="4"/>
        <v>14213465</v>
      </c>
    </row>
    <row r="25" spans="1:9" x14ac:dyDescent="0.25">
      <c r="A25" s="17" t="s">
        <v>41</v>
      </c>
      <c r="B25" s="58">
        <f>B10+B11+B13+B14+B15+B17+B18+B19+B20+B21+B22+B23+B24</f>
        <v>5096872</v>
      </c>
      <c r="C25" s="58">
        <f>C10+C11+C13+C14+C15+C17+C18+C19+C20+C21+C22+C23+C24</f>
        <v>-90235</v>
      </c>
      <c r="D25" s="58">
        <f t="shared" ref="D25" si="5">D10+D11+D13+D14+D15+D17+D18+D19+D20+D21+D22+D23+D24</f>
        <v>5006637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658587</v>
      </c>
      <c r="C31" s="54"/>
      <c r="D31" s="58">
        <f>SUM(B31:C31)</f>
        <v>658587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14213465</v>
      </c>
      <c r="H32" s="82">
        <f>SUM(H22:H31)</f>
        <v>0</v>
      </c>
      <c r="I32" s="58">
        <f>SUM(I22:I31)</f>
        <v>14213465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>
        <v>494955</v>
      </c>
      <c r="C34" s="54"/>
      <c r="D34" s="58">
        <f t="shared" ref="D34:D38" si="7">SUM(B34:C34)</f>
        <v>494955</v>
      </c>
      <c r="E34" s="17"/>
      <c r="F34" s="17" t="s">
        <v>103</v>
      </c>
      <c r="G34" s="52"/>
      <c r="H34" s="118"/>
      <c r="I34" s="58">
        <f>SUM(G34:H34)</f>
        <v>0</v>
      </c>
    </row>
    <row r="35" spans="1:11" x14ac:dyDescent="0.25">
      <c r="A35" s="17" t="s">
        <v>158</v>
      </c>
      <c r="B35" s="52">
        <v>76859</v>
      </c>
      <c r="C35" s="69">
        <f>-1*(C25+C30+C31+C33+C34+C36+C37+C38+C47)</f>
        <v>253760</v>
      </c>
      <c r="D35" s="58">
        <f t="shared" si="7"/>
        <v>330619</v>
      </c>
      <c r="E35" s="17"/>
      <c r="F35" s="18" t="s">
        <v>236</v>
      </c>
      <c r="G35" s="52">
        <v>1705056</v>
      </c>
      <c r="H35" s="52">
        <f>2869459-G35</f>
        <v>1164403</v>
      </c>
      <c r="I35" s="58">
        <f>SUM(G35:H35)</f>
        <v>2869459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/>
      <c r="C37" s="54">
        <v>0</v>
      </c>
      <c r="D37" s="58">
        <f t="shared" si="7"/>
        <v>0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1705056</v>
      </c>
      <c r="H38" s="58">
        <f>SUM(H34:H37)</f>
        <v>1164403</v>
      </c>
      <c r="I38" s="58">
        <f>SUM(I34:I37)</f>
        <v>2869459</v>
      </c>
    </row>
    <row r="39" spans="1:11" x14ac:dyDescent="0.25">
      <c r="A39" s="17" t="s">
        <v>65</v>
      </c>
      <c r="B39" s="58">
        <f>B30+B31+B33+B34+B35+B36+B37+B38</f>
        <v>1230401</v>
      </c>
      <c r="C39" s="58">
        <f>C30+C31+C33+C34+C35+C36+C37+C38</f>
        <v>253760</v>
      </c>
      <c r="D39" s="58">
        <f t="shared" ref="D39" si="9">D30+D31+D33+D34+D35+D36+D37+D38</f>
        <v>1484161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10670</v>
      </c>
      <c r="H40" s="22"/>
      <c r="I40" s="58">
        <f>SUM(G40:H40)</f>
        <v>10670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35802950</v>
      </c>
      <c r="C42" s="52">
        <v>-655794</v>
      </c>
      <c r="D42" s="58">
        <f>SUM(B42:C42)</f>
        <v>35147156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>
        <v>201891</v>
      </c>
      <c r="C44" s="52">
        <v>-39483</v>
      </c>
      <c r="D44" s="58">
        <f t="shared" si="11"/>
        <v>162408</v>
      </c>
      <c r="E44" s="17"/>
      <c r="F44" s="17" t="s">
        <v>241</v>
      </c>
      <c r="G44" s="52">
        <v>113408</v>
      </c>
      <c r="H44" s="22"/>
      <c r="I44" s="58">
        <f t="shared" si="10"/>
        <v>113408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-17693353</v>
      </c>
      <c r="C46" s="53">
        <f>531628+124</f>
        <v>531752</v>
      </c>
      <c r="D46" s="59">
        <f t="shared" si="11"/>
        <v>-17161601</v>
      </c>
      <c r="E46" s="17"/>
      <c r="F46" s="17" t="s">
        <v>243</v>
      </c>
      <c r="G46" s="53">
        <v>7529336</v>
      </c>
      <c r="H46" s="95">
        <f>-1*(H20+H32+H38)</f>
        <v>-1164132</v>
      </c>
      <c r="I46" s="59">
        <f t="shared" si="10"/>
        <v>6365204</v>
      </c>
    </row>
    <row r="47" spans="1:11" x14ac:dyDescent="0.25">
      <c r="A47" s="17" t="s">
        <v>71</v>
      </c>
      <c r="B47" s="58">
        <f>B42+B43+B44+B45+B46</f>
        <v>18311488</v>
      </c>
      <c r="C47" s="58">
        <f t="shared" ref="C47:D47" si="12">C42+C43+C44+C45+C46</f>
        <v>-163525</v>
      </c>
      <c r="D47" s="58">
        <f t="shared" si="12"/>
        <v>18147963</v>
      </c>
      <c r="E47" s="17"/>
      <c r="F47" s="17" t="s">
        <v>244</v>
      </c>
      <c r="G47" s="58">
        <f>SUM(G40:G46)</f>
        <v>7653414</v>
      </c>
      <c r="H47" s="61">
        <f t="shared" ref="H47:I47" si="13">SUM(H40:H46)</f>
        <v>-1164132</v>
      </c>
      <c r="I47" s="58">
        <f t="shared" si="13"/>
        <v>6489282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24638761</v>
      </c>
      <c r="C49" s="60">
        <f t="shared" ref="C49:D49" si="14">C25+C39+C47</f>
        <v>0</v>
      </c>
      <c r="D49" s="60">
        <f t="shared" si="14"/>
        <v>24638761</v>
      </c>
      <c r="E49" s="19"/>
      <c r="F49" s="83" t="s">
        <v>247</v>
      </c>
      <c r="G49" s="60">
        <f>G20+G32+G38+G47</f>
        <v>24638761</v>
      </c>
      <c r="H49" s="60">
        <f>H20+H32+H38+H47</f>
        <v>0</v>
      </c>
      <c r="I49" s="60">
        <f>I20+I32+I38+I47</f>
        <v>24638761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selectLockedCells="1"/>
  <pageMargins left="1.2" right="0.7" top="1.25" bottom="0.75" header="0.8" footer="0.3"/>
  <pageSetup scale="59" orientation="landscape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6" workbookViewId="0">
      <selection activeCell="F36" sqref="F36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The Toledo Telephone Company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1271028</v>
      </c>
      <c r="C10" s="32">
        <f>'CurrentYearBalanceSheet '!D10</f>
        <v>1737564</v>
      </c>
      <c r="D10" s="17"/>
      <c r="E10" s="17" t="s">
        <v>78</v>
      </c>
      <c r="F10" s="32">
        <f>PriorYearBalanceSheet!I10</f>
        <v>582049</v>
      </c>
      <c r="G10" s="32">
        <f>'CurrentYearBalanceSheet '!I10</f>
        <v>89930</v>
      </c>
    </row>
    <row r="11" spans="1:7" x14ac:dyDescent="0.25">
      <c r="A11" s="17" t="s">
        <v>134</v>
      </c>
      <c r="B11" s="32">
        <f>PriorYearBalanceSheet!D11</f>
        <v>4988</v>
      </c>
      <c r="C11" s="32">
        <f>'CurrentYearBalanceSheet '!D11</f>
        <v>4963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0</v>
      </c>
      <c r="C13" s="32">
        <f>'CurrentYearBalanceSheet '!D13</f>
        <v>0</v>
      </c>
      <c r="D13" s="17"/>
      <c r="E13" s="17" t="s">
        <v>83</v>
      </c>
      <c r="F13" s="32">
        <f>PriorYearBalanceSheet!I13</f>
        <v>0</v>
      </c>
      <c r="G13" s="32">
        <f>'CurrentYearBalanceSheet '!I13</f>
        <v>-271</v>
      </c>
    </row>
    <row r="14" spans="1:7" x14ac:dyDescent="0.25">
      <c r="A14" s="17" t="s">
        <v>47</v>
      </c>
      <c r="B14" s="32">
        <f>PriorYearBalanceSheet!D14</f>
        <v>-3340</v>
      </c>
      <c r="C14" s="32">
        <f>'CurrentYearBalanceSheet '!D14</f>
        <v>1344</v>
      </c>
      <c r="D14" s="17"/>
      <c r="E14" s="17" t="s">
        <v>84</v>
      </c>
      <c r="F14" s="32">
        <f>PriorYearBalanceSheet!I14</f>
        <v>915826</v>
      </c>
      <c r="G14" s="32">
        <f>'CurrentYearBalanceSheet '!I14</f>
        <v>995113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137982</v>
      </c>
      <c r="C17" s="32">
        <f>'CurrentYearBalanceSheet '!D17</f>
        <v>170211</v>
      </c>
      <c r="D17" s="17"/>
      <c r="E17" s="17" t="s">
        <v>87</v>
      </c>
      <c r="F17" s="32">
        <f>PriorYearBalanceSheet!I17</f>
        <v>-507528</v>
      </c>
      <c r="G17" s="32">
        <f>'CurrentYearBalanceSheet '!I17</f>
        <v>-32972</v>
      </c>
    </row>
    <row r="18" spans="1:7" x14ac:dyDescent="0.25">
      <c r="A18" s="17" t="s">
        <v>47</v>
      </c>
      <c r="B18" s="32">
        <f>PriorYearBalanceSheet!D18</f>
        <v>748740</v>
      </c>
      <c r="C18" s="32">
        <f>'CurrentYearBalanceSheet '!D18</f>
        <v>299818</v>
      </c>
      <c r="D18" s="17"/>
      <c r="E18" s="17" t="s">
        <v>88</v>
      </c>
      <c r="F18" s="32">
        <f>PriorYearBalanceSheet!I18</f>
        <v>554305</v>
      </c>
      <c r="G18" s="32">
        <f>'CurrentYearBalanceSheet '!I18</f>
        <v>10579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10395</v>
      </c>
      <c r="G19" s="32">
        <f>'CurrentYearBalanceSheet '!I19</f>
        <v>4176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1555047</v>
      </c>
      <c r="G20" s="35">
        <f>SUM(G10:G19)</f>
        <v>1066555</v>
      </c>
    </row>
    <row r="21" spans="1:7" x14ac:dyDescent="0.25">
      <c r="A21" s="17" t="s">
        <v>49</v>
      </c>
      <c r="B21" s="32">
        <f>PriorYearBalanceSheet!D21</f>
        <v>211111</v>
      </c>
      <c r="C21" s="32">
        <f>'CurrentYearBalanceSheet '!D21</f>
        <v>211858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0</v>
      </c>
      <c r="C22" s="32">
        <f>'CurrentYearBalanceSheet '!D22</f>
        <v>0</v>
      </c>
      <c r="D22" s="17"/>
      <c r="E22" s="17" t="s">
        <v>92</v>
      </c>
      <c r="F22" s="32">
        <f>PriorYearBalanceSheet!I22</f>
        <v>733247</v>
      </c>
      <c r="G22" s="32">
        <f>'CurrentYearBalanceSheet '!I22</f>
        <v>0</v>
      </c>
    </row>
    <row r="23" spans="1:7" x14ac:dyDescent="0.25">
      <c r="A23" s="17" t="s">
        <v>51</v>
      </c>
      <c r="B23" s="32">
        <f>PriorYearBalanceSheet!D23</f>
        <v>99256</v>
      </c>
      <c r="C23" s="32">
        <f>'CurrentYearBalanceSheet '!D23</f>
        <v>63078</v>
      </c>
      <c r="D23" s="17"/>
      <c r="E23" s="17" t="s">
        <v>93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52</v>
      </c>
      <c r="B24" s="33">
        <f>PriorYearBalanceSheet!D24</f>
        <v>2274408</v>
      </c>
      <c r="C24" s="33">
        <f>'CurrentYearBalanceSheet '!D24</f>
        <v>2517801</v>
      </c>
      <c r="D24" s="17"/>
      <c r="E24" s="17" t="s">
        <v>94</v>
      </c>
      <c r="F24" s="32">
        <f>PriorYearBalanceSheet!I24</f>
        <v>14778384</v>
      </c>
      <c r="G24" s="32">
        <f>'CurrentYearBalanceSheet '!I24</f>
        <v>14213465</v>
      </c>
    </row>
    <row r="25" spans="1:7" x14ac:dyDescent="0.25">
      <c r="A25" s="17" t="s">
        <v>41</v>
      </c>
      <c r="B25" s="32">
        <f>B10+B11+B13+B14+B15+B17+B18+B19+B20+B21+B22+B23+B24</f>
        <v>4744173</v>
      </c>
      <c r="C25" s="32">
        <f>C10+C11+C13+C14+C15+C17+C18+C19+C20+C21+C22+C23+C24</f>
        <v>5006637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637398</v>
      </c>
      <c r="C31" s="32">
        <f>'CurrentYearBalanceSheet '!D31</f>
        <v>658587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15511631</v>
      </c>
      <c r="G32" s="32">
        <f>SUM(G22:G31)</f>
        <v>14213465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475125</v>
      </c>
      <c r="C34" s="32">
        <f>'CurrentYearBalanceSheet '!D34</f>
        <v>494955</v>
      </c>
      <c r="D34" s="17"/>
      <c r="E34" s="17" t="s">
        <v>103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61</v>
      </c>
      <c r="B35" s="32">
        <f>PriorYearBalanceSheet!D35</f>
        <v>601266</v>
      </c>
      <c r="C35" s="32">
        <f>'CurrentYearBalanceSheet '!D35</f>
        <v>330619</v>
      </c>
      <c r="D35" s="17"/>
      <c r="E35" s="18" t="s">
        <v>236</v>
      </c>
      <c r="F35" s="32">
        <f>PriorYearBalanceSheet!I35</f>
        <v>2918748</v>
      </c>
      <c r="G35" s="32">
        <f>'CurrentYearBalanceSheet '!I35</f>
        <v>2869459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0</v>
      </c>
      <c r="C37" s="32">
        <f>'CurrentYearBalanceSheet '!D37</f>
        <v>0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2918748</v>
      </c>
      <c r="G38" s="32">
        <f>SUM(G34:G37)</f>
        <v>2869459</v>
      </c>
    </row>
    <row r="39" spans="1:7" x14ac:dyDescent="0.25">
      <c r="A39" s="17" t="s">
        <v>65</v>
      </c>
      <c r="B39" s="32">
        <f>B30+B31+B33+B34+B35+B36+B37+B38</f>
        <v>1713789</v>
      </c>
      <c r="C39" s="32">
        <f>C30+C31+C33+C34+C35+C36+C37+C38</f>
        <v>1484161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10670</v>
      </c>
      <c r="G40" s="32">
        <f>'CurrentYearBalanceSheet '!I40</f>
        <v>10670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34736435</v>
      </c>
      <c r="C42" s="32">
        <f>'CurrentYearBalanceSheet '!D42</f>
        <v>35147156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454429</v>
      </c>
      <c r="C44" s="32">
        <f>'CurrentYearBalanceSheet '!D44</f>
        <v>162408</v>
      </c>
      <c r="D44" s="17"/>
      <c r="E44" s="17" t="s">
        <v>241</v>
      </c>
      <c r="F44" s="32">
        <f>PriorYearBalanceSheet!I44</f>
        <v>51660</v>
      </c>
      <c r="G44" s="32">
        <f>'CurrentYearBalanceSheet '!I44</f>
        <v>113408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-15669844</v>
      </c>
      <c r="C46" s="33">
        <f>'CurrentYearBalanceSheet '!D46</f>
        <v>-17161601</v>
      </c>
      <c r="D46" s="17"/>
      <c r="E46" s="17" t="s">
        <v>252</v>
      </c>
      <c r="F46" s="33">
        <f>PriorYearBalanceSheet!I46</f>
        <v>5931226</v>
      </c>
      <c r="G46" s="33">
        <f>'CurrentYearBalanceSheet '!I46</f>
        <v>6365204</v>
      </c>
    </row>
    <row r="47" spans="1:7" x14ac:dyDescent="0.25">
      <c r="A47" s="17" t="s">
        <v>71</v>
      </c>
      <c r="B47" s="32">
        <f>SUM(B42:B46)</f>
        <v>19521020</v>
      </c>
      <c r="C47" s="32">
        <f>SUM(C42:C46)</f>
        <v>18147963</v>
      </c>
      <c r="D47" s="17"/>
      <c r="E47" s="17" t="s">
        <v>244</v>
      </c>
      <c r="F47" s="32">
        <f>SUM(F40:F46)</f>
        <v>5993556</v>
      </c>
      <c r="G47" s="32">
        <f>SUM(G40:G46)</f>
        <v>6489282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25978982</v>
      </c>
      <c r="C49" s="34">
        <f>C25+C39+C47</f>
        <v>24638761</v>
      </c>
      <c r="D49" s="17"/>
      <c r="E49" s="21" t="s">
        <v>245</v>
      </c>
      <c r="F49" s="34">
        <f>F20+F32+F38+F47</f>
        <v>25978982</v>
      </c>
      <c r="G49" s="34">
        <f>G20+G32+G38+G47</f>
        <v>24638761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workbookViewId="0">
      <selection activeCell="E14" sqref="E14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The Toledo Telephone Company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34736435</v>
      </c>
      <c r="E10" s="58">
        <f>'BalanceSheet(Summary)'!C42</f>
        <v>35147156</v>
      </c>
      <c r="F10" s="58">
        <f>(D10+E10)/2</f>
        <v>34941795.5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-15669844</v>
      </c>
      <c r="E12" s="58">
        <f>'BalanceSheet(Summary)'!C46</f>
        <v>-17161601</v>
      </c>
      <c r="F12" s="58">
        <f t="shared" ref="F12:F15" si="0">(D12+E12)/2</f>
        <v>-16415722.5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211111</v>
      </c>
      <c r="E13" s="58">
        <f>'BalanceSheet(Summary)'!C21</f>
        <v>211858</v>
      </c>
      <c r="F13" s="58">
        <f t="shared" si="0"/>
        <v>211484.5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-2918748</v>
      </c>
      <c r="E14" s="52">
        <f>'BalanceSheet(Summary)'!G35*-1</f>
        <v>-2869459</v>
      </c>
      <c r="F14" s="58">
        <f t="shared" si="0"/>
        <v>-2894103.5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16358954</v>
      </c>
      <c r="E15" s="62">
        <f>SUM(E10:E14)</f>
        <v>15327954</v>
      </c>
      <c r="F15" s="63">
        <f t="shared" si="0"/>
        <v>15843454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workbookViewId="0">
      <selection activeCell="D13" sqref="D13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The Toledo Telephone Company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1303</v>
      </c>
      <c r="D10" s="52">
        <v>1460</v>
      </c>
      <c r="E10" s="32">
        <f>D10-C10</f>
        <v>157</v>
      </c>
      <c r="F10" s="38">
        <f>E10/C10</f>
        <v>0.1204911742133538</v>
      </c>
    </row>
    <row r="11" spans="1:6" x14ac:dyDescent="0.25">
      <c r="A11" s="10">
        <v>2</v>
      </c>
      <c r="B11" s="19" t="s">
        <v>127</v>
      </c>
      <c r="C11" s="52">
        <v>262</v>
      </c>
      <c r="D11" s="52">
        <v>339</v>
      </c>
      <c r="E11" s="32">
        <f>D11-C11</f>
        <v>77</v>
      </c>
      <c r="F11" s="38">
        <f t="shared" ref="F11:F12" si="0">E11/C11</f>
        <v>0.29389312977099236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1565</v>
      </c>
      <c r="D12" s="34">
        <f t="shared" ref="D12:E12" si="1">SUM(D10:D11)</f>
        <v>1799</v>
      </c>
      <c r="E12" s="34">
        <f t="shared" si="1"/>
        <v>234</v>
      </c>
      <c r="F12" s="39">
        <f t="shared" si="0"/>
        <v>0.14952076677316295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8" workbookViewId="0">
      <selection activeCell="H50" sqref="H50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The Toledo Telephone Company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435373</v>
      </c>
      <c r="D9" s="52"/>
      <c r="E9" s="58">
        <f>SUM(C9:D9)</f>
        <v>435373</v>
      </c>
    </row>
    <row r="10" spans="1:6" x14ac:dyDescent="0.25">
      <c r="A10" s="10">
        <v>2</v>
      </c>
      <c r="B10" s="14" t="s">
        <v>2</v>
      </c>
      <c r="C10" s="52">
        <v>4094152</v>
      </c>
      <c r="D10" s="52">
        <v>21526</v>
      </c>
      <c r="E10" s="58">
        <f t="shared" ref="E10:E14" si="0">SUM(C10:D10)</f>
        <v>4115678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>
        <v>7743</v>
      </c>
      <c r="D12" s="52">
        <v>-7408</v>
      </c>
      <c r="E12" s="58">
        <f t="shared" si="0"/>
        <v>335</v>
      </c>
    </row>
    <row r="13" spans="1:6" x14ac:dyDescent="0.25">
      <c r="A13" s="10">
        <v>5</v>
      </c>
      <c r="B13" s="14" t="s">
        <v>5</v>
      </c>
      <c r="C13" s="52">
        <v>52147</v>
      </c>
      <c r="D13" s="52">
        <v>-138</v>
      </c>
      <c r="E13" s="58">
        <f t="shared" si="0"/>
        <v>52009</v>
      </c>
    </row>
    <row r="14" spans="1:6" x14ac:dyDescent="0.25">
      <c r="A14" s="10">
        <v>6</v>
      </c>
      <c r="B14" s="14" t="s">
        <v>139</v>
      </c>
      <c r="C14" s="52">
        <v>-181154</v>
      </c>
      <c r="D14" s="52"/>
      <c r="E14" s="58">
        <f t="shared" si="0"/>
        <v>-181154</v>
      </c>
    </row>
    <row r="15" spans="1:6" x14ac:dyDescent="0.25">
      <c r="A15" s="10">
        <v>7</v>
      </c>
      <c r="B15" s="89" t="s">
        <v>138</v>
      </c>
      <c r="C15" s="97">
        <f>SUM(C9:C14)</f>
        <v>4408261</v>
      </c>
      <c r="D15" s="97">
        <f t="shared" ref="D15:E15" si="1">SUM(D9:D14)</f>
        <v>13980</v>
      </c>
      <c r="E15" s="97">
        <f t="shared" si="1"/>
        <v>4422241</v>
      </c>
      <c r="F15" s="1"/>
    </row>
    <row r="16" spans="1:6" x14ac:dyDescent="0.25">
      <c r="A16" s="10">
        <v>8</v>
      </c>
      <c r="B16" s="14" t="s">
        <v>6</v>
      </c>
      <c r="C16" s="52">
        <v>601160</v>
      </c>
      <c r="D16" s="52">
        <v>-26800</v>
      </c>
      <c r="E16" s="41">
        <f>SUM(C16:D16)</f>
        <v>574360</v>
      </c>
    </row>
    <row r="17" spans="1:6" x14ac:dyDescent="0.25">
      <c r="A17" s="10">
        <v>9</v>
      </c>
      <c r="B17" s="14" t="s">
        <v>40</v>
      </c>
      <c r="C17" s="52">
        <v>424769</v>
      </c>
      <c r="D17" s="52">
        <v>-92791</v>
      </c>
      <c r="E17" s="41">
        <f t="shared" ref="E17:E21" si="2">SUM(C17:D17)</f>
        <v>331978</v>
      </c>
    </row>
    <row r="18" spans="1:6" x14ac:dyDescent="0.25">
      <c r="A18" s="10">
        <v>10</v>
      </c>
      <c r="B18" s="14" t="s">
        <v>7</v>
      </c>
      <c r="C18" s="52">
        <v>1223120</v>
      </c>
      <c r="D18" s="52">
        <v>-13760</v>
      </c>
      <c r="E18" s="41">
        <f t="shared" si="2"/>
        <v>1209360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266245</v>
      </c>
      <c r="D20" s="52"/>
      <c r="E20" s="41">
        <f t="shared" si="2"/>
        <v>266245</v>
      </c>
    </row>
    <row r="21" spans="1:6" x14ac:dyDescent="0.25">
      <c r="A21" s="10">
        <v>13</v>
      </c>
      <c r="B21" s="14" t="s">
        <v>10</v>
      </c>
      <c r="C21" s="52">
        <v>826063</v>
      </c>
      <c r="D21" s="52">
        <v>-14601</v>
      </c>
      <c r="E21" s="41">
        <f t="shared" si="2"/>
        <v>811462</v>
      </c>
    </row>
    <row r="22" spans="1:6" x14ac:dyDescent="0.25">
      <c r="A22" s="10">
        <v>14</v>
      </c>
      <c r="B22" s="84" t="s">
        <v>260</v>
      </c>
      <c r="C22" s="97">
        <f>C16+C17+C18+C19+C20+C21</f>
        <v>3341357</v>
      </c>
      <c r="D22" s="97">
        <f>D16+D17+D18+D19+D20+D21</f>
        <v>-147952</v>
      </c>
      <c r="E22" s="98">
        <f>E16+E17+E18+E19+E20+E21</f>
        <v>3193405</v>
      </c>
      <c r="F22" s="1"/>
    </row>
    <row r="23" spans="1:6" x14ac:dyDescent="0.25">
      <c r="A23" s="10">
        <v>15</v>
      </c>
      <c r="B23" s="14" t="s">
        <v>14</v>
      </c>
      <c r="C23" s="58">
        <f>C15-C22</f>
        <v>1066904</v>
      </c>
      <c r="D23" s="58">
        <f>D15-D22</f>
        <v>161932</v>
      </c>
      <c r="E23" s="58">
        <f>E15-E22</f>
        <v>1228836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4"/>
      <c r="E25" s="58">
        <f t="shared" ref="E25:E27" si="3">SUM(C25:D25)</f>
        <v>0</v>
      </c>
    </row>
    <row r="26" spans="1:6" x14ac:dyDescent="0.25">
      <c r="A26" s="10">
        <v>18</v>
      </c>
      <c r="B26" s="14" t="s">
        <v>200</v>
      </c>
      <c r="C26" s="52">
        <v>424580</v>
      </c>
      <c r="D26" s="54">
        <v>-208242</v>
      </c>
      <c r="E26" s="58">
        <f t="shared" si="3"/>
        <v>216338</v>
      </c>
    </row>
    <row r="27" spans="1:6" x14ac:dyDescent="0.25">
      <c r="A27" s="10">
        <v>19</v>
      </c>
      <c r="B27" s="14" t="s">
        <v>13</v>
      </c>
      <c r="C27" s="52">
        <v>287451</v>
      </c>
      <c r="D27" s="114">
        <v>-2562</v>
      </c>
      <c r="E27" s="58">
        <f t="shared" si="3"/>
        <v>284889</v>
      </c>
    </row>
    <row r="28" spans="1:6" x14ac:dyDescent="0.25">
      <c r="A28" s="10">
        <v>20</v>
      </c>
      <c r="B28" s="89" t="s">
        <v>12</v>
      </c>
      <c r="C28" s="80">
        <f>SUM(C25:C27)</f>
        <v>712031</v>
      </c>
      <c r="D28" s="80">
        <f t="shared" ref="D28:E28" si="4">SUM(D25:D27)</f>
        <v>-210804</v>
      </c>
      <c r="E28" s="99">
        <f t="shared" si="4"/>
        <v>501227</v>
      </c>
    </row>
    <row r="29" spans="1:6" x14ac:dyDescent="0.25">
      <c r="A29" s="10">
        <v>21</v>
      </c>
      <c r="B29" s="89" t="s">
        <v>23</v>
      </c>
      <c r="C29" s="80">
        <f>C23+C24-C28</f>
        <v>354873</v>
      </c>
      <c r="D29" s="80">
        <f>D23+D24-D28</f>
        <v>372736</v>
      </c>
      <c r="E29" s="99">
        <f>E23+E24-E28</f>
        <v>727609</v>
      </c>
    </row>
    <row r="30" spans="1:6" x14ac:dyDescent="0.25">
      <c r="A30" s="10">
        <v>22</v>
      </c>
      <c r="B30" s="14" t="s">
        <v>15</v>
      </c>
      <c r="C30" s="52">
        <v>354108</v>
      </c>
      <c r="D30" s="54">
        <v>-49376</v>
      </c>
      <c r="E30" s="58">
        <f>SUM(C30:D30)</f>
        <v>304732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>
        <v>7310</v>
      </c>
      <c r="D32" s="54"/>
      <c r="E32" s="58">
        <f t="shared" si="5"/>
        <v>7310</v>
      </c>
    </row>
    <row r="33" spans="1:10" x14ac:dyDescent="0.25">
      <c r="A33" s="10">
        <v>25</v>
      </c>
      <c r="B33" s="14" t="s">
        <v>154</v>
      </c>
      <c r="C33" s="52">
        <v>-234394</v>
      </c>
      <c r="D33" s="54"/>
      <c r="E33" s="59">
        <f t="shared" si="5"/>
        <v>-234394</v>
      </c>
    </row>
    <row r="34" spans="1:10" x14ac:dyDescent="0.25">
      <c r="A34" s="10">
        <v>26</v>
      </c>
      <c r="B34" s="89" t="s">
        <v>18</v>
      </c>
      <c r="C34" s="80">
        <f>SUM(C30:C33)</f>
        <v>127024</v>
      </c>
      <c r="D34" s="100">
        <f t="shared" ref="D34" si="6">SUM(D30:D33)</f>
        <v>-49376</v>
      </c>
      <c r="E34" s="80">
        <f>SUM(E30:E33)</f>
        <v>77648</v>
      </c>
    </row>
    <row r="35" spans="1:10" x14ac:dyDescent="0.25">
      <c r="A35" s="10">
        <v>27</v>
      </c>
      <c r="B35" s="14" t="s">
        <v>19</v>
      </c>
      <c r="C35" s="52">
        <v>203170</v>
      </c>
      <c r="D35" s="54"/>
      <c r="E35" s="32">
        <f>SUM(C35:D35)</f>
        <v>203170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411779</v>
      </c>
      <c r="D38" s="69">
        <f>-1*(D29-D34)</f>
        <v>-422112</v>
      </c>
      <c r="E38" s="32">
        <f t="shared" si="7"/>
        <v>-10333</v>
      </c>
    </row>
    <row r="39" spans="1:10" x14ac:dyDescent="0.25">
      <c r="A39" s="10">
        <v>31</v>
      </c>
      <c r="B39" s="89" t="s">
        <v>22</v>
      </c>
      <c r="C39" s="80">
        <f>C29-C34+C35+C36+C37+C38</f>
        <v>842798</v>
      </c>
      <c r="D39" s="80">
        <f t="shared" ref="D39:E39" si="8">D29-D34+D35+D36+D37+D38</f>
        <v>0</v>
      </c>
      <c r="E39" s="80">
        <f t="shared" si="8"/>
        <v>842798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6493105</v>
      </c>
      <c r="D41" s="54">
        <f>PriorYearBalanceSheet!H46</f>
        <v>-1404677</v>
      </c>
      <c r="E41" s="58">
        <f t="shared" ref="E41:E46" si="9">SUM(C41:D41)</f>
        <v>5088428</v>
      </c>
    </row>
    <row r="42" spans="1:10" x14ac:dyDescent="0.25">
      <c r="A42" s="10">
        <v>34</v>
      </c>
      <c r="B42" s="14" t="s">
        <v>26</v>
      </c>
      <c r="C42" s="52">
        <v>0</v>
      </c>
      <c r="D42" s="54">
        <v>0</v>
      </c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7335903</v>
      </c>
      <c r="D47" s="100">
        <f t="shared" ref="D47:E47" si="10">(D39+D41+D42)-(D43+D44+D45+D46)</f>
        <v>-1404677</v>
      </c>
      <c r="E47" s="99">
        <f t="shared" si="10"/>
        <v>5931226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963765</v>
      </c>
      <c r="D52" s="102"/>
      <c r="E52" s="32">
        <f>C52</f>
        <v>963765</v>
      </c>
    </row>
    <row r="53" spans="1:7" x14ac:dyDescent="0.25">
      <c r="A53" s="10">
        <v>45</v>
      </c>
      <c r="B53" s="14" t="s">
        <v>36</v>
      </c>
      <c r="C53" s="103">
        <f>((C22+C28-C18-C19)/C15)</f>
        <v>0.64203730223777589</v>
      </c>
      <c r="D53" s="103">
        <f>((D22+D28-D18-D19)/D15)</f>
        <v>-24.67782546494993</v>
      </c>
      <c r="E53" s="103">
        <f>((E22+E28-E18-E19)/E15)</f>
        <v>0.56199379454896281</v>
      </c>
    </row>
    <row r="54" spans="1:7" x14ac:dyDescent="0.25">
      <c r="A54" s="10">
        <v>46</v>
      </c>
      <c r="B54" s="14" t="s">
        <v>37</v>
      </c>
      <c r="C54" s="103">
        <f>((C22+C28+C34)/C15)</f>
        <v>0.9483131783712444</v>
      </c>
      <c r="D54" s="103">
        <f>((D22+D28+D34)/D15)</f>
        <v>-29.193991416309014</v>
      </c>
      <c r="E54" s="103">
        <f>((E22+E28+E34)/E15)</f>
        <v>0.85302451856423023</v>
      </c>
    </row>
    <row r="55" spans="1:7" x14ac:dyDescent="0.25">
      <c r="A55" s="10">
        <v>47</v>
      </c>
      <c r="B55" s="14" t="s">
        <v>38</v>
      </c>
      <c r="C55" s="103">
        <f>((C39+C34)/C34)</f>
        <v>7.6349508754251163</v>
      </c>
      <c r="D55" s="103">
        <f t="shared" ref="D55:E55" si="13">((D39+D34)/D34)</f>
        <v>1</v>
      </c>
      <c r="E55" s="103">
        <f t="shared" si="13"/>
        <v>11.854085101998765</v>
      </c>
    </row>
    <row r="56" spans="1:7" x14ac:dyDescent="0.25">
      <c r="A56" s="10">
        <v>48</v>
      </c>
      <c r="B56" s="14" t="s">
        <v>39</v>
      </c>
      <c r="C56" s="103">
        <f>(C39+C34+C18+C19)/C52</f>
        <v>2.2753907850980268</v>
      </c>
      <c r="D56" s="103" t="e">
        <f>(D39+D34+D18+D19)/D52</f>
        <v>#DIV/0!</v>
      </c>
      <c r="E56" s="103">
        <f>(E39+E34+E18+E19)/E52</f>
        <v>2.209881039465015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31" workbookViewId="0">
      <selection activeCell="C15" sqref="C15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">
        <v>268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441342</v>
      </c>
      <c r="D9" s="52">
        <v>-107</v>
      </c>
      <c r="E9" s="32">
        <f>SUM(C9:D9)</f>
        <v>441235</v>
      </c>
    </row>
    <row r="10" spans="1:6" x14ac:dyDescent="0.25">
      <c r="A10" s="10">
        <v>2</v>
      </c>
      <c r="B10" s="17" t="s">
        <v>2</v>
      </c>
      <c r="C10" s="52">
        <v>4176420</v>
      </c>
      <c r="D10" s="52">
        <v>16333</v>
      </c>
      <c r="E10" s="32">
        <f t="shared" ref="E10:E14" si="0">SUM(C10:D10)</f>
        <v>4192753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f>2422+4833</f>
        <v>7255</v>
      </c>
      <c r="D12" s="52">
        <f>-2220-4833</f>
        <v>-7053</v>
      </c>
      <c r="E12" s="32">
        <f t="shared" si="0"/>
        <v>202</v>
      </c>
    </row>
    <row r="13" spans="1:6" x14ac:dyDescent="0.25">
      <c r="A13" s="10">
        <v>5</v>
      </c>
      <c r="B13" s="17" t="s">
        <v>5</v>
      </c>
      <c r="C13" s="52">
        <v>50426</v>
      </c>
      <c r="D13" s="52"/>
      <c r="E13" s="32">
        <f t="shared" si="0"/>
        <v>50426</v>
      </c>
    </row>
    <row r="14" spans="1:6" x14ac:dyDescent="0.25">
      <c r="A14" s="10">
        <v>6</v>
      </c>
      <c r="B14" s="17" t="s">
        <v>139</v>
      </c>
      <c r="C14" s="52">
        <v>-6003</v>
      </c>
      <c r="D14" s="52"/>
      <c r="E14" s="32">
        <f t="shared" si="0"/>
        <v>-6003</v>
      </c>
    </row>
    <row r="15" spans="1:6" x14ac:dyDescent="0.25">
      <c r="A15" s="10">
        <v>7</v>
      </c>
      <c r="B15" s="84" t="s">
        <v>138</v>
      </c>
      <c r="C15" s="40">
        <f>SUM(C9:C14)</f>
        <v>4669440</v>
      </c>
      <c r="D15" s="40">
        <f t="shared" ref="D15:E15" si="1">SUM(D9:D14)</f>
        <v>9173</v>
      </c>
      <c r="E15" s="40">
        <f t="shared" si="1"/>
        <v>4678613</v>
      </c>
      <c r="F15" s="1"/>
    </row>
    <row r="16" spans="1:6" x14ac:dyDescent="0.25">
      <c r="A16" s="10">
        <v>8</v>
      </c>
      <c r="B16" s="17" t="s">
        <v>6</v>
      </c>
      <c r="C16" s="52">
        <v>804352</v>
      </c>
      <c r="D16" s="52">
        <f>774626-C16</f>
        <v>-29726</v>
      </c>
      <c r="E16" s="41">
        <f>SUM(C16:D16)</f>
        <v>774626</v>
      </c>
    </row>
    <row r="17" spans="1:6" x14ac:dyDescent="0.25">
      <c r="A17" s="10">
        <v>9</v>
      </c>
      <c r="B17" s="17" t="s">
        <v>40</v>
      </c>
      <c r="C17" s="52">
        <v>519203</v>
      </c>
      <c r="D17" s="52">
        <f>407830-C17</f>
        <v>-111373</v>
      </c>
      <c r="E17" s="41">
        <f t="shared" ref="E17:E21" si="2">SUM(C17:D17)</f>
        <v>407830</v>
      </c>
    </row>
    <row r="18" spans="1:6" x14ac:dyDescent="0.25">
      <c r="A18" s="10">
        <v>10</v>
      </c>
      <c r="B18" s="17" t="s">
        <v>7</v>
      </c>
      <c r="C18" s="52">
        <v>1635244</v>
      </c>
      <c r="D18" s="52">
        <v>-14484</v>
      </c>
      <c r="E18" s="41">
        <f t="shared" si="2"/>
        <v>1620760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275917</v>
      </c>
      <c r="D20" s="52">
        <f>275917-C20</f>
        <v>0</v>
      </c>
      <c r="E20" s="41">
        <f t="shared" si="2"/>
        <v>275917</v>
      </c>
    </row>
    <row r="21" spans="1:6" x14ac:dyDescent="0.25">
      <c r="A21" s="10">
        <v>13</v>
      </c>
      <c r="B21" s="17" t="s">
        <v>10</v>
      </c>
      <c r="C21" s="52">
        <v>916551</v>
      </c>
      <c r="D21" s="52">
        <f>915520-C21</f>
        <v>-1031</v>
      </c>
      <c r="E21" s="41">
        <f t="shared" si="2"/>
        <v>915520</v>
      </c>
    </row>
    <row r="22" spans="1:6" x14ac:dyDescent="0.25">
      <c r="A22" s="10">
        <v>14</v>
      </c>
      <c r="B22" s="84" t="s">
        <v>260</v>
      </c>
      <c r="C22" s="40">
        <f>C16+C17+C18+C19+C20+C21</f>
        <v>4151267</v>
      </c>
      <c r="D22" s="40">
        <f>D16+D17+D18+D19+D20+D21</f>
        <v>-156614</v>
      </c>
      <c r="E22" s="42">
        <f>E16+E17+E18+E19+E20+E21</f>
        <v>3994653</v>
      </c>
      <c r="F22" s="1"/>
    </row>
    <row r="23" spans="1:6" x14ac:dyDescent="0.25">
      <c r="A23" s="10">
        <v>15</v>
      </c>
      <c r="B23" s="17" t="s">
        <v>14</v>
      </c>
      <c r="C23" s="32">
        <f>C15-C22</f>
        <v>518173</v>
      </c>
      <c r="D23" s="32">
        <f>D15-D22</f>
        <v>165787</v>
      </c>
      <c r="E23" s="32">
        <f>E15-E22</f>
        <v>683960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4"/>
      <c r="E25" s="32">
        <f t="shared" ref="E25:E27" si="3">SUM(C25:D25)</f>
        <v>0</v>
      </c>
    </row>
    <row r="26" spans="1:6" x14ac:dyDescent="0.25">
      <c r="A26" s="10">
        <v>18</v>
      </c>
      <c r="B26" s="17" t="s">
        <v>200</v>
      </c>
      <c r="C26" s="52">
        <v>162700</v>
      </c>
      <c r="D26" s="54">
        <f>81085-C26</f>
        <v>-81615</v>
      </c>
      <c r="E26" s="32">
        <f t="shared" si="3"/>
        <v>81085</v>
      </c>
    </row>
    <row r="27" spans="1:6" x14ac:dyDescent="0.25">
      <c r="A27" s="10">
        <v>19</v>
      </c>
      <c r="B27" s="17" t="s">
        <v>13</v>
      </c>
      <c r="C27" s="52">
        <v>191052</v>
      </c>
      <c r="D27" s="114">
        <f>191394-C27</f>
        <v>342</v>
      </c>
      <c r="E27" s="32">
        <f t="shared" si="3"/>
        <v>191394</v>
      </c>
    </row>
    <row r="28" spans="1:6" x14ac:dyDescent="0.25">
      <c r="A28" s="10">
        <v>20</v>
      </c>
      <c r="B28" s="84" t="s">
        <v>12</v>
      </c>
      <c r="C28" s="37">
        <f>SUM(C25:C27)</f>
        <v>353752</v>
      </c>
      <c r="D28" s="37">
        <f t="shared" ref="D28:E28" si="4">SUM(D25:D27)</f>
        <v>-81273</v>
      </c>
      <c r="E28" s="43">
        <f t="shared" si="4"/>
        <v>272479</v>
      </c>
    </row>
    <row r="29" spans="1:6" x14ac:dyDescent="0.25">
      <c r="A29" s="10">
        <v>21</v>
      </c>
      <c r="B29" s="84" t="s">
        <v>23</v>
      </c>
      <c r="C29" s="37">
        <f>C23+C24-C28</f>
        <v>164421</v>
      </c>
      <c r="D29" s="37">
        <f>D23+D24-D28</f>
        <v>247060</v>
      </c>
      <c r="E29" s="43">
        <f>E23+E24-E28</f>
        <v>411481</v>
      </c>
    </row>
    <row r="30" spans="1:6" x14ac:dyDescent="0.25">
      <c r="A30" s="10">
        <v>22</v>
      </c>
      <c r="B30" s="17" t="s">
        <v>15</v>
      </c>
      <c r="C30" s="52">
        <v>296072</v>
      </c>
      <c r="D30" s="54">
        <f>248095-C30</f>
        <v>-47977</v>
      </c>
      <c r="E30" s="32">
        <f>SUM(C30:D30)</f>
        <v>248095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>
        <v>-574</v>
      </c>
      <c r="D32" s="54">
        <v>3947</v>
      </c>
      <c r="E32" s="32">
        <f t="shared" si="5"/>
        <v>3373</v>
      </c>
    </row>
    <row r="33" spans="1:7" x14ac:dyDescent="0.25">
      <c r="A33" s="10">
        <v>25</v>
      </c>
      <c r="B33" s="17" t="s">
        <v>154</v>
      </c>
      <c r="C33" s="52">
        <v>-117</v>
      </c>
      <c r="D33" s="54">
        <v>0</v>
      </c>
      <c r="E33" s="33">
        <f t="shared" si="5"/>
        <v>-117</v>
      </c>
    </row>
    <row r="34" spans="1:7" x14ac:dyDescent="0.25">
      <c r="A34" s="10">
        <v>26</v>
      </c>
      <c r="B34" s="84" t="s">
        <v>18</v>
      </c>
      <c r="C34" s="37">
        <f>SUM(C30:C33)</f>
        <v>295381</v>
      </c>
      <c r="D34" s="64">
        <f t="shared" ref="D34" si="6">SUM(D30:D33)</f>
        <v>-44030</v>
      </c>
      <c r="E34" s="37">
        <f>SUM(E30:E33)</f>
        <v>251351</v>
      </c>
    </row>
    <row r="35" spans="1:7" x14ac:dyDescent="0.25">
      <c r="A35" s="10">
        <v>27</v>
      </c>
      <c r="B35" s="17" t="s">
        <v>19</v>
      </c>
      <c r="C35" s="52">
        <v>-131833</v>
      </c>
      <c r="D35" s="54"/>
      <c r="E35" s="32">
        <f>SUM(C35:D35)</f>
        <v>-131833</v>
      </c>
    </row>
    <row r="36" spans="1:7" x14ac:dyDescent="0.25">
      <c r="A36" s="10">
        <v>28</v>
      </c>
      <c r="B36" s="17" t="s">
        <v>20</v>
      </c>
      <c r="C36" s="52"/>
      <c r="D36" s="54"/>
      <c r="E36" s="32">
        <f t="shared" ref="E36:E37" si="7">SUM(C36:D36)</f>
        <v>0</v>
      </c>
    </row>
    <row r="37" spans="1:7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7" x14ac:dyDescent="0.25">
      <c r="A38" s="10">
        <v>30</v>
      </c>
      <c r="B38" s="17" t="s">
        <v>187</v>
      </c>
      <c r="C38" s="52">
        <v>456226</v>
      </c>
      <c r="D38" s="69">
        <f>-1*(D29-D34)</f>
        <v>-291090</v>
      </c>
      <c r="E38" s="32">
        <f>SUM(C38:D38)</f>
        <v>165136</v>
      </c>
    </row>
    <row r="39" spans="1:7" x14ac:dyDescent="0.25">
      <c r="A39" s="10">
        <v>31</v>
      </c>
      <c r="B39" s="84" t="s">
        <v>22</v>
      </c>
      <c r="C39" s="37">
        <f>C29-C34+C35+C36+C37+C38</f>
        <v>193433</v>
      </c>
      <c r="D39" s="37">
        <f t="shared" ref="D39" si="8">D29-D34+D35+D36+D37+D38</f>
        <v>0</v>
      </c>
      <c r="E39" s="37">
        <f>E29-E34+E35+E36+E37+E38</f>
        <v>193433</v>
      </c>
    </row>
    <row r="40" spans="1:7" x14ac:dyDescent="0.25">
      <c r="A40" s="10">
        <v>32</v>
      </c>
      <c r="B40" s="17" t="s">
        <v>24</v>
      </c>
      <c r="C40" s="67"/>
      <c r="D40" s="67"/>
      <c r="E40" s="44"/>
    </row>
    <row r="41" spans="1:7" x14ac:dyDescent="0.25">
      <c r="A41" s="10">
        <v>33</v>
      </c>
      <c r="B41" s="17" t="s">
        <v>25</v>
      </c>
      <c r="C41" s="52">
        <v>7335903</v>
      </c>
      <c r="D41" s="54">
        <f>'CurrentYearBalanceSheet '!H46</f>
        <v>-1164132</v>
      </c>
      <c r="E41" s="32">
        <f t="shared" ref="E41:E46" si="9">SUM(C41:D41)</f>
        <v>6171771</v>
      </c>
    </row>
    <row r="42" spans="1:7" x14ac:dyDescent="0.25">
      <c r="A42" s="10">
        <v>34</v>
      </c>
      <c r="B42" s="17" t="s">
        <v>26</v>
      </c>
      <c r="C42" s="52">
        <v>0</v>
      </c>
      <c r="D42" s="54">
        <v>0</v>
      </c>
      <c r="E42" s="32">
        <f t="shared" si="9"/>
        <v>0</v>
      </c>
      <c r="G42" s="123"/>
    </row>
    <row r="43" spans="1:7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7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7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7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7" x14ac:dyDescent="0.25">
      <c r="A47" s="10">
        <v>39</v>
      </c>
      <c r="B47" s="84" t="s">
        <v>208</v>
      </c>
      <c r="C47" s="37">
        <f>(C39+C41+C42)-(C43+C44+C45+C46)</f>
        <v>7529336</v>
      </c>
      <c r="D47" s="64">
        <f t="shared" ref="D47" si="10">(D39+D41+D42)-(D43+D44+D45+D46)</f>
        <v>-1164132</v>
      </c>
      <c r="E47" s="43">
        <f>(E39+E41+E42)-(E43+E44+E45+E46)</f>
        <v>6365204</v>
      </c>
    </row>
    <row r="48" spans="1:7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1115613</v>
      </c>
      <c r="D52" s="96"/>
      <c r="E52" s="32">
        <f>C52</f>
        <v>1115613</v>
      </c>
    </row>
    <row r="53" spans="1:7" x14ac:dyDescent="0.25">
      <c r="A53" s="10">
        <v>45</v>
      </c>
      <c r="B53" s="17" t="s">
        <v>36</v>
      </c>
      <c r="C53" s="46">
        <f>((C22+C28-C18-C19)/C15)</f>
        <v>0.61458654570997806</v>
      </c>
      <c r="D53" s="46">
        <f>((D22+D28-D18-D19)/D15)</f>
        <v>-24.354409680584325</v>
      </c>
      <c r="E53" s="46">
        <f>((E22+E28-E18-E19)/E15)</f>
        <v>0.56563173744013451</v>
      </c>
    </row>
    <row r="54" spans="1:7" x14ac:dyDescent="0.25">
      <c r="A54" s="10">
        <v>46</v>
      </c>
      <c r="B54" s="17" t="s">
        <v>37</v>
      </c>
      <c r="C54" s="46">
        <f>((C22+C28+C34)/C15)</f>
        <v>1.0280461896929824</v>
      </c>
      <c r="D54" s="46">
        <f>((D22+D28+D34)/D15)</f>
        <v>-30.733347868745231</v>
      </c>
      <c r="E54" s="46">
        <f>((E22+E28+E34)/E15)</f>
        <v>0.96577404457261162</v>
      </c>
    </row>
    <row r="55" spans="1:7" x14ac:dyDescent="0.25">
      <c r="A55" s="10">
        <v>47</v>
      </c>
      <c r="B55" s="17" t="s">
        <v>38</v>
      </c>
      <c r="C55" s="46">
        <f>((C39+C34)/C34)</f>
        <v>1.6548593172885189</v>
      </c>
      <c r="D55" s="46">
        <f t="shared" ref="D55:E55" si="13">((D39+D34)/D34)</f>
        <v>1</v>
      </c>
      <c r="E55" s="46">
        <f t="shared" si="13"/>
        <v>1.7695732262851551</v>
      </c>
    </row>
    <row r="56" spans="1:7" x14ac:dyDescent="0.25">
      <c r="A56" s="10">
        <v>48</v>
      </c>
      <c r="B56" s="17" t="s">
        <v>39</v>
      </c>
      <c r="C56" s="46">
        <f>(C39+C34+C18+C19)/C52</f>
        <v>1.9039380143472691</v>
      </c>
      <c r="D56" s="46" t="e">
        <f>(D39+D34+D18+D19)/D52</f>
        <v>#DIV/0!</v>
      </c>
      <c r="E56" s="46">
        <f>(E39+E34+E18+E19)/E52</f>
        <v>1.8514879263687318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selectLockedCells="1"/>
  <pageMargins left="1.2" right="0.7" top="1.25" bottom="0.75" header="0.8" footer="0.3"/>
  <pageSetup scale="60" orientation="portrait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workbookViewId="0">
      <selection activeCell="D52" sqref="D52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The Toledo Telephone Company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435373</v>
      </c>
      <c r="D9" s="41">
        <f>'CurrentYearIncomeStmt '!E9</f>
        <v>441235</v>
      </c>
    </row>
    <row r="10" spans="1:5" x14ac:dyDescent="0.25">
      <c r="A10" s="10">
        <v>2</v>
      </c>
      <c r="B10" s="17" t="s">
        <v>2</v>
      </c>
      <c r="C10" s="32">
        <f>PriorYearIncomeStmt!E10</f>
        <v>4115678</v>
      </c>
      <c r="D10" s="41">
        <f>'CurrentYearIncomeStmt '!E10</f>
        <v>4192753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335</v>
      </c>
      <c r="D12" s="41">
        <f>'CurrentYearIncomeStmt '!E12</f>
        <v>202</v>
      </c>
    </row>
    <row r="13" spans="1:5" x14ac:dyDescent="0.25">
      <c r="A13" s="10">
        <v>5</v>
      </c>
      <c r="B13" s="17" t="s">
        <v>5</v>
      </c>
      <c r="C13" s="32">
        <f>PriorYearIncomeStmt!E13</f>
        <v>52009</v>
      </c>
      <c r="D13" s="41">
        <f>'CurrentYearIncomeStmt '!E13</f>
        <v>50426</v>
      </c>
    </row>
    <row r="14" spans="1:5" x14ac:dyDescent="0.25">
      <c r="A14" s="10">
        <v>6</v>
      </c>
      <c r="B14" s="17" t="s">
        <v>139</v>
      </c>
      <c r="C14" s="32">
        <f>PriorYearIncomeStmt!E14</f>
        <v>-181154</v>
      </c>
      <c r="D14" s="41">
        <f>'CurrentYearIncomeStmt '!E14</f>
        <v>-6003</v>
      </c>
    </row>
    <row r="15" spans="1:5" x14ac:dyDescent="0.25">
      <c r="A15" s="10">
        <v>7</v>
      </c>
      <c r="B15" s="84" t="s">
        <v>138</v>
      </c>
      <c r="C15" s="40">
        <f>SUM(C9:C14)</f>
        <v>4422241</v>
      </c>
      <c r="D15" s="42">
        <f t="shared" ref="D15" si="0">SUM(D9:D14)</f>
        <v>4678613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574360</v>
      </c>
      <c r="D16" s="41">
        <f>'CurrentYearIncomeStmt '!E16</f>
        <v>774626</v>
      </c>
    </row>
    <row r="17" spans="1:5" x14ac:dyDescent="0.25">
      <c r="A17" s="10">
        <v>9</v>
      </c>
      <c r="B17" s="17" t="s">
        <v>40</v>
      </c>
      <c r="C17" s="32">
        <f>PriorYearIncomeStmt!E17</f>
        <v>331978</v>
      </c>
      <c r="D17" s="41">
        <f>'CurrentYearIncomeStmt '!E17</f>
        <v>407830</v>
      </c>
    </row>
    <row r="18" spans="1:5" x14ac:dyDescent="0.25">
      <c r="A18" s="10">
        <v>10</v>
      </c>
      <c r="B18" s="17" t="s">
        <v>7</v>
      </c>
      <c r="C18" s="32">
        <f>PriorYearIncomeStmt!E18</f>
        <v>1209360</v>
      </c>
      <c r="D18" s="41">
        <f>'CurrentYearIncomeStmt '!E18</f>
        <v>1620760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266245</v>
      </c>
      <c r="D20" s="41">
        <f>'CurrentYearIncomeStmt '!E20</f>
        <v>275917</v>
      </c>
    </row>
    <row r="21" spans="1:5" x14ac:dyDescent="0.25">
      <c r="A21" s="10">
        <v>13</v>
      </c>
      <c r="B21" s="17" t="s">
        <v>10</v>
      </c>
      <c r="C21" s="32">
        <f>PriorYearIncomeStmt!E21</f>
        <v>811462</v>
      </c>
      <c r="D21" s="41">
        <f>'CurrentYearIncomeStmt '!E21</f>
        <v>915520</v>
      </c>
    </row>
    <row r="22" spans="1:5" x14ac:dyDescent="0.25">
      <c r="A22" s="10">
        <v>14</v>
      </c>
      <c r="B22" s="84" t="s">
        <v>260</v>
      </c>
      <c r="C22" s="40">
        <f>C16+C17+C18+C19+C20+C21</f>
        <v>3193405</v>
      </c>
      <c r="D22" s="42">
        <f>D16+D17+D18+D19+D20+D21</f>
        <v>3994653</v>
      </c>
      <c r="E22" s="1"/>
    </row>
    <row r="23" spans="1:5" x14ac:dyDescent="0.25">
      <c r="A23" s="10">
        <v>15</v>
      </c>
      <c r="B23" s="17" t="s">
        <v>14</v>
      </c>
      <c r="C23" s="32">
        <f>C15-C22</f>
        <v>1228836</v>
      </c>
      <c r="D23" s="41">
        <f>D15-D22</f>
        <v>683960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25">
      <c r="A26" s="10">
        <v>18</v>
      </c>
      <c r="B26" s="17" t="s">
        <v>188</v>
      </c>
      <c r="C26" s="32">
        <f>PriorYearIncomeStmt!E26</f>
        <v>216338</v>
      </c>
      <c r="D26" s="41">
        <f>'CurrentYearIncomeStmt '!E26</f>
        <v>81085</v>
      </c>
    </row>
    <row r="27" spans="1:5" x14ac:dyDescent="0.25">
      <c r="A27" s="10">
        <v>19</v>
      </c>
      <c r="B27" s="17" t="s">
        <v>13</v>
      </c>
      <c r="C27" s="32">
        <f>PriorYearIncomeStmt!E27</f>
        <v>284889</v>
      </c>
      <c r="D27" s="41">
        <f>'CurrentYearIncomeStmt '!E27</f>
        <v>191394</v>
      </c>
    </row>
    <row r="28" spans="1:5" x14ac:dyDescent="0.25">
      <c r="A28" s="10">
        <v>20</v>
      </c>
      <c r="B28" s="84" t="s">
        <v>12</v>
      </c>
      <c r="C28" s="37">
        <f>SUM(C25:C27)</f>
        <v>501227</v>
      </c>
      <c r="D28" s="43">
        <f t="shared" ref="D28" si="1">SUM(D25:D27)</f>
        <v>272479</v>
      </c>
    </row>
    <row r="29" spans="1:5" x14ac:dyDescent="0.25">
      <c r="A29" s="10">
        <v>21</v>
      </c>
      <c r="B29" s="84" t="s">
        <v>23</v>
      </c>
      <c r="C29" s="37">
        <f>C23+C24-C28</f>
        <v>727609</v>
      </c>
      <c r="D29" s="43">
        <f>D23+D24-D28</f>
        <v>411481</v>
      </c>
    </row>
    <row r="30" spans="1:5" x14ac:dyDescent="0.25">
      <c r="A30" s="10">
        <v>22</v>
      </c>
      <c r="B30" s="17" t="s">
        <v>15</v>
      </c>
      <c r="C30" s="32">
        <f>PriorYearIncomeStmt!E30</f>
        <v>304732</v>
      </c>
      <c r="D30" s="41">
        <f>'CurrentYearIncomeStmt '!E30</f>
        <v>248095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7310</v>
      </c>
      <c r="D32" s="41">
        <f>'CurrentYearIncomeStmt '!E32</f>
        <v>3373</v>
      </c>
    </row>
    <row r="33" spans="1:4" x14ac:dyDescent="0.25">
      <c r="A33" s="10">
        <v>25</v>
      </c>
      <c r="B33" s="17" t="s">
        <v>79</v>
      </c>
      <c r="C33" s="32">
        <f>PriorYearIncomeStmt!E33</f>
        <v>-234394</v>
      </c>
      <c r="D33" s="41">
        <f>'CurrentYearIncomeStmt '!E33</f>
        <v>-117</v>
      </c>
    </row>
    <row r="34" spans="1:4" x14ac:dyDescent="0.25">
      <c r="A34" s="10">
        <v>26</v>
      </c>
      <c r="B34" s="84" t="s">
        <v>18</v>
      </c>
      <c r="C34" s="37">
        <f>SUM(C30:C33)</f>
        <v>77648</v>
      </c>
      <c r="D34" s="43">
        <f t="shared" ref="D34" si="2">SUM(D30:D33)</f>
        <v>251351</v>
      </c>
    </row>
    <row r="35" spans="1:4" x14ac:dyDescent="0.25">
      <c r="A35" s="10">
        <v>27</v>
      </c>
      <c r="B35" s="17" t="s">
        <v>19</v>
      </c>
      <c r="C35" s="32">
        <f>PriorYearIncomeStmt!E35</f>
        <v>203170</v>
      </c>
      <c r="D35" s="41">
        <f>'CurrentYearIncomeStmt '!E35</f>
        <v>-131833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-10333</v>
      </c>
      <c r="D38" s="41">
        <f>'CurrentYearIncomeStmt '!E38</f>
        <v>165136</v>
      </c>
    </row>
    <row r="39" spans="1:4" x14ac:dyDescent="0.25">
      <c r="A39" s="10">
        <v>31</v>
      </c>
      <c r="B39" s="84" t="s">
        <v>22</v>
      </c>
      <c r="C39" s="37">
        <f>C29-C34+C35+C36+C37+C38</f>
        <v>842798</v>
      </c>
      <c r="D39" s="43">
        <f t="shared" ref="D39" si="3">D29-D34+D35+D36+D37+D38</f>
        <v>193433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5088428</v>
      </c>
      <c r="D41" s="41">
        <f>'CurrentYearIncomeStmt '!E41</f>
        <v>6171771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5931226</v>
      </c>
      <c r="D47" s="43">
        <f t="shared" ref="D47" si="4">(D39+D41+D42)-(D43+D44+D45+D46)</f>
        <v>6365204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963765</v>
      </c>
      <c r="D52" s="41">
        <f>'CurrentYearIncomeStmt '!E52</f>
        <v>1115613</v>
      </c>
    </row>
    <row r="53" spans="1:8" x14ac:dyDescent="0.25">
      <c r="A53" s="10">
        <v>45</v>
      </c>
      <c r="B53" s="17" t="s">
        <v>36</v>
      </c>
      <c r="C53" s="49">
        <f>((C22+C28-C18-C19)/C15)</f>
        <v>0.56199379454896281</v>
      </c>
      <c r="D53" s="49">
        <f>((D22+D28-D18-D19)/D15)</f>
        <v>0.56563173744013451</v>
      </c>
    </row>
    <row r="54" spans="1:8" x14ac:dyDescent="0.25">
      <c r="A54" s="10">
        <v>46</v>
      </c>
      <c r="B54" s="17" t="s">
        <v>37</v>
      </c>
      <c r="C54" s="49">
        <f>((C22+C28+C34)/C15)</f>
        <v>0.85302451856423023</v>
      </c>
      <c r="D54" s="49">
        <f>((D22+D28+D34)/D15)</f>
        <v>0.96577404457261162</v>
      </c>
    </row>
    <row r="55" spans="1:8" x14ac:dyDescent="0.25">
      <c r="A55" s="10">
        <v>47</v>
      </c>
      <c r="B55" s="17" t="s">
        <v>38</v>
      </c>
      <c r="C55" s="49">
        <f>((C39+C34)/C34)</f>
        <v>11.854085101998765</v>
      </c>
      <c r="D55" s="49">
        <f t="shared" ref="D55" si="6">((D39+D34)/D34)</f>
        <v>1.7695732262851551</v>
      </c>
    </row>
    <row r="56" spans="1:8" x14ac:dyDescent="0.25">
      <c r="A56" s="10">
        <v>48</v>
      </c>
      <c r="B56" s="17" t="s">
        <v>39</v>
      </c>
      <c r="C56" s="45">
        <f>(C39+C34+C18+C19)/C52</f>
        <v>2.209881039465015</v>
      </c>
      <c r="D56" s="49">
        <f>(D39+D34+D18+D19)/D52</f>
        <v>1.8514879263687318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selectLockedCells="1"/>
  <pageMargins left="1.2" right="0.7" top="1.25" bottom="0.75" header="0.8" footer="0.3"/>
  <pageSetup scale="60" orientation="portrait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2017-09-08T07:00:00+00:00</Date1>
    <IsDocumentOrder xmlns="dc463f71-b30c-4ab2-9473-d307f9d35888" xsi:nil="true"/>
    <IsHighlyConfidential xmlns="dc463f71-b30c-4ab2-9473-d307f9d35888">false</IsHighlyConfidential>
    <CaseCompanyNames xmlns="dc463f71-b30c-4ab2-9473-d307f9d35888">Toledo Telephone Co., Inc., The</CaseCompanyNames>
    <Nickname xmlns="http://schemas.microsoft.com/sharepoint/v3" xsi:nil="true"/>
    <DocketNumber xmlns="dc463f71-b30c-4ab2-9473-d307f9d35888">170851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D2A64D1B7C6A469C02629DBB470084" ma:contentTypeVersion="104" ma:contentTypeDescription="" ma:contentTypeScope="" ma:versionID="526b1e666afd0b59b71a52cad479cb8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33DF7-43CA-44C8-8C55-F1B9F88BA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0437C3-EE69-448E-8C81-207DDA753A97}"/>
</file>

<file path=customXml/itemProps3.xml><?xml version="1.0" encoding="utf-8"?>
<ds:datastoreItem xmlns:ds="http://schemas.openxmlformats.org/officeDocument/2006/customXml" ds:itemID="{56D4731D-6E29-4F0D-A8B6-EE298EB18DE7}">
  <ds:schemaRefs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9A984D0-FF11-4C3D-90F3-C0FD0FDBD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2017-05-11T21:23:33Z</cp:lastPrinted>
  <dcterms:created xsi:type="dcterms:W3CDTF">2014-05-21T17:51:51Z</dcterms:created>
  <dcterms:modified xsi:type="dcterms:W3CDTF">2017-09-08T17:20:56Z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Revised</vt:lpwstr>
  </property>
  <property fmtid="{D5CDD505-2E9C-101B-9397-08002B2CF9AE}" pid="4" name="tabIndex">
    <vt:lpwstr/>
  </property>
  <property fmtid="{D5CDD505-2E9C-101B-9397-08002B2CF9AE}" pid="5" name="workpaperIndex">
    <vt:lpwstr/>
  </property>
  <property fmtid="{D5CDD505-2E9C-101B-9397-08002B2CF9AE}" pid="6" name="ContentTypeId">
    <vt:lpwstr>0x0101006E56B4D1795A2E4DB2F0B01679ED314A0006D2A64D1B7C6A469C02629DBB470084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