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Depreci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BUN1">'[1]2008 West Group IS'!$AJ$5</definedName>
    <definedName name="_BUN3">'[1]2008 Group Office IS'!$AJ$5</definedName>
    <definedName name="_Key1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>#REF!</definedName>
    <definedName name="BUN">[1]WTB!$DD$5</definedName>
    <definedName name="Calc">[1]WTB!#REF!</definedName>
    <definedName name="Calc0">[1]WTB!#REF!</definedName>
    <definedName name="Calc1">[1]WTB!#REF!</definedName>
    <definedName name="Calc10">[1]WTB!#REF!</definedName>
    <definedName name="Calc11">[1]WTB!#REF!</definedName>
    <definedName name="Calc12">[1]WTB!#REF!</definedName>
    <definedName name="Calc13">[1]WTB!#REF!</definedName>
    <definedName name="Calc14">[1]WTB!#REF!</definedName>
    <definedName name="Calc15">[1]WTB!#REF!</definedName>
    <definedName name="Calc16">[1]WTB!#REF!</definedName>
    <definedName name="Calc17">[1]WTB!#REF!</definedName>
    <definedName name="Calc18">[1]WTB!#REF!</definedName>
    <definedName name="Calc2">[1]WTB!#REF!</definedName>
    <definedName name="Calc3">[1]WTB!#REF!</definedName>
    <definedName name="Calc4">[1]WTB!#REF!</definedName>
    <definedName name="Calc5">[1]WTB!#REF!</definedName>
    <definedName name="Calc6">[1]WTB!#REF!</definedName>
    <definedName name="Calc7">[1]WTB!#REF!</definedName>
    <definedName name="Calc8">[1]WTB!#REF!</definedName>
    <definedName name="Calc9">[1]WTB!#REF!</definedName>
    <definedName name="CURRENCY">'[1]Balance Sheet'!$AD$8</definedName>
    <definedName name="_xlnm.Database">#REF!</definedName>
    <definedName name="Database_MI">#REF!</definedName>
    <definedName name="Database2">#REF!</definedName>
    <definedName name="FICA">'[4]Tax &amp; Ben'!$H$6</definedName>
    <definedName name="Financial">[1]WTB!#REF!</definedName>
    <definedName name="FirstColCriteria">[1]WTB!#REF!</definedName>
    <definedName name="FirstHeaderCriteria">[1]WTB!#REF!</definedName>
    <definedName name="flag">[1]WTB!#REF!</definedName>
    <definedName name="INPUT" localSheetId="0">[5]Lurito!$B$1</definedName>
    <definedName name="InsertColRange">[1]WTB!#REF!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[1]WTB!$DC$5</definedName>
    <definedName name="_xlnm.Print_Area" localSheetId="0">Depreciation!$A$12:$AE$216</definedName>
    <definedName name="_xlnm.Print_Area">#REF!</definedName>
    <definedName name="Print_Area_MI" localSheetId="0">[5]Lurito!$C$3:$H$26</definedName>
    <definedName name="_xlnm.Print_Titles" localSheetId="0">Depreciation!$1:$11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'[6]Amortization Table'!$F$18</definedName>
  </definedNames>
  <calcPr calcId="145621"/>
</workbook>
</file>

<file path=xl/calcChain.xml><?xml version="1.0" encoding="utf-8"?>
<calcChain xmlns="http://schemas.openxmlformats.org/spreadsheetml/2006/main">
  <c r="AE215" i="1" l="1"/>
  <c r="AD215" i="1"/>
  <c r="AB215" i="1"/>
  <c r="AA215" i="1"/>
  <c r="Q215" i="1"/>
  <c r="O215" i="1"/>
  <c r="N215" i="1"/>
  <c r="H215" i="1"/>
  <c r="AC215" i="1" s="1"/>
  <c r="AE214" i="1"/>
  <c r="AD214" i="1"/>
  <c r="AB214" i="1"/>
  <c r="AA214" i="1"/>
  <c r="Q214" i="1"/>
  <c r="N214" i="1"/>
  <c r="O214" i="1" s="1"/>
  <c r="H214" i="1"/>
  <c r="AC214" i="1" s="1"/>
  <c r="AE213" i="1"/>
  <c r="AD213" i="1"/>
  <c r="AC213" i="1"/>
  <c r="AB213" i="1"/>
  <c r="AA213" i="1"/>
  <c r="Q213" i="1"/>
  <c r="O213" i="1"/>
  <c r="N213" i="1"/>
  <c r="K213" i="1"/>
  <c r="H213" i="1"/>
  <c r="AE212" i="1"/>
  <c r="AD212" i="1"/>
  <c r="AC212" i="1"/>
  <c r="AB212" i="1"/>
  <c r="AA212" i="1"/>
  <c r="Q212" i="1"/>
  <c r="O212" i="1"/>
  <c r="N212" i="1"/>
  <c r="K212" i="1"/>
  <c r="H212" i="1"/>
  <c r="AE211" i="1"/>
  <c r="AD211" i="1"/>
  <c r="AC211" i="1"/>
  <c r="AB211" i="1"/>
  <c r="AA211" i="1"/>
  <c r="Q211" i="1"/>
  <c r="O211" i="1"/>
  <c r="N211" i="1"/>
  <c r="K211" i="1"/>
  <c r="H211" i="1"/>
  <c r="AE210" i="1"/>
  <c r="AD210" i="1"/>
  <c r="AB210" i="1"/>
  <c r="AA210" i="1"/>
  <c r="Q210" i="1"/>
  <c r="O210" i="1"/>
  <c r="N210" i="1"/>
  <c r="H210" i="1"/>
  <c r="AC210" i="1" s="1"/>
  <c r="AE209" i="1"/>
  <c r="AD209" i="1"/>
  <c r="AB209" i="1"/>
  <c r="AA209" i="1"/>
  <c r="Q209" i="1"/>
  <c r="N209" i="1"/>
  <c r="O209" i="1" s="1"/>
  <c r="H209" i="1"/>
  <c r="AC209" i="1" s="1"/>
  <c r="AE206" i="1"/>
  <c r="AD206" i="1"/>
  <c r="AB206" i="1"/>
  <c r="AA206" i="1"/>
  <c r="Q206" i="1"/>
  <c r="N206" i="1"/>
  <c r="O206" i="1" s="1"/>
  <c r="H206" i="1"/>
  <c r="AC206" i="1" s="1"/>
  <c r="AE205" i="1"/>
  <c r="AD205" i="1"/>
  <c r="AB205" i="1"/>
  <c r="AA205" i="1"/>
  <c r="Q205" i="1"/>
  <c r="N205" i="1"/>
  <c r="O205" i="1" s="1"/>
  <c r="H205" i="1"/>
  <c r="AC205" i="1" s="1"/>
  <c r="AE204" i="1"/>
  <c r="AD204" i="1"/>
  <c r="AB204" i="1"/>
  <c r="AA204" i="1"/>
  <c r="Q204" i="1"/>
  <c r="N204" i="1"/>
  <c r="O204" i="1" s="1"/>
  <c r="H204" i="1"/>
  <c r="AC204" i="1" s="1"/>
  <c r="AE203" i="1"/>
  <c r="AD203" i="1"/>
  <c r="AB203" i="1"/>
  <c r="AA203" i="1"/>
  <c r="Q203" i="1"/>
  <c r="O203" i="1"/>
  <c r="N203" i="1"/>
  <c r="H203" i="1"/>
  <c r="AC203" i="1" s="1"/>
  <c r="AE202" i="1"/>
  <c r="AD202" i="1"/>
  <c r="AB202" i="1"/>
  <c r="AA202" i="1"/>
  <c r="Q202" i="1"/>
  <c r="N202" i="1"/>
  <c r="O202" i="1" s="1"/>
  <c r="H202" i="1"/>
  <c r="AC202" i="1" s="1"/>
  <c r="AE201" i="1"/>
  <c r="AD201" i="1"/>
  <c r="AC201" i="1"/>
  <c r="AB201" i="1"/>
  <c r="AA201" i="1"/>
  <c r="Q201" i="1"/>
  <c r="O201" i="1"/>
  <c r="N201" i="1"/>
  <c r="K201" i="1"/>
  <c r="H201" i="1"/>
  <c r="AE198" i="1"/>
  <c r="AD198" i="1"/>
  <c r="AB198" i="1"/>
  <c r="AA198" i="1"/>
  <c r="Q198" i="1"/>
  <c r="N198" i="1"/>
  <c r="O198" i="1" s="1"/>
  <c r="H198" i="1"/>
  <c r="AC198" i="1" s="1"/>
  <c r="AE197" i="1"/>
  <c r="AD197" i="1"/>
  <c r="AC197" i="1"/>
  <c r="AB197" i="1"/>
  <c r="AA197" i="1"/>
  <c r="Q197" i="1"/>
  <c r="N197" i="1"/>
  <c r="O197" i="1" s="1"/>
  <c r="H197" i="1"/>
  <c r="AE193" i="1"/>
  <c r="AD193" i="1"/>
  <c r="AB193" i="1"/>
  <c r="AA193" i="1"/>
  <c r="Q193" i="1"/>
  <c r="N193" i="1"/>
  <c r="O193" i="1" s="1"/>
  <c r="H193" i="1"/>
  <c r="AC193" i="1" s="1"/>
  <c r="AE192" i="1"/>
  <c r="AD192" i="1"/>
  <c r="AB192" i="1"/>
  <c r="P192" i="1" s="1"/>
  <c r="R192" i="1" s="1"/>
  <c r="T192" i="1" s="1"/>
  <c r="AA192" i="1"/>
  <c r="Q192" i="1"/>
  <c r="N192" i="1"/>
  <c r="O192" i="1" s="1"/>
  <c r="H192" i="1"/>
  <c r="AC192" i="1" s="1"/>
  <c r="AE188" i="1"/>
  <c r="AD188" i="1"/>
  <c r="AB188" i="1"/>
  <c r="U188" i="1" s="1"/>
  <c r="V188" i="1" s="1"/>
  <c r="X188" i="1" s="1"/>
  <c r="AA188" i="1"/>
  <c r="Q188" i="1"/>
  <c r="N188" i="1"/>
  <c r="O188" i="1" s="1"/>
  <c r="H188" i="1"/>
  <c r="AC188" i="1" s="1"/>
  <c r="AE187" i="1"/>
  <c r="AD187" i="1"/>
  <c r="AC187" i="1"/>
  <c r="AB187" i="1"/>
  <c r="AA187" i="1"/>
  <c r="Q187" i="1"/>
  <c r="O187" i="1"/>
  <c r="N187" i="1"/>
  <c r="H187" i="1"/>
  <c r="AE176" i="1"/>
  <c r="AD176" i="1"/>
  <c r="AB176" i="1"/>
  <c r="AA176" i="1"/>
  <c r="U176" i="1" s="1"/>
  <c r="V176" i="1" s="1"/>
  <c r="X176" i="1" s="1"/>
  <c r="Q176" i="1"/>
  <c r="N176" i="1"/>
  <c r="O176" i="1" s="1"/>
  <c r="H176" i="1"/>
  <c r="AC176" i="1" s="1"/>
  <c r="AE175" i="1"/>
  <c r="AD175" i="1"/>
  <c r="AB175" i="1"/>
  <c r="AA175" i="1"/>
  <c r="Q175" i="1"/>
  <c r="N175" i="1"/>
  <c r="O175" i="1" s="1"/>
  <c r="H175" i="1"/>
  <c r="AC175" i="1" s="1"/>
  <c r="AE174" i="1"/>
  <c r="AD174" i="1"/>
  <c r="AB174" i="1"/>
  <c r="AA174" i="1"/>
  <c r="U174" i="1"/>
  <c r="V174" i="1" s="1"/>
  <c r="X174" i="1" s="1"/>
  <c r="Q174" i="1"/>
  <c r="N174" i="1"/>
  <c r="O174" i="1" s="1"/>
  <c r="H174" i="1"/>
  <c r="AC174" i="1" s="1"/>
  <c r="AE173" i="1"/>
  <c r="AD173" i="1"/>
  <c r="AB173" i="1"/>
  <c r="AA173" i="1"/>
  <c r="Q173" i="1"/>
  <c r="O173" i="1"/>
  <c r="N173" i="1"/>
  <c r="H173" i="1"/>
  <c r="AC173" i="1" s="1"/>
  <c r="AE172" i="1"/>
  <c r="AD172" i="1"/>
  <c r="AB172" i="1"/>
  <c r="AA172" i="1"/>
  <c r="U172" i="1" s="1"/>
  <c r="V172" i="1" s="1"/>
  <c r="X172" i="1" s="1"/>
  <c r="Q172" i="1"/>
  <c r="N172" i="1"/>
  <c r="O172" i="1" s="1"/>
  <c r="H172" i="1"/>
  <c r="AC172" i="1" s="1"/>
  <c r="AE171" i="1"/>
  <c r="AD171" i="1"/>
  <c r="AC171" i="1"/>
  <c r="AB171" i="1"/>
  <c r="AA171" i="1"/>
  <c r="Q171" i="1"/>
  <c r="N171" i="1"/>
  <c r="O171" i="1" s="1"/>
  <c r="H171" i="1"/>
  <c r="AE170" i="1"/>
  <c r="AD170" i="1"/>
  <c r="AB170" i="1"/>
  <c r="AA170" i="1"/>
  <c r="Q170" i="1"/>
  <c r="N170" i="1"/>
  <c r="O170" i="1" s="1"/>
  <c r="H170" i="1"/>
  <c r="AC170" i="1" s="1"/>
  <c r="AE169" i="1"/>
  <c r="AD169" i="1"/>
  <c r="AC169" i="1"/>
  <c r="AB169" i="1"/>
  <c r="AA169" i="1"/>
  <c r="Q169" i="1"/>
  <c r="N169" i="1"/>
  <c r="O169" i="1" s="1"/>
  <c r="H169" i="1"/>
  <c r="AE168" i="1"/>
  <c r="AD168" i="1"/>
  <c r="AB168" i="1"/>
  <c r="U168" i="1" s="1"/>
  <c r="V168" i="1" s="1"/>
  <c r="X168" i="1" s="1"/>
  <c r="AA168" i="1"/>
  <c r="Q168" i="1"/>
  <c r="N168" i="1"/>
  <c r="O168" i="1" s="1"/>
  <c r="H168" i="1"/>
  <c r="AC168" i="1" s="1"/>
  <c r="AE167" i="1"/>
  <c r="AD167" i="1"/>
  <c r="AC167" i="1"/>
  <c r="AB167" i="1"/>
  <c r="AA167" i="1"/>
  <c r="Q167" i="1"/>
  <c r="O167" i="1"/>
  <c r="N167" i="1"/>
  <c r="H167" i="1"/>
  <c r="AE166" i="1"/>
  <c r="AD166" i="1"/>
  <c r="AB166" i="1"/>
  <c r="AA166" i="1"/>
  <c r="U166" i="1" s="1"/>
  <c r="V166" i="1" s="1"/>
  <c r="X166" i="1" s="1"/>
  <c r="Q166" i="1"/>
  <c r="N166" i="1"/>
  <c r="O166" i="1" s="1"/>
  <c r="H166" i="1"/>
  <c r="AC166" i="1" s="1"/>
  <c r="AE165" i="1"/>
  <c r="AD165" i="1"/>
  <c r="AB165" i="1"/>
  <c r="AA165" i="1"/>
  <c r="Q165" i="1"/>
  <c r="N165" i="1"/>
  <c r="O165" i="1" s="1"/>
  <c r="H165" i="1"/>
  <c r="AC165" i="1" s="1"/>
  <c r="AE164" i="1"/>
  <c r="AD164" i="1"/>
  <c r="AB164" i="1"/>
  <c r="AA164" i="1"/>
  <c r="Q164" i="1"/>
  <c r="N164" i="1"/>
  <c r="O164" i="1" s="1"/>
  <c r="H164" i="1"/>
  <c r="AC164" i="1" s="1"/>
  <c r="AE163" i="1"/>
  <c r="AD163" i="1"/>
  <c r="AB163" i="1"/>
  <c r="AA163" i="1"/>
  <c r="Q163" i="1"/>
  <c r="O163" i="1"/>
  <c r="N163" i="1"/>
  <c r="H163" i="1"/>
  <c r="AC163" i="1" s="1"/>
  <c r="AE162" i="1"/>
  <c r="AD162" i="1"/>
  <c r="AB162" i="1"/>
  <c r="AA162" i="1"/>
  <c r="Q162" i="1"/>
  <c r="P162" i="1"/>
  <c r="R162" i="1" s="1"/>
  <c r="T162" i="1" s="1"/>
  <c r="N162" i="1"/>
  <c r="O162" i="1" s="1"/>
  <c r="H162" i="1"/>
  <c r="AC162" i="1" s="1"/>
  <c r="AE161" i="1"/>
  <c r="AD161" i="1"/>
  <c r="AB161" i="1"/>
  <c r="AA161" i="1"/>
  <c r="Q161" i="1"/>
  <c r="O161" i="1"/>
  <c r="N161" i="1"/>
  <c r="H161" i="1"/>
  <c r="AC161" i="1" s="1"/>
  <c r="AE160" i="1"/>
  <c r="AD160" i="1"/>
  <c r="AB160" i="1"/>
  <c r="AA160" i="1"/>
  <c r="Q160" i="1"/>
  <c r="P160" i="1"/>
  <c r="R160" i="1" s="1"/>
  <c r="T160" i="1" s="1"/>
  <c r="N160" i="1"/>
  <c r="O160" i="1" s="1"/>
  <c r="H160" i="1"/>
  <c r="AC160" i="1" s="1"/>
  <c r="AE159" i="1"/>
  <c r="AD159" i="1"/>
  <c r="AB159" i="1"/>
  <c r="AA159" i="1"/>
  <c r="Q159" i="1"/>
  <c r="O159" i="1"/>
  <c r="N159" i="1"/>
  <c r="H159" i="1"/>
  <c r="AC159" i="1" s="1"/>
  <c r="AE158" i="1"/>
  <c r="AD158" i="1"/>
  <c r="AB158" i="1"/>
  <c r="AA158" i="1"/>
  <c r="Q158" i="1"/>
  <c r="P158" i="1"/>
  <c r="R158" i="1" s="1"/>
  <c r="T158" i="1" s="1"/>
  <c r="N158" i="1"/>
  <c r="O158" i="1" s="1"/>
  <c r="H158" i="1"/>
  <c r="AC158" i="1" s="1"/>
  <c r="AE157" i="1"/>
  <c r="AD157" i="1"/>
  <c r="AB157" i="1"/>
  <c r="AA157" i="1"/>
  <c r="Q157" i="1"/>
  <c r="O157" i="1"/>
  <c r="N157" i="1"/>
  <c r="H157" i="1"/>
  <c r="AC157" i="1" s="1"/>
  <c r="AE156" i="1"/>
  <c r="AD156" i="1"/>
  <c r="AB156" i="1"/>
  <c r="AA156" i="1"/>
  <c r="Q156" i="1"/>
  <c r="P156" i="1"/>
  <c r="R156" i="1" s="1"/>
  <c r="T156" i="1" s="1"/>
  <c r="N156" i="1"/>
  <c r="O156" i="1" s="1"/>
  <c r="H156" i="1"/>
  <c r="AC156" i="1" s="1"/>
  <c r="AE155" i="1"/>
  <c r="AD155" i="1"/>
  <c r="AB155" i="1"/>
  <c r="AA155" i="1"/>
  <c r="Q155" i="1"/>
  <c r="O155" i="1"/>
  <c r="N155" i="1"/>
  <c r="H155" i="1"/>
  <c r="AC155" i="1" s="1"/>
  <c r="AE154" i="1"/>
  <c r="AD154" i="1"/>
  <c r="AB154" i="1"/>
  <c r="AA154" i="1"/>
  <c r="Q154" i="1"/>
  <c r="P154" i="1"/>
  <c r="R154" i="1" s="1"/>
  <c r="T154" i="1" s="1"/>
  <c r="N154" i="1"/>
  <c r="O154" i="1" s="1"/>
  <c r="H154" i="1"/>
  <c r="AC154" i="1" s="1"/>
  <c r="AE153" i="1"/>
  <c r="AD153" i="1"/>
  <c r="AB153" i="1"/>
  <c r="AA153" i="1"/>
  <c r="Q153" i="1"/>
  <c r="O153" i="1"/>
  <c r="N153" i="1"/>
  <c r="H153" i="1"/>
  <c r="AC153" i="1" s="1"/>
  <c r="AE152" i="1"/>
  <c r="AD152" i="1"/>
  <c r="AB152" i="1"/>
  <c r="AA152" i="1"/>
  <c r="Q152" i="1"/>
  <c r="P152" i="1"/>
  <c r="R152" i="1" s="1"/>
  <c r="T152" i="1" s="1"/>
  <c r="N152" i="1"/>
  <c r="O152" i="1" s="1"/>
  <c r="H152" i="1"/>
  <c r="AC152" i="1" s="1"/>
  <c r="AE151" i="1"/>
  <c r="AD151" i="1"/>
  <c r="AB151" i="1"/>
  <c r="AA151" i="1"/>
  <c r="Q151" i="1"/>
  <c r="O151" i="1"/>
  <c r="N151" i="1"/>
  <c r="H151" i="1"/>
  <c r="AC151" i="1" s="1"/>
  <c r="AE150" i="1"/>
  <c r="AD150" i="1"/>
  <c r="AB150" i="1"/>
  <c r="AA150" i="1"/>
  <c r="Q150" i="1"/>
  <c r="P150" i="1"/>
  <c r="R150" i="1" s="1"/>
  <c r="T150" i="1" s="1"/>
  <c r="N150" i="1"/>
  <c r="O150" i="1" s="1"/>
  <c r="H150" i="1"/>
  <c r="AC150" i="1" s="1"/>
  <c r="AE149" i="1"/>
  <c r="AD149" i="1"/>
  <c r="AB149" i="1"/>
  <c r="AA149" i="1"/>
  <c r="Q149" i="1"/>
  <c r="O149" i="1"/>
  <c r="N149" i="1"/>
  <c r="H149" i="1"/>
  <c r="AC149" i="1" s="1"/>
  <c r="AE148" i="1"/>
  <c r="AD148" i="1"/>
  <c r="AB148" i="1"/>
  <c r="AA148" i="1"/>
  <c r="Q148" i="1"/>
  <c r="P148" i="1"/>
  <c r="R148" i="1" s="1"/>
  <c r="T148" i="1" s="1"/>
  <c r="N148" i="1"/>
  <c r="O148" i="1" s="1"/>
  <c r="H148" i="1"/>
  <c r="AC148" i="1" s="1"/>
  <c r="AE147" i="1"/>
  <c r="AD147" i="1"/>
  <c r="AB147" i="1"/>
  <c r="AA147" i="1"/>
  <c r="Q147" i="1"/>
  <c r="O147" i="1"/>
  <c r="N147" i="1"/>
  <c r="H147" i="1"/>
  <c r="AC147" i="1" s="1"/>
  <c r="AE146" i="1"/>
  <c r="AD146" i="1"/>
  <c r="AB146" i="1"/>
  <c r="AA146" i="1"/>
  <c r="Q146" i="1"/>
  <c r="N146" i="1"/>
  <c r="O146" i="1" s="1"/>
  <c r="H146" i="1"/>
  <c r="AC146" i="1" s="1"/>
  <c r="AE145" i="1"/>
  <c r="AD145" i="1"/>
  <c r="AB145" i="1"/>
  <c r="AA145" i="1"/>
  <c r="Q145" i="1"/>
  <c r="N145" i="1"/>
  <c r="O145" i="1" s="1"/>
  <c r="H145" i="1"/>
  <c r="AC145" i="1" s="1"/>
  <c r="AE144" i="1"/>
  <c r="AD144" i="1"/>
  <c r="AB144" i="1"/>
  <c r="AA144" i="1"/>
  <c r="Q144" i="1"/>
  <c r="N144" i="1"/>
  <c r="O144" i="1" s="1"/>
  <c r="H144" i="1"/>
  <c r="AC144" i="1" s="1"/>
  <c r="AE143" i="1"/>
  <c r="AD143" i="1"/>
  <c r="AB143" i="1"/>
  <c r="AA143" i="1"/>
  <c r="Q143" i="1"/>
  <c r="O143" i="1"/>
  <c r="N143" i="1"/>
  <c r="H143" i="1"/>
  <c r="AC143" i="1" s="1"/>
  <c r="AE142" i="1"/>
  <c r="AD142" i="1"/>
  <c r="AB142" i="1"/>
  <c r="AA142" i="1"/>
  <c r="Q142" i="1"/>
  <c r="N142" i="1"/>
  <c r="O142" i="1" s="1"/>
  <c r="H142" i="1"/>
  <c r="AC142" i="1" s="1"/>
  <c r="P142" i="1" s="1"/>
  <c r="R142" i="1" s="1"/>
  <c r="T142" i="1" s="1"/>
  <c r="AE141" i="1"/>
  <c r="AD141" i="1"/>
  <c r="AB141" i="1"/>
  <c r="AA141" i="1"/>
  <c r="Q141" i="1"/>
  <c r="O141" i="1"/>
  <c r="N141" i="1"/>
  <c r="H141" i="1"/>
  <c r="AC141" i="1" s="1"/>
  <c r="AE140" i="1"/>
  <c r="AD140" i="1"/>
  <c r="AB140" i="1"/>
  <c r="AA140" i="1"/>
  <c r="Q140" i="1"/>
  <c r="N140" i="1"/>
  <c r="O140" i="1" s="1"/>
  <c r="H140" i="1"/>
  <c r="AC140" i="1" s="1"/>
  <c r="AE139" i="1"/>
  <c r="AD139" i="1"/>
  <c r="AC139" i="1"/>
  <c r="AB139" i="1"/>
  <c r="AA139" i="1"/>
  <c r="Q139" i="1"/>
  <c r="O139" i="1"/>
  <c r="N139" i="1"/>
  <c r="H139" i="1"/>
  <c r="AE138" i="1"/>
  <c r="AD138" i="1"/>
  <c r="AB138" i="1"/>
  <c r="AA138" i="1"/>
  <c r="Q138" i="1"/>
  <c r="N138" i="1"/>
  <c r="O138" i="1" s="1"/>
  <c r="H138" i="1"/>
  <c r="AC138" i="1" s="1"/>
  <c r="AE137" i="1"/>
  <c r="AD137" i="1"/>
  <c r="AB137" i="1"/>
  <c r="AA137" i="1"/>
  <c r="Q137" i="1"/>
  <c r="O137" i="1"/>
  <c r="N137" i="1"/>
  <c r="H137" i="1"/>
  <c r="AC137" i="1" s="1"/>
  <c r="AE136" i="1"/>
  <c r="AD136" i="1"/>
  <c r="AB136" i="1"/>
  <c r="AA136" i="1"/>
  <c r="Q136" i="1"/>
  <c r="O136" i="1"/>
  <c r="H136" i="1"/>
  <c r="AC136" i="1" s="1"/>
  <c r="AE135" i="1"/>
  <c r="AD135" i="1"/>
  <c r="AB135" i="1"/>
  <c r="AA135" i="1"/>
  <c r="Q135" i="1"/>
  <c r="N135" i="1"/>
  <c r="O135" i="1" s="1"/>
  <c r="H135" i="1"/>
  <c r="AC135" i="1" s="1"/>
  <c r="AE134" i="1"/>
  <c r="AD134" i="1"/>
  <c r="AB134" i="1"/>
  <c r="AA134" i="1"/>
  <c r="Q134" i="1"/>
  <c r="N134" i="1"/>
  <c r="O134" i="1" s="1"/>
  <c r="H134" i="1"/>
  <c r="AC134" i="1" s="1"/>
  <c r="AE133" i="1"/>
  <c r="AD133" i="1"/>
  <c r="AC133" i="1"/>
  <c r="AB133" i="1"/>
  <c r="AA133" i="1"/>
  <c r="Q133" i="1"/>
  <c r="N133" i="1"/>
  <c r="O133" i="1" s="1"/>
  <c r="H133" i="1"/>
  <c r="AE132" i="1"/>
  <c r="AD132" i="1"/>
  <c r="AB132" i="1"/>
  <c r="AA132" i="1"/>
  <c r="Q132" i="1"/>
  <c r="N132" i="1"/>
  <c r="O132" i="1" s="1"/>
  <c r="H132" i="1"/>
  <c r="AC132" i="1" s="1"/>
  <c r="AE131" i="1"/>
  <c r="AD131" i="1"/>
  <c r="AB131" i="1"/>
  <c r="AA131" i="1"/>
  <c r="Q131" i="1"/>
  <c r="O131" i="1"/>
  <c r="H131" i="1"/>
  <c r="AC131" i="1" s="1"/>
  <c r="AE130" i="1"/>
  <c r="AD130" i="1"/>
  <c r="AB130" i="1"/>
  <c r="AA130" i="1"/>
  <c r="Q130" i="1"/>
  <c r="N130" i="1"/>
  <c r="O130" i="1" s="1"/>
  <c r="H130" i="1"/>
  <c r="AC130" i="1" s="1"/>
  <c r="AE129" i="1"/>
  <c r="AD129" i="1"/>
  <c r="AC129" i="1"/>
  <c r="AB129" i="1"/>
  <c r="AA129" i="1"/>
  <c r="Q129" i="1"/>
  <c r="O129" i="1"/>
  <c r="N129" i="1"/>
  <c r="H129" i="1"/>
  <c r="AE128" i="1"/>
  <c r="AD128" i="1"/>
  <c r="AB128" i="1"/>
  <c r="AA128" i="1"/>
  <c r="Q128" i="1"/>
  <c r="N128" i="1"/>
  <c r="O128" i="1" s="1"/>
  <c r="H128" i="1"/>
  <c r="AC128" i="1" s="1"/>
  <c r="AE127" i="1"/>
  <c r="AD127" i="1"/>
  <c r="AB127" i="1"/>
  <c r="AA127" i="1"/>
  <c r="Q127" i="1"/>
  <c r="O127" i="1"/>
  <c r="N127" i="1"/>
  <c r="H127" i="1"/>
  <c r="AC127" i="1" s="1"/>
  <c r="AE126" i="1"/>
  <c r="AD126" i="1"/>
  <c r="AB126" i="1"/>
  <c r="AA126" i="1"/>
  <c r="Q126" i="1"/>
  <c r="N126" i="1"/>
  <c r="O126" i="1" s="1"/>
  <c r="H126" i="1"/>
  <c r="AC126" i="1" s="1"/>
  <c r="AE125" i="1"/>
  <c r="AD125" i="1"/>
  <c r="AB125" i="1"/>
  <c r="AA125" i="1"/>
  <c r="Q125" i="1"/>
  <c r="O125" i="1"/>
  <c r="N125" i="1"/>
  <c r="H125" i="1"/>
  <c r="AC125" i="1" s="1"/>
  <c r="AE124" i="1"/>
  <c r="AD124" i="1"/>
  <c r="AB124" i="1"/>
  <c r="AA124" i="1"/>
  <c r="Q124" i="1"/>
  <c r="N124" i="1"/>
  <c r="O124" i="1" s="1"/>
  <c r="H124" i="1"/>
  <c r="AC124" i="1" s="1"/>
  <c r="P124" i="1" s="1"/>
  <c r="R124" i="1" s="1"/>
  <c r="T124" i="1" s="1"/>
  <c r="AE123" i="1"/>
  <c r="AD123" i="1"/>
  <c r="AB123" i="1"/>
  <c r="AA123" i="1"/>
  <c r="Q123" i="1"/>
  <c r="O123" i="1"/>
  <c r="N123" i="1"/>
  <c r="H123" i="1"/>
  <c r="AC123" i="1" s="1"/>
  <c r="AE122" i="1"/>
  <c r="AD122" i="1"/>
  <c r="AB122" i="1"/>
  <c r="AA122" i="1"/>
  <c r="Q122" i="1"/>
  <c r="N122" i="1"/>
  <c r="O122" i="1" s="1"/>
  <c r="H122" i="1"/>
  <c r="AC122" i="1" s="1"/>
  <c r="AE121" i="1"/>
  <c r="AD121" i="1"/>
  <c r="AC121" i="1"/>
  <c r="AB121" i="1"/>
  <c r="AA121" i="1"/>
  <c r="Q121" i="1"/>
  <c r="O121" i="1"/>
  <c r="N121" i="1"/>
  <c r="H121" i="1"/>
  <c r="AE120" i="1"/>
  <c r="AD120" i="1"/>
  <c r="AB120" i="1"/>
  <c r="AA120" i="1"/>
  <c r="Q120" i="1"/>
  <c r="N120" i="1"/>
  <c r="O120" i="1" s="1"/>
  <c r="H120" i="1"/>
  <c r="AC120" i="1" s="1"/>
  <c r="AE119" i="1"/>
  <c r="AD119" i="1"/>
  <c r="AB119" i="1"/>
  <c r="AA119" i="1"/>
  <c r="Q119" i="1"/>
  <c r="O119" i="1"/>
  <c r="N119" i="1"/>
  <c r="H119" i="1"/>
  <c r="AC119" i="1" s="1"/>
  <c r="AE118" i="1"/>
  <c r="AD118" i="1"/>
  <c r="AB118" i="1"/>
  <c r="AA118" i="1"/>
  <c r="Q118" i="1"/>
  <c r="N118" i="1"/>
  <c r="O118" i="1" s="1"/>
  <c r="H118" i="1"/>
  <c r="AC118" i="1" s="1"/>
  <c r="AE117" i="1"/>
  <c r="AD117" i="1"/>
  <c r="AB117" i="1"/>
  <c r="AA117" i="1"/>
  <c r="Q117" i="1"/>
  <c r="N117" i="1"/>
  <c r="O117" i="1" s="1"/>
  <c r="H117" i="1"/>
  <c r="AC117" i="1" s="1"/>
  <c r="AE116" i="1"/>
  <c r="AD116" i="1"/>
  <c r="AC116" i="1"/>
  <c r="AB116" i="1"/>
  <c r="AA116" i="1"/>
  <c r="Q116" i="1"/>
  <c r="N116" i="1"/>
  <c r="O116" i="1" s="1"/>
  <c r="H116" i="1"/>
  <c r="AE115" i="1"/>
  <c r="AD115" i="1"/>
  <c r="AB115" i="1"/>
  <c r="AA115" i="1"/>
  <c r="Q115" i="1"/>
  <c r="O115" i="1"/>
  <c r="N115" i="1"/>
  <c r="H115" i="1"/>
  <c r="AC115" i="1" s="1"/>
  <c r="AE114" i="1"/>
  <c r="AD114" i="1"/>
  <c r="AB114" i="1"/>
  <c r="AA114" i="1"/>
  <c r="Q114" i="1"/>
  <c r="N114" i="1"/>
  <c r="O114" i="1" s="1"/>
  <c r="H114" i="1"/>
  <c r="AC114" i="1" s="1"/>
  <c r="AE113" i="1"/>
  <c r="AD113" i="1"/>
  <c r="AB113" i="1"/>
  <c r="AA113" i="1"/>
  <c r="Q113" i="1"/>
  <c r="O113" i="1"/>
  <c r="N113" i="1"/>
  <c r="H113" i="1"/>
  <c r="AC113" i="1" s="1"/>
  <c r="AE112" i="1"/>
  <c r="AD112" i="1"/>
  <c r="AC112" i="1"/>
  <c r="AB112" i="1"/>
  <c r="P112" i="1" s="1"/>
  <c r="R112" i="1" s="1"/>
  <c r="T112" i="1" s="1"/>
  <c r="AA112" i="1"/>
  <c r="Q112" i="1"/>
  <c r="N112" i="1"/>
  <c r="O112" i="1" s="1"/>
  <c r="H112" i="1"/>
  <c r="AE111" i="1"/>
  <c r="AD111" i="1"/>
  <c r="AB111" i="1"/>
  <c r="AA111" i="1"/>
  <c r="Q111" i="1"/>
  <c r="N111" i="1"/>
  <c r="O111" i="1" s="1"/>
  <c r="H111" i="1"/>
  <c r="AC111" i="1" s="1"/>
  <c r="AE110" i="1"/>
  <c r="AD110" i="1"/>
  <c r="AB110" i="1"/>
  <c r="P110" i="1" s="1"/>
  <c r="R110" i="1" s="1"/>
  <c r="T110" i="1" s="1"/>
  <c r="AA110" i="1"/>
  <c r="Q110" i="1"/>
  <c r="N110" i="1"/>
  <c r="O110" i="1" s="1"/>
  <c r="H110" i="1"/>
  <c r="AC110" i="1" s="1"/>
  <c r="AE109" i="1"/>
  <c r="AD109" i="1"/>
  <c r="AC109" i="1"/>
  <c r="AB109" i="1"/>
  <c r="AA109" i="1"/>
  <c r="Q109" i="1"/>
  <c r="O109" i="1"/>
  <c r="N109" i="1"/>
  <c r="K109" i="1"/>
  <c r="H109" i="1"/>
  <c r="AE108" i="1"/>
  <c r="AD108" i="1"/>
  <c r="AC108" i="1"/>
  <c r="AB108" i="1"/>
  <c r="AA108" i="1"/>
  <c r="Q108" i="1"/>
  <c r="O108" i="1"/>
  <c r="N108" i="1"/>
  <c r="K108" i="1"/>
  <c r="H108" i="1"/>
  <c r="AE107" i="1"/>
  <c r="AD107" i="1"/>
  <c r="AC107" i="1"/>
  <c r="AB107" i="1"/>
  <c r="AA107" i="1"/>
  <c r="Q107" i="1"/>
  <c r="O107" i="1"/>
  <c r="N107" i="1"/>
  <c r="K107" i="1"/>
  <c r="H107" i="1"/>
  <c r="AE106" i="1"/>
  <c r="AD106" i="1"/>
  <c r="AB106" i="1"/>
  <c r="AA106" i="1"/>
  <c r="Q106" i="1"/>
  <c r="N106" i="1"/>
  <c r="O106" i="1" s="1"/>
  <c r="H106" i="1"/>
  <c r="AC106" i="1" s="1"/>
  <c r="AE105" i="1"/>
  <c r="AD105" i="1"/>
  <c r="AB105" i="1"/>
  <c r="AA105" i="1"/>
  <c r="Q105" i="1"/>
  <c r="N105" i="1"/>
  <c r="O105" i="1" s="1"/>
  <c r="H105" i="1"/>
  <c r="AC105" i="1" s="1"/>
  <c r="AE104" i="1"/>
  <c r="AD104" i="1"/>
  <c r="AB104" i="1"/>
  <c r="AA104" i="1"/>
  <c r="Q104" i="1"/>
  <c r="O104" i="1"/>
  <c r="N104" i="1"/>
  <c r="H104" i="1"/>
  <c r="AC104" i="1" s="1"/>
  <c r="AE103" i="1"/>
  <c r="AD103" i="1"/>
  <c r="AB103" i="1"/>
  <c r="AA103" i="1"/>
  <c r="Q103" i="1"/>
  <c r="N103" i="1"/>
  <c r="O103" i="1" s="1"/>
  <c r="H103" i="1"/>
  <c r="AC103" i="1" s="1"/>
  <c r="AE102" i="1"/>
  <c r="AD102" i="1"/>
  <c r="AB102" i="1"/>
  <c r="AA102" i="1"/>
  <c r="Q102" i="1"/>
  <c r="N102" i="1"/>
  <c r="O102" i="1" s="1"/>
  <c r="H102" i="1"/>
  <c r="AC102" i="1" s="1"/>
  <c r="AE101" i="1"/>
  <c r="AD101" i="1"/>
  <c r="AB101" i="1"/>
  <c r="AA101" i="1"/>
  <c r="Q101" i="1"/>
  <c r="N101" i="1"/>
  <c r="O101" i="1" s="1"/>
  <c r="H101" i="1"/>
  <c r="AC101" i="1" s="1"/>
  <c r="AE100" i="1"/>
  <c r="AD100" i="1"/>
  <c r="AB100" i="1"/>
  <c r="AA100" i="1"/>
  <c r="Q100" i="1"/>
  <c r="O100" i="1"/>
  <c r="N100" i="1"/>
  <c r="H100" i="1"/>
  <c r="AC100" i="1" s="1"/>
  <c r="AE99" i="1"/>
  <c r="AD99" i="1"/>
  <c r="AB99" i="1"/>
  <c r="AA99" i="1"/>
  <c r="Q99" i="1"/>
  <c r="N99" i="1"/>
  <c r="O99" i="1" s="1"/>
  <c r="H99" i="1"/>
  <c r="AC99" i="1" s="1"/>
  <c r="AE98" i="1"/>
  <c r="AD98" i="1"/>
  <c r="AB98" i="1"/>
  <c r="AA98" i="1"/>
  <c r="Q98" i="1"/>
  <c r="N98" i="1"/>
  <c r="O98" i="1" s="1"/>
  <c r="H98" i="1"/>
  <c r="AC98" i="1" s="1"/>
  <c r="AE97" i="1"/>
  <c r="AD97" i="1"/>
  <c r="AB97" i="1"/>
  <c r="AA97" i="1"/>
  <c r="Q97" i="1"/>
  <c r="N97" i="1"/>
  <c r="O97" i="1" s="1"/>
  <c r="H97" i="1"/>
  <c r="AC97" i="1" s="1"/>
  <c r="AE96" i="1"/>
  <c r="AD96" i="1"/>
  <c r="AB96" i="1"/>
  <c r="AA96" i="1"/>
  <c r="Q96" i="1"/>
  <c r="L96" i="1"/>
  <c r="N96" i="1" s="1"/>
  <c r="O96" i="1" s="1"/>
  <c r="H96" i="1"/>
  <c r="AC96" i="1" s="1"/>
  <c r="AE95" i="1"/>
  <c r="AD95" i="1"/>
  <c r="AB95" i="1"/>
  <c r="AA95" i="1"/>
  <c r="Q95" i="1"/>
  <c r="L95" i="1"/>
  <c r="N95" i="1" s="1"/>
  <c r="O95" i="1" s="1"/>
  <c r="H95" i="1"/>
  <c r="AC95" i="1" s="1"/>
  <c r="AE94" i="1"/>
  <c r="AD94" i="1"/>
  <c r="AB94" i="1"/>
  <c r="AA94" i="1"/>
  <c r="Q94" i="1"/>
  <c r="L94" i="1"/>
  <c r="N94" i="1" s="1"/>
  <c r="O94" i="1" s="1"/>
  <c r="K94" i="1"/>
  <c r="H94" i="1"/>
  <c r="AC94" i="1" s="1"/>
  <c r="AE93" i="1"/>
  <c r="AD93" i="1"/>
  <c r="AB93" i="1"/>
  <c r="AA93" i="1"/>
  <c r="Q93" i="1"/>
  <c r="L93" i="1"/>
  <c r="N93" i="1" s="1"/>
  <c r="O93" i="1" s="1"/>
  <c r="K93" i="1"/>
  <c r="H93" i="1"/>
  <c r="AC93" i="1" s="1"/>
  <c r="AE92" i="1"/>
  <c r="AD92" i="1"/>
  <c r="AB92" i="1"/>
  <c r="AA92" i="1"/>
  <c r="Q92" i="1"/>
  <c r="L92" i="1"/>
  <c r="N92" i="1" s="1"/>
  <c r="O92" i="1" s="1"/>
  <c r="K92" i="1"/>
  <c r="H92" i="1"/>
  <c r="AC92" i="1" s="1"/>
  <c r="AE91" i="1"/>
  <c r="AD91" i="1"/>
  <c r="AB91" i="1"/>
  <c r="AA91" i="1"/>
  <c r="Q91" i="1"/>
  <c r="N91" i="1"/>
  <c r="O91" i="1" s="1"/>
  <c r="L91" i="1"/>
  <c r="K91" i="1"/>
  <c r="H91" i="1"/>
  <c r="AC91" i="1" s="1"/>
  <c r="AE90" i="1"/>
  <c r="AD90" i="1"/>
  <c r="AB90" i="1"/>
  <c r="AA90" i="1"/>
  <c r="Q90" i="1"/>
  <c r="L90" i="1"/>
  <c r="N90" i="1" s="1"/>
  <c r="O90" i="1" s="1"/>
  <c r="K90" i="1"/>
  <c r="H90" i="1"/>
  <c r="AC90" i="1" s="1"/>
  <c r="AE89" i="1"/>
  <c r="AD89" i="1"/>
  <c r="AB89" i="1"/>
  <c r="AA89" i="1"/>
  <c r="Q89" i="1"/>
  <c r="N89" i="1"/>
  <c r="O89" i="1" s="1"/>
  <c r="H89" i="1"/>
  <c r="AC89" i="1" s="1"/>
  <c r="U89" i="1" s="1"/>
  <c r="V89" i="1" s="1"/>
  <c r="X89" i="1" s="1"/>
  <c r="AE88" i="1"/>
  <c r="AD88" i="1"/>
  <c r="AB88" i="1"/>
  <c r="AA88" i="1"/>
  <c r="Q88" i="1"/>
  <c r="L88" i="1"/>
  <c r="N88" i="1" s="1"/>
  <c r="O88" i="1" s="1"/>
  <c r="K88" i="1"/>
  <c r="H88" i="1"/>
  <c r="AC88" i="1" s="1"/>
  <c r="AE87" i="1"/>
  <c r="AD87" i="1"/>
  <c r="AB87" i="1"/>
  <c r="AA87" i="1"/>
  <c r="Q87" i="1"/>
  <c r="N87" i="1"/>
  <c r="O87" i="1" s="1"/>
  <c r="L87" i="1"/>
  <c r="K87" i="1"/>
  <c r="H87" i="1"/>
  <c r="AC87" i="1" s="1"/>
  <c r="AE86" i="1"/>
  <c r="AD86" i="1"/>
  <c r="AB86" i="1"/>
  <c r="AA86" i="1"/>
  <c r="Q86" i="1"/>
  <c r="L86" i="1"/>
  <c r="N86" i="1" s="1"/>
  <c r="O86" i="1" s="1"/>
  <c r="K86" i="1"/>
  <c r="H86" i="1"/>
  <c r="AC86" i="1" s="1"/>
  <c r="AE85" i="1"/>
  <c r="AD85" i="1"/>
  <c r="AB85" i="1"/>
  <c r="AA85" i="1"/>
  <c r="Q85" i="1"/>
  <c r="N85" i="1"/>
  <c r="O85" i="1" s="1"/>
  <c r="U85" i="1" s="1"/>
  <c r="V85" i="1" s="1"/>
  <c r="X85" i="1" s="1"/>
  <c r="L85" i="1"/>
  <c r="K85" i="1"/>
  <c r="H85" i="1"/>
  <c r="AC85" i="1" s="1"/>
  <c r="AE84" i="1"/>
  <c r="AD84" i="1"/>
  <c r="AB84" i="1"/>
  <c r="AA84" i="1"/>
  <c r="Q84" i="1"/>
  <c r="O84" i="1"/>
  <c r="N84" i="1"/>
  <c r="H84" i="1"/>
  <c r="AC84" i="1" s="1"/>
  <c r="AE83" i="1"/>
  <c r="AD83" i="1"/>
  <c r="AB83" i="1"/>
  <c r="AA83" i="1"/>
  <c r="P83" i="1" s="1"/>
  <c r="R83" i="1" s="1"/>
  <c r="T83" i="1" s="1"/>
  <c r="Q83" i="1"/>
  <c r="N83" i="1"/>
  <c r="O83" i="1" s="1"/>
  <c r="H83" i="1"/>
  <c r="AC83" i="1" s="1"/>
  <c r="AE82" i="1"/>
  <c r="AD82" i="1"/>
  <c r="AB82" i="1"/>
  <c r="AA82" i="1"/>
  <c r="Q82" i="1"/>
  <c r="N82" i="1"/>
  <c r="O82" i="1" s="1"/>
  <c r="H82" i="1"/>
  <c r="AC82" i="1" s="1"/>
  <c r="AE81" i="1"/>
  <c r="AD81" i="1"/>
  <c r="AB81" i="1"/>
  <c r="AA81" i="1"/>
  <c r="P81" i="1" s="1"/>
  <c r="R81" i="1" s="1"/>
  <c r="T81" i="1" s="1"/>
  <c r="Q81" i="1"/>
  <c r="N81" i="1"/>
  <c r="O81" i="1" s="1"/>
  <c r="H81" i="1"/>
  <c r="AC81" i="1" s="1"/>
  <c r="AE80" i="1"/>
  <c r="AD80" i="1"/>
  <c r="AB80" i="1"/>
  <c r="AA80" i="1"/>
  <c r="Q80" i="1"/>
  <c r="N80" i="1"/>
  <c r="O80" i="1" s="1"/>
  <c r="H80" i="1"/>
  <c r="AC80" i="1" s="1"/>
  <c r="AE79" i="1"/>
  <c r="AD79" i="1"/>
  <c r="AC79" i="1"/>
  <c r="AB79" i="1"/>
  <c r="AA79" i="1"/>
  <c r="Q79" i="1"/>
  <c r="N79" i="1"/>
  <c r="O79" i="1" s="1"/>
  <c r="H79" i="1"/>
  <c r="AE78" i="1"/>
  <c r="AD78" i="1"/>
  <c r="AB78" i="1"/>
  <c r="AA78" i="1"/>
  <c r="Q78" i="1"/>
  <c r="N78" i="1"/>
  <c r="O78" i="1" s="1"/>
  <c r="H78" i="1"/>
  <c r="AC78" i="1" s="1"/>
  <c r="AE77" i="1"/>
  <c r="AD77" i="1"/>
  <c r="AB77" i="1"/>
  <c r="AA77" i="1"/>
  <c r="Q77" i="1"/>
  <c r="N77" i="1"/>
  <c r="O77" i="1" s="1"/>
  <c r="H77" i="1"/>
  <c r="AC77" i="1" s="1"/>
  <c r="U77" i="1" s="1"/>
  <c r="V77" i="1" s="1"/>
  <c r="X77" i="1" s="1"/>
  <c r="AE76" i="1"/>
  <c r="AD76" i="1"/>
  <c r="AB76" i="1"/>
  <c r="AA76" i="1"/>
  <c r="Q76" i="1"/>
  <c r="O76" i="1"/>
  <c r="N76" i="1"/>
  <c r="H76" i="1"/>
  <c r="AC76" i="1" s="1"/>
  <c r="AE75" i="1"/>
  <c r="AD75" i="1"/>
  <c r="AB75" i="1"/>
  <c r="AA75" i="1"/>
  <c r="Q75" i="1"/>
  <c r="N75" i="1"/>
  <c r="O75" i="1" s="1"/>
  <c r="H75" i="1"/>
  <c r="AC75" i="1" s="1"/>
  <c r="AE74" i="1"/>
  <c r="AD74" i="1"/>
  <c r="AB74" i="1"/>
  <c r="AA74" i="1"/>
  <c r="Q74" i="1"/>
  <c r="O74" i="1"/>
  <c r="N74" i="1"/>
  <c r="H74" i="1"/>
  <c r="AC74" i="1" s="1"/>
  <c r="AE73" i="1"/>
  <c r="AD73" i="1"/>
  <c r="AB73" i="1"/>
  <c r="AA73" i="1"/>
  <c r="Q73" i="1"/>
  <c r="N73" i="1"/>
  <c r="O73" i="1" s="1"/>
  <c r="H73" i="1"/>
  <c r="AC73" i="1" s="1"/>
  <c r="AE72" i="1"/>
  <c r="AD72" i="1"/>
  <c r="AB72" i="1"/>
  <c r="AA72" i="1"/>
  <c r="Q72" i="1"/>
  <c r="N72" i="1"/>
  <c r="O72" i="1" s="1"/>
  <c r="H72" i="1"/>
  <c r="AC72" i="1" s="1"/>
  <c r="AE71" i="1"/>
  <c r="AD71" i="1"/>
  <c r="AC71" i="1"/>
  <c r="AB71" i="1"/>
  <c r="AA71" i="1"/>
  <c r="Q71" i="1"/>
  <c r="N71" i="1"/>
  <c r="O71" i="1" s="1"/>
  <c r="H71" i="1"/>
  <c r="AE70" i="1"/>
  <c r="AD70" i="1"/>
  <c r="AB70" i="1"/>
  <c r="AA70" i="1"/>
  <c r="Q70" i="1"/>
  <c r="N70" i="1"/>
  <c r="O70" i="1" s="1"/>
  <c r="H70" i="1"/>
  <c r="AC70" i="1" s="1"/>
  <c r="AE69" i="1"/>
  <c r="AD69" i="1"/>
  <c r="AB69" i="1"/>
  <c r="AA69" i="1"/>
  <c r="Q69" i="1"/>
  <c r="N69" i="1"/>
  <c r="O69" i="1" s="1"/>
  <c r="H69" i="1"/>
  <c r="AC69" i="1" s="1"/>
  <c r="U69" i="1" s="1"/>
  <c r="V69" i="1" s="1"/>
  <c r="X69" i="1" s="1"/>
  <c r="AE68" i="1"/>
  <c r="AD68" i="1"/>
  <c r="AB68" i="1"/>
  <c r="AA68" i="1"/>
  <c r="Q68" i="1"/>
  <c r="N68" i="1"/>
  <c r="O68" i="1" s="1"/>
  <c r="H68" i="1"/>
  <c r="AC68" i="1" s="1"/>
  <c r="AE67" i="1"/>
  <c r="AD67" i="1"/>
  <c r="AB67" i="1"/>
  <c r="AA67" i="1"/>
  <c r="Q67" i="1"/>
  <c r="N67" i="1"/>
  <c r="O67" i="1" s="1"/>
  <c r="H67" i="1"/>
  <c r="AC67" i="1" s="1"/>
  <c r="AE66" i="1"/>
  <c r="AD66" i="1"/>
  <c r="AB66" i="1"/>
  <c r="AA66" i="1"/>
  <c r="Q66" i="1"/>
  <c r="O66" i="1"/>
  <c r="N66" i="1"/>
  <c r="H66" i="1"/>
  <c r="AC66" i="1" s="1"/>
  <c r="AE65" i="1"/>
  <c r="AD65" i="1"/>
  <c r="AB65" i="1"/>
  <c r="AA65" i="1"/>
  <c r="Q65" i="1"/>
  <c r="N65" i="1"/>
  <c r="O65" i="1" s="1"/>
  <c r="U65" i="1" s="1"/>
  <c r="V65" i="1" s="1"/>
  <c r="X65" i="1" s="1"/>
  <c r="H65" i="1"/>
  <c r="AC65" i="1" s="1"/>
  <c r="AE64" i="1"/>
  <c r="AD64" i="1"/>
  <c r="AC64" i="1"/>
  <c r="AB64" i="1"/>
  <c r="AA64" i="1"/>
  <c r="Q64" i="1"/>
  <c r="N64" i="1"/>
  <c r="O64" i="1" s="1"/>
  <c r="H64" i="1"/>
  <c r="AE63" i="1"/>
  <c r="AD63" i="1"/>
  <c r="AC63" i="1"/>
  <c r="AB63" i="1"/>
  <c r="AA63" i="1"/>
  <c r="Q63" i="1"/>
  <c r="N63" i="1"/>
  <c r="O63" i="1" s="1"/>
  <c r="H63" i="1"/>
  <c r="AE62" i="1"/>
  <c r="AD62" i="1"/>
  <c r="AB62" i="1"/>
  <c r="AA62" i="1"/>
  <c r="Q62" i="1"/>
  <c r="N62" i="1"/>
  <c r="O62" i="1" s="1"/>
  <c r="H62" i="1"/>
  <c r="AC62" i="1" s="1"/>
  <c r="AE61" i="1"/>
  <c r="AD61" i="1"/>
  <c r="AB61" i="1"/>
  <c r="AA61" i="1"/>
  <c r="Q61" i="1"/>
  <c r="N61" i="1"/>
  <c r="O61" i="1" s="1"/>
  <c r="H61" i="1"/>
  <c r="AC61" i="1" s="1"/>
  <c r="AE60" i="1"/>
  <c r="AD60" i="1"/>
  <c r="AB60" i="1"/>
  <c r="AA60" i="1"/>
  <c r="Q60" i="1"/>
  <c r="N60" i="1"/>
  <c r="O60" i="1" s="1"/>
  <c r="H60" i="1"/>
  <c r="AC60" i="1" s="1"/>
  <c r="AE59" i="1"/>
  <c r="AD59" i="1"/>
  <c r="AB59" i="1"/>
  <c r="AA59" i="1"/>
  <c r="Q59" i="1"/>
  <c r="N59" i="1"/>
  <c r="O59" i="1" s="1"/>
  <c r="H59" i="1"/>
  <c r="AC59" i="1" s="1"/>
  <c r="AE58" i="1"/>
  <c r="AD58" i="1"/>
  <c r="AB58" i="1"/>
  <c r="AA58" i="1"/>
  <c r="Q58" i="1"/>
  <c r="N58" i="1"/>
  <c r="O58" i="1" s="1"/>
  <c r="H58" i="1"/>
  <c r="AC58" i="1" s="1"/>
  <c r="AE57" i="1"/>
  <c r="AD57" i="1"/>
  <c r="AB57" i="1"/>
  <c r="AA57" i="1"/>
  <c r="Q57" i="1"/>
  <c r="N57" i="1"/>
  <c r="O57" i="1" s="1"/>
  <c r="H57" i="1"/>
  <c r="AC57" i="1" s="1"/>
  <c r="AE56" i="1"/>
  <c r="AD56" i="1"/>
  <c r="AB56" i="1"/>
  <c r="AA56" i="1"/>
  <c r="Q56" i="1"/>
  <c r="N56" i="1"/>
  <c r="O56" i="1" s="1"/>
  <c r="H56" i="1"/>
  <c r="AC56" i="1" s="1"/>
  <c r="AE55" i="1"/>
  <c r="AD55" i="1"/>
  <c r="AB55" i="1"/>
  <c r="AA55" i="1"/>
  <c r="Q55" i="1"/>
  <c r="N55" i="1"/>
  <c r="O55" i="1" s="1"/>
  <c r="H55" i="1"/>
  <c r="AC55" i="1" s="1"/>
  <c r="AE54" i="1"/>
  <c r="AD54" i="1"/>
  <c r="AC54" i="1"/>
  <c r="AB54" i="1"/>
  <c r="AA54" i="1"/>
  <c r="Q54" i="1"/>
  <c r="N54" i="1"/>
  <c r="O54" i="1" s="1"/>
  <c r="H54" i="1"/>
  <c r="AE53" i="1"/>
  <c r="AD53" i="1"/>
  <c r="AB53" i="1"/>
  <c r="AA53" i="1"/>
  <c r="Q53" i="1"/>
  <c r="O53" i="1"/>
  <c r="N53" i="1"/>
  <c r="H53" i="1"/>
  <c r="AC53" i="1" s="1"/>
  <c r="AE52" i="1"/>
  <c r="AD52" i="1"/>
  <c r="AB52" i="1"/>
  <c r="AA52" i="1"/>
  <c r="Q52" i="1"/>
  <c r="N52" i="1"/>
  <c r="O52" i="1" s="1"/>
  <c r="H52" i="1"/>
  <c r="AC52" i="1" s="1"/>
  <c r="AE51" i="1"/>
  <c r="AD51" i="1"/>
  <c r="AB51" i="1"/>
  <c r="AA51" i="1"/>
  <c r="Q51" i="1"/>
  <c r="N51" i="1"/>
  <c r="O51" i="1" s="1"/>
  <c r="H51" i="1"/>
  <c r="AC51" i="1" s="1"/>
  <c r="AE50" i="1"/>
  <c r="AD50" i="1"/>
  <c r="AB50" i="1"/>
  <c r="AA50" i="1"/>
  <c r="Q50" i="1"/>
  <c r="N50" i="1"/>
  <c r="O50" i="1" s="1"/>
  <c r="H50" i="1"/>
  <c r="AC50" i="1" s="1"/>
  <c r="AE49" i="1"/>
  <c r="AD49" i="1"/>
  <c r="AB49" i="1"/>
  <c r="AA49" i="1"/>
  <c r="Q49" i="1"/>
  <c r="N49" i="1"/>
  <c r="O49" i="1" s="1"/>
  <c r="H49" i="1"/>
  <c r="AC49" i="1" s="1"/>
  <c r="AE48" i="1"/>
  <c r="AD48" i="1"/>
  <c r="AB48" i="1"/>
  <c r="AA48" i="1"/>
  <c r="Q48" i="1"/>
  <c r="N48" i="1"/>
  <c r="O48" i="1" s="1"/>
  <c r="H48" i="1"/>
  <c r="AC48" i="1" s="1"/>
  <c r="AE47" i="1"/>
  <c r="AD47" i="1"/>
  <c r="AB47" i="1"/>
  <c r="AA47" i="1"/>
  <c r="Q47" i="1"/>
  <c r="N47" i="1"/>
  <c r="O47" i="1" s="1"/>
  <c r="H47" i="1"/>
  <c r="AC47" i="1" s="1"/>
  <c r="AE46" i="1"/>
  <c r="AD46" i="1"/>
  <c r="AC46" i="1"/>
  <c r="AB46" i="1"/>
  <c r="AA46" i="1"/>
  <c r="Q46" i="1"/>
  <c r="N46" i="1"/>
  <c r="O46" i="1" s="1"/>
  <c r="H46" i="1"/>
  <c r="AE45" i="1"/>
  <c r="AD45" i="1"/>
  <c r="AC45" i="1"/>
  <c r="U45" i="1" s="1"/>
  <c r="V45" i="1" s="1"/>
  <c r="X45" i="1" s="1"/>
  <c r="AB45" i="1"/>
  <c r="AA45" i="1"/>
  <c r="Q45" i="1"/>
  <c r="O45" i="1"/>
  <c r="N45" i="1"/>
  <c r="H45" i="1"/>
  <c r="AE44" i="1"/>
  <c r="AD44" i="1"/>
  <c r="AB44" i="1"/>
  <c r="AA44" i="1"/>
  <c r="Q44" i="1"/>
  <c r="P44" i="1"/>
  <c r="N44" i="1"/>
  <c r="O44" i="1" s="1"/>
  <c r="H44" i="1"/>
  <c r="AC44" i="1" s="1"/>
  <c r="AE43" i="1"/>
  <c r="AD43" i="1"/>
  <c r="AB43" i="1"/>
  <c r="AA43" i="1"/>
  <c r="Q43" i="1"/>
  <c r="N43" i="1"/>
  <c r="O43" i="1" s="1"/>
  <c r="H43" i="1"/>
  <c r="AC43" i="1" s="1"/>
  <c r="AE42" i="1"/>
  <c r="AD42" i="1"/>
  <c r="AC42" i="1"/>
  <c r="AB42" i="1"/>
  <c r="AA42" i="1"/>
  <c r="Q42" i="1"/>
  <c r="N42" i="1"/>
  <c r="O42" i="1" s="1"/>
  <c r="H42" i="1"/>
  <c r="AE41" i="1"/>
  <c r="AD41" i="1"/>
  <c r="AB41" i="1"/>
  <c r="AA41" i="1"/>
  <c r="Q41" i="1"/>
  <c r="L41" i="1"/>
  <c r="N41" i="1" s="1"/>
  <c r="O41" i="1" s="1"/>
  <c r="K41" i="1"/>
  <c r="H41" i="1"/>
  <c r="AC41" i="1" s="1"/>
  <c r="AE40" i="1"/>
  <c r="AD40" i="1"/>
  <c r="AC40" i="1"/>
  <c r="AB40" i="1"/>
  <c r="AA40" i="1"/>
  <c r="Q40" i="1"/>
  <c r="N40" i="1"/>
  <c r="O40" i="1" s="1"/>
  <c r="H40" i="1"/>
  <c r="AE39" i="1"/>
  <c r="AD39" i="1"/>
  <c r="AC39" i="1"/>
  <c r="AB39" i="1"/>
  <c r="AA39" i="1"/>
  <c r="Q39" i="1"/>
  <c r="O39" i="1"/>
  <c r="N39" i="1"/>
  <c r="H39" i="1"/>
  <c r="AE38" i="1"/>
  <c r="AD38" i="1"/>
  <c r="AB38" i="1"/>
  <c r="AA38" i="1"/>
  <c r="Q38" i="1"/>
  <c r="N38" i="1"/>
  <c r="O38" i="1" s="1"/>
  <c r="H38" i="1"/>
  <c r="AC38" i="1" s="1"/>
  <c r="AE37" i="1"/>
  <c r="AD37" i="1"/>
  <c r="AB37" i="1"/>
  <c r="AA37" i="1"/>
  <c r="Q37" i="1"/>
  <c r="N37" i="1"/>
  <c r="O37" i="1" s="1"/>
  <c r="H37" i="1"/>
  <c r="AC37" i="1" s="1"/>
  <c r="AE36" i="1"/>
  <c r="AD36" i="1"/>
  <c r="AB36" i="1"/>
  <c r="AA36" i="1"/>
  <c r="Q36" i="1"/>
  <c r="N36" i="1"/>
  <c r="O36" i="1" s="1"/>
  <c r="K36" i="1"/>
  <c r="H36" i="1"/>
  <c r="AC36" i="1" s="1"/>
  <c r="AE35" i="1"/>
  <c r="AD35" i="1"/>
  <c r="AB35" i="1"/>
  <c r="U35" i="1" s="1"/>
  <c r="V35" i="1" s="1"/>
  <c r="X35" i="1" s="1"/>
  <c r="AA35" i="1"/>
  <c r="Q35" i="1"/>
  <c r="N35" i="1"/>
  <c r="O35" i="1" s="1"/>
  <c r="K35" i="1"/>
  <c r="H35" i="1"/>
  <c r="AC35" i="1" s="1"/>
  <c r="AE34" i="1"/>
  <c r="AD34" i="1"/>
  <c r="AB34" i="1"/>
  <c r="AA34" i="1"/>
  <c r="Q34" i="1"/>
  <c r="N34" i="1"/>
  <c r="O34" i="1" s="1"/>
  <c r="H34" i="1"/>
  <c r="AC34" i="1" s="1"/>
  <c r="AE33" i="1"/>
  <c r="AD33" i="1"/>
  <c r="AB33" i="1"/>
  <c r="AA33" i="1"/>
  <c r="Q33" i="1"/>
  <c r="N33" i="1"/>
  <c r="O33" i="1" s="1"/>
  <c r="H33" i="1"/>
  <c r="AC33" i="1" s="1"/>
  <c r="AE32" i="1"/>
  <c r="AD32" i="1"/>
  <c r="AB32" i="1"/>
  <c r="AA32" i="1"/>
  <c r="Q32" i="1"/>
  <c r="L32" i="1"/>
  <c r="N32" i="1" s="1"/>
  <c r="O32" i="1" s="1"/>
  <c r="K32" i="1"/>
  <c r="H32" i="1"/>
  <c r="AC32" i="1" s="1"/>
  <c r="AE31" i="1"/>
  <c r="AD31" i="1"/>
  <c r="AB31" i="1"/>
  <c r="AA31" i="1"/>
  <c r="Q31" i="1"/>
  <c r="H31" i="1"/>
  <c r="AC31" i="1" s="1"/>
  <c r="E31" i="1"/>
  <c r="N31" i="1" s="1"/>
  <c r="O31" i="1" s="1"/>
  <c r="AE30" i="1"/>
  <c r="AD30" i="1"/>
  <c r="AB30" i="1"/>
  <c r="AA30" i="1"/>
  <c r="Q30" i="1"/>
  <c r="L30" i="1"/>
  <c r="K30" i="1"/>
  <c r="H30" i="1"/>
  <c r="AC30" i="1" s="1"/>
  <c r="E30" i="1"/>
  <c r="AE29" i="1"/>
  <c r="AD29" i="1"/>
  <c r="AB29" i="1"/>
  <c r="AA29" i="1"/>
  <c r="Q29" i="1"/>
  <c r="L29" i="1"/>
  <c r="N29" i="1" s="1"/>
  <c r="O29" i="1" s="1"/>
  <c r="H29" i="1"/>
  <c r="AC29" i="1" s="1"/>
  <c r="E29" i="1"/>
  <c r="AE28" i="1"/>
  <c r="AD28" i="1"/>
  <c r="AB28" i="1"/>
  <c r="AA28" i="1"/>
  <c r="Q28" i="1"/>
  <c r="L28" i="1"/>
  <c r="N28" i="1" s="1"/>
  <c r="O28" i="1" s="1"/>
  <c r="H28" i="1"/>
  <c r="AC28" i="1" s="1"/>
  <c r="E28" i="1"/>
  <c r="AE27" i="1"/>
  <c r="AD27" i="1"/>
  <c r="AB27" i="1"/>
  <c r="AA27" i="1"/>
  <c r="Q27" i="1"/>
  <c r="H27" i="1"/>
  <c r="AC27" i="1" s="1"/>
  <c r="E27" i="1"/>
  <c r="N27" i="1" s="1"/>
  <c r="O27" i="1" s="1"/>
  <c r="AE26" i="1"/>
  <c r="AD26" i="1"/>
  <c r="AC26" i="1"/>
  <c r="AB26" i="1"/>
  <c r="AA26" i="1"/>
  <c r="Q26" i="1"/>
  <c r="L26" i="1"/>
  <c r="N26" i="1" s="1"/>
  <c r="O26" i="1" s="1"/>
  <c r="H26" i="1"/>
  <c r="E26" i="1"/>
  <c r="AE25" i="1"/>
  <c r="AD25" i="1"/>
  <c r="AB25" i="1"/>
  <c r="AA25" i="1"/>
  <c r="Q25" i="1"/>
  <c r="H25" i="1"/>
  <c r="AC25" i="1" s="1"/>
  <c r="P25" i="1" s="1"/>
  <c r="E25" i="1"/>
  <c r="N25" i="1" s="1"/>
  <c r="O25" i="1" s="1"/>
  <c r="AE24" i="1"/>
  <c r="AD24" i="1"/>
  <c r="AC24" i="1"/>
  <c r="AB24" i="1"/>
  <c r="AA24" i="1"/>
  <c r="Q24" i="1"/>
  <c r="N24" i="1"/>
  <c r="O24" i="1" s="1"/>
  <c r="H24" i="1"/>
  <c r="AE23" i="1"/>
  <c r="AD23" i="1"/>
  <c r="AC23" i="1"/>
  <c r="AB23" i="1"/>
  <c r="AA23" i="1"/>
  <c r="Q23" i="1"/>
  <c r="L23" i="1"/>
  <c r="N23" i="1" s="1"/>
  <c r="O23" i="1" s="1"/>
  <c r="P23" i="1" s="1"/>
  <c r="H23" i="1"/>
  <c r="AE22" i="1"/>
  <c r="AD22" i="1"/>
  <c r="AB22" i="1"/>
  <c r="AA22" i="1"/>
  <c r="Q22" i="1"/>
  <c r="H22" i="1"/>
  <c r="AC22" i="1" s="1"/>
  <c r="E22" i="1"/>
  <c r="N22" i="1" s="1"/>
  <c r="O22" i="1" s="1"/>
  <c r="AE21" i="1"/>
  <c r="AD21" i="1"/>
  <c r="AB21" i="1"/>
  <c r="AA21" i="1"/>
  <c r="Q21" i="1"/>
  <c r="H21" i="1"/>
  <c r="AC21" i="1" s="1"/>
  <c r="E21" i="1"/>
  <c r="N21" i="1" s="1"/>
  <c r="O21" i="1" s="1"/>
  <c r="AE20" i="1"/>
  <c r="AD20" i="1"/>
  <c r="AC20" i="1"/>
  <c r="AB20" i="1"/>
  <c r="AA20" i="1"/>
  <c r="Q20" i="1"/>
  <c r="N20" i="1"/>
  <c r="O20" i="1" s="1"/>
  <c r="H20" i="1"/>
  <c r="E20" i="1"/>
  <c r="AE19" i="1"/>
  <c r="AD19" i="1"/>
  <c r="AB19" i="1"/>
  <c r="P19" i="1" s="1"/>
  <c r="AA19" i="1"/>
  <c r="Q19" i="1"/>
  <c r="H19" i="1"/>
  <c r="AC19" i="1" s="1"/>
  <c r="U19" i="1" s="1"/>
  <c r="V19" i="1" s="1"/>
  <c r="X19" i="1" s="1"/>
  <c r="E19" i="1"/>
  <c r="N19" i="1" s="1"/>
  <c r="O19" i="1" s="1"/>
  <c r="AE18" i="1"/>
  <c r="AD18" i="1"/>
  <c r="AC18" i="1"/>
  <c r="AB18" i="1"/>
  <c r="AA18" i="1"/>
  <c r="Q18" i="1"/>
  <c r="N18" i="1"/>
  <c r="O18" i="1" s="1"/>
  <c r="H18" i="1"/>
  <c r="AE17" i="1"/>
  <c r="AD17" i="1"/>
  <c r="AC17" i="1"/>
  <c r="AB17" i="1"/>
  <c r="AA17" i="1"/>
  <c r="Q17" i="1"/>
  <c r="H17" i="1"/>
  <c r="E17" i="1"/>
  <c r="N17" i="1" s="1"/>
  <c r="O17" i="1" s="1"/>
  <c r="AE16" i="1"/>
  <c r="AD16" i="1"/>
  <c r="AB16" i="1"/>
  <c r="AA16" i="1"/>
  <c r="P16" i="1" s="1"/>
  <c r="Q16" i="1"/>
  <c r="H16" i="1"/>
  <c r="AC16" i="1" s="1"/>
  <c r="E16" i="1"/>
  <c r="N16" i="1" s="1"/>
  <c r="O16" i="1" s="1"/>
  <c r="AE15" i="1"/>
  <c r="AD15" i="1"/>
  <c r="AB15" i="1"/>
  <c r="AA15" i="1"/>
  <c r="Q15" i="1"/>
  <c r="N15" i="1"/>
  <c r="O15" i="1" s="1"/>
  <c r="K15" i="1"/>
  <c r="H15" i="1"/>
  <c r="AC15" i="1" s="1"/>
  <c r="E15" i="1"/>
  <c r="AE14" i="1"/>
  <c r="AD14" i="1"/>
  <c r="AB14" i="1"/>
  <c r="AA14" i="1"/>
  <c r="Q14" i="1"/>
  <c r="N14" i="1"/>
  <c r="O14" i="1" s="1"/>
  <c r="H14" i="1"/>
  <c r="AC14" i="1" s="1"/>
  <c r="AE13" i="1"/>
  <c r="AD13" i="1"/>
  <c r="AB13" i="1"/>
  <c r="AA13" i="1"/>
  <c r="Q13" i="1"/>
  <c r="N13" i="1"/>
  <c r="O13" i="1" s="1"/>
  <c r="H13" i="1"/>
  <c r="AC13" i="1" s="1"/>
  <c r="E13" i="1"/>
  <c r="U142" i="1" l="1"/>
  <c r="V142" i="1" s="1"/>
  <c r="X142" i="1" s="1"/>
  <c r="U124" i="1"/>
  <c r="V124" i="1" s="1"/>
  <c r="X124" i="1" s="1"/>
  <c r="Y124" i="1" s="1"/>
  <c r="U138" i="1"/>
  <c r="V138" i="1" s="1"/>
  <c r="X138" i="1" s="1"/>
  <c r="P138" i="1"/>
  <c r="R138" i="1" s="1"/>
  <c r="T138" i="1" s="1"/>
  <c r="U120" i="1"/>
  <c r="V120" i="1" s="1"/>
  <c r="X120" i="1" s="1"/>
  <c r="Y120" i="1" s="1"/>
  <c r="P120" i="1"/>
  <c r="R120" i="1" s="1"/>
  <c r="T120" i="1" s="1"/>
  <c r="U93" i="1"/>
  <c r="V93" i="1" s="1"/>
  <c r="X93" i="1" s="1"/>
  <c r="U128" i="1"/>
  <c r="V128" i="1" s="1"/>
  <c r="X128" i="1" s="1"/>
  <c r="P128" i="1"/>
  <c r="R128" i="1" s="1"/>
  <c r="T128" i="1" s="1"/>
  <c r="U15" i="1"/>
  <c r="V15" i="1" s="1"/>
  <c r="X15" i="1" s="1"/>
  <c r="P27" i="1"/>
  <c r="U32" i="1"/>
  <c r="V32" i="1" s="1"/>
  <c r="X32" i="1" s="1"/>
  <c r="P69" i="1"/>
  <c r="U70" i="1"/>
  <c r="V70" i="1" s="1"/>
  <c r="X70" i="1" s="1"/>
  <c r="U73" i="1"/>
  <c r="V73" i="1" s="1"/>
  <c r="X73" i="1" s="1"/>
  <c r="P73" i="1"/>
  <c r="R73" i="1" s="1"/>
  <c r="T73" i="1" s="1"/>
  <c r="U75" i="1"/>
  <c r="V75" i="1" s="1"/>
  <c r="X75" i="1" s="1"/>
  <c r="U79" i="1"/>
  <c r="V79" i="1" s="1"/>
  <c r="X79" i="1" s="1"/>
  <c r="U106" i="1"/>
  <c r="V106" i="1" s="1"/>
  <c r="X106" i="1" s="1"/>
  <c r="P114" i="1"/>
  <c r="R114" i="1" s="1"/>
  <c r="T114" i="1" s="1"/>
  <c r="P116" i="1"/>
  <c r="R116" i="1" s="1"/>
  <c r="T116" i="1" s="1"/>
  <c r="P144" i="1"/>
  <c r="R144" i="1" s="1"/>
  <c r="T144" i="1" s="1"/>
  <c r="P172" i="1"/>
  <c r="R172" i="1" s="1"/>
  <c r="T172" i="1" s="1"/>
  <c r="P13" i="1"/>
  <c r="U16" i="1"/>
  <c r="V16" i="1" s="1"/>
  <c r="X16" i="1" s="1"/>
  <c r="U17" i="1"/>
  <c r="V17" i="1" s="1"/>
  <c r="X17" i="1" s="1"/>
  <c r="U44" i="1"/>
  <c r="V44" i="1" s="1"/>
  <c r="X44" i="1" s="1"/>
  <c r="P65" i="1"/>
  <c r="R65" i="1" s="1"/>
  <c r="T65" i="1" s="1"/>
  <c r="Y65" i="1" s="1"/>
  <c r="Z65" i="1" s="1"/>
  <c r="U66" i="1"/>
  <c r="V66" i="1" s="1"/>
  <c r="X66" i="1" s="1"/>
  <c r="U83" i="1"/>
  <c r="V83" i="1" s="1"/>
  <c r="X83" i="1" s="1"/>
  <c r="U87" i="1"/>
  <c r="V87" i="1" s="1"/>
  <c r="X87" i="1" s="1"/>
  <c r="U112" i="1"/>
  <c r="V112" i="1" s="1"/>
  <c r="X112" i="1" s="1"/>
  <c r="U114" i="1"/>
  <c r="V114" i="1" s="1"/>
  <c r="X114" i="1" s="1"/>
  <c r="U116" i="1"/>
  <c r="V116" i="1" s="1"/>
  <c r="X116" i="1" s="1"/>
  <c r="U148" i="1"/>
  <c r="V148" i="1" s="1"/>
  <c r="X148" i="1" s="1"/>
  <c r="U150" i="1"/>
  <c r="V150" i="1" s="1"/>
  <c r="X150" i="1" s="1"/>
  <c r="U152" i="1"/>
  <c r="V152" i="1" s="1"/>
  <c r="X152" i="1" s="1"/>
  <c r="U154" i="1"/>
  <c r="V154" i="1" s="1"/>
  <c r="X154" i="1" s="1"/>
  <c r="U156" i="1"/>
  <c r="V156" i="1" s="1"/>
  <c r="X156" i="1" s="1"/>
  <c r="U158" i="1"/>
  <c r="V158" i="1" s="1"/>
  <c r="X158" i="1" s="1"/>
  <c r="U160" i="1"/>
  <c r="V160" i="1" s="1"/>
  <c r="X160" i="1" s="1"/>
  <c r="U162" i="1"/>
  <c r="V162" i="1" s="1"/>
  <c r="X162" i="1" s="1"/>
  <c r="P164" i="1"/>
  <c r="R164" i="1" s="1"/>
  <c r="T164" i="1" s="1"/>
  <c r="P174" i="1"/>
  <c r="R174" i="1" s="1"/>
  <c r="T174" i="1" s="1"/>
  <c r="U28" i="1"/>
  <c r="V28" i="1" s="1"/>
  <c r="X28" i="1" s="1"/>
  <c r="N30" i="1"/>
  <c r="O30" i="1" s="1"/>
  <c r="O178" i="1" s="1"/>
  <c r="P31" i="1"/>
  <c r="U38" i="1"/>
  <c r="V38" i="1" s="1"/>
  <c r="X38" i="1" s="1"/>
  <c r="U46" i="1"/>
  <c r="V46" i="1" s="1"/>
  <c r="X46" i="1" s="1"/>
  <c r="P61" i="1"/>
  <c r="U62" i="1"/>
  <c r="V62" i="1" s="1"/>
  <c r="X62" i="1" s="1"/>
  <c r="P79" i="1"/>
  <c r="R79" i="1" s="1"/>
  <c r="T79" i="1" s="1"/>
  <c r="U81" i="1"/>
  <c r="V81" i="1" s="1"/>
  <c r="X81" i="1" s="1"/>
  <c r="Y81" i="1" s="1"/>
  <c r="P85" i="1"/>
  <c r="R85" i="1" s="1"/>
  <c r="T85" i="1" s="1"/>
  <c r="P87" i="1"/>
  <c r="R87" i="1" s="1"/>
  <c r="T87" i="1" s="1"/>
  <c r="U110" i="1"/>
  <c r="V110" i="1" s="1"/>
  <c r="X110" i="1" s="1"/>
  <c r="Y110" i="1" s="1"/>
  <c r="P133" i="1"/>
  <c r="R133" i="1" s="1"/>
  <c r="T133" i="1" s="1"/>
  <c r="P176" i="1"/>
  <c r="R176" i="1" s="1"/>
  <c r="T176" i="1" s="1"/>
  <c r="R69" i="1"/>
  <c r="T69" i="1" s="1"/>
  <c r="P75" i="1"/>
  <c r="R75" i="1" s="1"/>
  <c r="T75" i="1" s="1"/>
  <c r="P77" i="1"/>
  <c r="R77" i="1" s="1"/>
  <c r="T77" i="1" s="1"/>
  <c r="P93" i="1"/>
  <c r="R93" i="1" s="1"/>
  <c r="T93" i="1" s="1"/>
  <c r="P146" i="1"/>
  <c r="R146" i="1" s="1"/>
  <c r="T146" i="1" s="1"/>
  <c r="U170" i="1"/>
  <c r="V170" i="1" s="1"/>
  <c r="X170" i="1" s="1"/>
  <c r="Y174" i="1"/>
  <c r="Z174" i="1" s="1"/>
  <c r="P188" i="1"/>
  <c r="R188" i="1" s="1"/>
  <c r="T188" i="1" s="1"/>
  <c r="U192" i="1"/>
  <c r="V192" i="1" s="1"/>
  <c r="X192" i="1" s="1"/>
  <c r="R16" i="1"/>
  <c r="T16" i="1" s="1"/>
  <c r="Y16" i="1" s="1"/>
  <c r="Z16" i="1" s="1"/>
  <c r="P21" i="1"/>
  <c r="U41" i="1"/>
  <c r="V41" i="1" s="1"/>
  <c r="X41" i="1" s="1"/>
  <c r="P41" i="1"/>
  <c r="R13" i="1"/>
  <c r="U23" i="1"/>
  <c r="V23" i="1" s="1"/>
  <c r="X23" i="1" s="1"/>
  <c r="U25" i="1"/>
  <c r="V25" i="1" s="1"/>
  <c r="X25" i="1" s="1"/>
  <c r="R27" i="1"/>
  <c r="T27" i="1" s="1"/>
  <c r="U21" i="1"/>
  <c r="V21" i="1" s="1"/>
  <c r="X21" i="1" s="1"/>
  <c r="R23" i="1"/>
  <c r="T23" i="1" s="1"/>
  <c r="P28" i="1"/>
  <c r="R28" i="1" s="1"/>
  <c r="T28" i="1" s="1"/>
  <c r="Y28" i="1" s="1"/>
  <c r="Z28" i="1" s="1"/>
  <c r="U13" i="1"/>
  <c r="V13" i="1" s="1"/>
  <c r="X13" i="1" s="1"/>
  <c r="P15" i="1"/>
  <c r="R15" i="1" s="1"/>
  <c r="T15" i="1" s="1"/>
  <c r="Y15" i="1" s="1"/>
  <c r="Z15" i="1" s="1"/>
  <c r="P17" i="1"/>
  <c r="R17" i="1" s="1"/>
  <c r="T17" i="1" s="1"/>
  <c r="Y17" i="1" s="1"/>
  <c r="Z17" i="1" s="1"/>
  <c r="U20" i="1"/>
  <c r="V20" i="1" s="1"/>
  <c r="X20" i="1" s="1"/>
  <c r="P20" i="1"/>
  <c r="R20" i="1" s="1"/>
  <c r="T20" i="1" s="1"/>
  <c r="U27" i="1"/>
  <c r="V27" i="1" s="1"/>
  <c r="X27" i="1" s="1"/>
  <c r="U29" i="1"/>
  <c r="V29" i="1" s="1"/>
  <c r="X29" i="1" s="1"/>
  <c r="P29" i="1"/>
  <c r="R29" i="1" s="1"/>
  <c r="T29" i="1" s="1"/>
  <c r="U31" i="1"/>
  <c r="V31" i="1" s="1"/>
  <c r="X31" i="1" s="1"/>
  <c r="U33" i="1"/>
  <c r="V33" i="1" s="1"/>
  <c r="X33" i="1" s="1"/>
  <c r="P33" i="1"/>
  <c r="P35" i="1"/>
  <c r="U42" i="1"/>
  <c r="V42" i="1" s="1"/>
  <c r="X42" i="1" s="1"/>
  <c r="P42" i="1"/>
  <c r="R42" i="1" s="1"/>
  <c r="T42" i="1" s="1"/>
  <c r="U43" i="1"/>
  <c r="V43" i="1" s="1"/>
  <c r="X43" i="1" s="1"/>
  <c r="P43" i="1"/>
  <c r="P52" i="1"/>
  <c r="P70" i="1"/>
  <c r="Y75" i="1"/>
  <c r="Z75" i="1" s="1"/>
  <c r="Y79" i="1"/>
  <c r="Z79" i="1" s="1"/>
  <c r="Z81" i="1"/>
  <c r="U18" i="1"/>
  <c r="V18" i="1" s="1"/>
  <c r="X18" i="1" s="1"/>
  <c r="P18" i="1"/>
  <c r="R18" i="1" s="1"/>
  <c r="T18" i="1" s="1"/>
  <c r="R19" i="1"/>
  <c r="T19" i="1" s="1"/>
  <c r="Y19" i="1" s="1"/>
  <c r="Z19" i="1" s="1"/>
  <c r="U22" i="1"/>
  <c r="V22" i="1" s="1"/>
  <c r="X22" i="1" s="1"/>
  <c r="P22" i="1"/>
  <c r="R22" i="1" s="1"/>
  <c r="T22" i="1" s="1"/>
  <c r="P14" i="1"/>
  <c r="R14" i="1" s="1"/>
  <c r="T14" i="1" s="1"/>
  <c r="U14" i="1"/>
  <c r="V14" i="1" s="1"/>
  <c r="X14" i="1" s="1"/>
  <c r="R21" i="1"/>
  <c r="T21" i="1" s="1"/>
  <c r="R25" i="1"/>
  <c r="T25" i="1" s="1"/>
  <c r="U26" i="1"/>
  <c r="V26" i="1" s="1"/>
  <c r="X26" i="1" s="1"/>
  <c r="Y26" i="1" s="1"/>
  <c r="P26" i="1"/>
  <c r="R26" i="1" s="1"/>
  <c r="T26" i="1" s="1"/>
  <c r="U34" i="1"/>
  <c r="V34" i="1" s="1"/>
  <c r="X34" i="1" s="1"/>
  <c r="P34" i="1"/>
  <c r="R34" i="1" s="1"/>
  <c r="T34" i="1" s="1"/>
  <c r="R35" i="1"/>
  <c r="T35" i="1" s="1"/>
  <c r="P38" i="1"/>
  <c r="U39" i="1"/>
  <c r="V39" i="1" s="1"/>
  <c r="X39" i="1" s="1"/>
  <c r="P39" i="1"/>
  <c r="R39" i="1" s="1"/>
  <c r="T39" i="1" s="1"/>
  <c r="P48" i="1"/>
  <c r="R48" i="1" s="1"/>
  <c r="T48" i="1" s="1"/>
  <c r="R61" i="1"/>
  <c r="T61" i="1" s="1"/>
  <c r="P66" i="1"/>
  <c r="Y69" i="1"/>
  <c r="U71" i="1"/>
  <c r="V71" i="1" s="1"/>
  <c r="X71" i="1" s="1"/>
  <c r="P71" i="1"/>
  <c r="R71" i="1" s="1"/>
  <c r="T71" i="1" s="1"/>
  <c r="Y83" i="1"/>
  <c r="Z83" i="1"/>
  <c r="Y87" i="1"/>
  <c r="Z87" i="1"/>
  <c r="U24" i="1"/>
  <c r="V24" i="1" s="1"/>
  <c r="X24" i="1" s="1"/>
  <c r="P24" i="1"/>
  <c r="R24" i="1" s="1"/>
  <c r="T24" i="1" s="1"/>
  <c r="U30" i="1"/>
  <c r="V30" i="1" s="1"/>
  <c r="X30" i="1" s="1"/>
  <c r="P30" i="1"/>
  <c r="R30" i="1" s="1"/>
  <c r="T30" i="1" s="1"/>
  <c r="R31" i="1"/>
  <c r="T31" i="1" s="1"/>
  <c r="Y35" i="1"/>
  <c r="Z35" i="1" s="1"/>
  <c r="R38" i="1"/>
  <c r="T38" i="1" s="1"/>
  <c r="Y38" i="1" s="1"/>
  <c r="Z38" i="1" s="1"/>
  <c r="U40" i="1"/>
  <c r="V40" i="1" s="1"/>
  <c r="X40" i="1" s="1"/>
  <c r="P40" i="1"/>
  <c r="R40" i="1" s="1"/>
  <c r="T40" i="1" s="1"/>
  <c r="R41" i="1"/>
  <c r="T41" i="1" s="1"/>
  <c r="R43" i="1"/>
  <c r="T43" i="1" s="1"/>
  <c r="R52" i="1"/>
  <c r="T52" i="1" s="1"/>
  <c r="P62" i="1"/>
  <c r="U67" i="1"/>
  <c r="V67" i="1" s="1"/>
  <c r="X67" i="1" s="1"/>
  <c r="Z69" i="1"/>
  <c r="P32" i="1"/>
  <c r="R32" i="1" s="1"/>
  <c r="T32" i="1" s="1"/>
  <c r="Y32" i="1" s="1"/>
  <c r="Z32" i="1" s="1"/>
  <c r="R33" i="1"/>
  <c r="T33" i="1" s="1"/>
  <c r="U36" i="1"/>
  <c r="V36" i="1" s="1"/>
  <c r="X36" i="1" s="1"/>
  <c r="P36" i="1"/>
  <c r="R36" i="1" s="1"/>
  <c r="T36" i="1" s="1"/>
  <c r="U37" i="1"/>
  <c r="V37" i="1" s="1"/>
  <c r="X37" i="1" s="1"/>
  <c r="P37" i="1"/>
  <c r="R37" i="1" s="1"/>
  <c r="T37" i="1" s="1"/>
  <c r="R44" i="1"/>
  <c r="T44" i="1" s="1"/>
  <c r="Y44" i="1" s="1"/>
  <c r="Z44" i="1" s="1"/>
  <c r="P56" i="1"/>
  <c r="R56" i="1" s="1"/>
  <c r="U61" i="1"/>
  <c r="V61" i="1" s="1"/>
  <c r="X61" i="1" s="1"/>
  <c r="Y61" i="1" s="1"/>
  <c r="U63" i="1"/>
  <c r="V63" i="1" s="1"/>
  <c r="X63" i="1" s="1"/>
  <c r="P63" i="1"/>
  <c r="R63" i="1" s="1"/>
  <c r="T63" i="1" s="1"/>
  <c r="Y77" i="1"/>
  <c r="Z77" i="1" s="1"/>
  <c r="Y85" i="1"/>
  <c r="Z85" i="1" s="1"/>
  <c r="P46" i="1"/>
  <c r="R46" i="1" s="1"/>
  <c r="T46" i="1" s="1"/>
  <c r="Y46" i="1" s="1"/>
  <c r="Z46" i="1" s="1"/>
  <c r="P50" i="1"/>
  <c r="R50" i="1" s="1"/>
  <c r="T50" i="1" s="1"/>
  <c r="P54" i="1"/>
  <c r="R54" i="1" s="1"/>
  <c r="T54" i="1" s="1"/>
  <c r="P58" i="1"/>
  <c r="R58" i="1" s="1"/>
  <c r="T58" i="1" s="1"/>
  <c r="P59" i="1"/>
  <c r="R59" i="1" s="1"/>
  <c r="T59" i="1" s="1"/>
  <c r="R62" i="1"/>
  <c r="T62" i="1" s="1"/>
  <c r="Y62" i="1" s="1"/>
  <c r="Z62" i="1" s="1"/>
  <c r="U64" i="1"/>
  <c r="V64" i="1" s="1"/>
  <c r="X64" i="1" s="1"/>
  <c r="P64" i="1"/>
  <c r="R64" i="1" s="1"/>
  <c r="T64" i="1" s="1"/>
  <c r="P67" i="1"/>
  <c r="R67" i="1" s="1"/>
  <c r="T67" i="1" s="1"/>
  <c r="R70" i="1"/>
  <c r="T70" i="1" s="1"/>
  <c r="Y70" i="1" s="1"/>
  <c r="Z70" i="1" s="1"/>
  <c r="U84" i="1"/>
  <c r="V84" i="1" s="1"/>
  <c r="X84" i="1" s="1"/>
  <c r="P84" i="1"/>
  <c r="R84" i="1" s="1"/>
  <c r="T84" i="1" s="1"/>
  <c r="P89" i="1"/>
  <c r="R89" i="1" s="1"/>
  <c r="T89" i="1" s="1"/>
  <c r="Y89" i="1" s="1"/>
  <c r="Z89" i="1" s="1"/>
  <c r="P106" i="1"/>
  <c r="Z110" i="1"/>
  <c r="P47" i="1"/>
  <c r="R47" i="1" s="1"/>
  <c r="T47" i="1" s="1"/>
  <c r="U47" i="1"/>
  <c r="V47" i="1" s="1"/>
  <c r="X47" i="1" s="1"/>
  <c r="P51" i="1"/>
  <c r="R51" i="1" s="1"/>
  <c r="P55" i="1"/>
  <c r="R55" i="1" s="1"/>
  <c r="R72" i="1"/>
  <c r="T72" i="1" s="1"/>
  <c r="U72" i="1"/>
  <c r="V72" i="1" s="1"/>
  <c r="X72" i="1" s="1"/>
  <c r="P72" i="1"/>
  <c r="U74" i="1"/>
  <c r="V74" i="1" s="1"/>
  <c r="X74" i="1" s="1"/>
  <c r="P74" i="1"/>
  <c r="R74" i="1" s="1"/>
  <c r="T74" i="1" s="1"/>
  <c r="U90" i="1"/>
  <c r="V90" i="1" s="1"/>
  <c r="X90" i="1" s="1"/>
  <c r="P90" i="1"/>
  <c r="U91" i="1"/>
  <c r="V91" i="1" s="1"/>
  <c r="X91" i="1" s="1"/>
  <c r="P91" i="1"/>
  <c r="R91" i="1" s="1"/>
  <c r="T91" i="1" s="1"/>
  <c r="U97" i="1"/>
  <c r="V97" i="1" s="1"/>
  <c r="X97" i="1" s="1"/>
  <c r="P97" i="1"/>
  <c r="R97" i="1" s="1"/>
  <c r="T97" i="1" s="1"/>
  <c r="U99" i="1"/>
  <c r="V99" i="1" s="1"/>
  <c r="X99" i="1" s="1"/>
  <c r="U101" i="1"/>
  <c r="V101" i="1" s="1"/>
  <c r="X101" i="1" s="1"/>
  <c r="P101" i="1"/>
  <c r="R101" i="1" s="1"/>
  <c r="T101" i="1" s="1"/>
  <c r="U103" i="1"/>
  <c r="V103" i="1" s="1"/>
  <c r="X103" i="1" s="1"/>
  <c r="U105" i="1"/>
  <c r="V105" i="1" s="1"/>
  <c r="X105" i="1" s="1"/>
  <c r="P105" i="1"/>
  <c r="R105" i="1" s="1"/>
  <c r="T105" i="1" s="1"/>
  <c r="Y112" i="1"/>
  <c r="Z112" i="1" s="1"/>
  <c r="Y114" i="1"/>
  <c r="Z114" i="1" s="1"/>
  <c r="Y116" i="1"/>
  <c r="Z116" i="1" s="1"/>
  <c r="P60" i="1"/>
  <c r="R60" i="1" s="1"/>
  <c r="R66" i="1"/>
  <c r="T66" i="1" s="1"/>
  <c r="Y66" i="1" s="1"/>
  <c r="Z66" i="1" s="1"/>
  <c r="U68" i="1"/>
  <c r="V68" i="1" s="1"/>
  <c r="X68" i="1" s="1"/>
  <c r="P68" i="1"/>
  <c r="R68" i="1" s="1"/>
  <c r="T68" i="1" s="1"/>
  <c r="U76" i="1"/>
  <c r="V76" i="1" s="1"/>
  <c r="X76" i="1" s="1"/>
  <c r="P76" i="1"/>
  <c r="R76" i="1" s="1"/>
  <c r="T76" i="1" s="1"/>
  <c r="U78" i="1"/>
  <c r="V78" i="1" s="1"/>
  <c r="X78" i="1" s="1"/>
  <c r="P78" i="1"/>
  <c r="R78" i="1" s="1"/>
  <c r="T78" i="1" s="1"/>
  <c r="U88" i="1"/>
  <c r="V88" i="1" s="1"/>
  <c r="X88" i="1" s="1"/>
  <c r="P88" i="1"/>
  <c r="R88" i="1" s="1"/>
  <c r="T88" i="1" s="1"/>
  <c r="Y93" i="1"/>
  <c r="Z93" i="1" s="1"/>
  <c r="P45" i="1"/>
  <c r="R45" i="1" s="1"/>
  <c r="T45" i="1" s="1"/>
  <c r="Y45" i="1" s="1"/>
  <c r="Z45" i="1" s="1"/>
  <c r="P49" i="1"/>
  <c r="R49" i="1" s="1"/>
  <c r="P53" i="1"/>
  <c r="R53" i="1" s="1"/>
  <c r="P57" i="1"/>
  <c r="R57" i="1" s="1"/>
  <c r="U80" i="1"/>
  <c r="V80" i="1" s="1"/>
  <c r="X80" i="1" s="1"/>
  <c r="P80" i="1"/>
  <c r="R80" i="1" s="1"/>
  <c r="T80" i="1" s="1"/>
  <c r="U82" i="1"/>
  <c r="V82" i="1" s="1"/>
  <c r="X82" i="1" s="1"/>
  <c r="P82" i="1"/>
  <c r="R82" i="1" s="1"/>
  <c r="T82" i="1" s="1"/>
  <c r="U86" i="1"/>
  <c r="V86" i="1" s="1"/>
  <c r="X86" i="1" s="1"/>
  <c r="P86" i="1"/>
  <c r="R86" i="1" s="1"/>
  <c r="T86" i="1" s="1"/>
  <c r="R90" i="1"/>
  <c r="T90" i="1" s="1"/>
  <c r="P94" i="1"/>
  <c r="R94" i="1" s="1"/>
  <c r="T94" i="1" s="1"/>
  <c r="U94" i="1"/>
  <c r="V94" i="1" s="1"/>
  <c r="X94" i="1" s="1"/>
  <c r="P96" i="1"/>
  <c r="R96" i="1" s="1"/>
  <c r="T96" i="1" s="1"/>
  <c r="U96" i="1"/>
  <c r="V96" i="1" s="1"/>
  <c r="X96" i="1" s="1"/>
  <c r="P100" i="1"/>
  <c r="R100" i="1" s="1"/>
  <c r="T100" i="1" s="1"/>
  <c r="U100" i="1"/>
  <c r="V100" i="1" s="1"/>
  <c r="X100" i="1" s="1"/>
  <c r="P104" i="1"/>
  <c r="R104" i="1" s="1"/>
  <c r="T104" i="1" s="1"/>
  <c r="U104" i="1"/>
  <c r="V104" i="1" s="1"/>
  <c r="X104" i="1" s="1"/>
  <c r="U107" i="1"/>
  <c r="V107" i="1" s="1"/>
  <c r="X107" i="1" s="1"/>
  <c r="P107" i="1"/>
  <c r="R107" i="1" s="1"/>
  <c r="T107" i="1" s="1"/>
  <c r="U117" i="1"/>
  <c r="V117" i="1" s="1"/>
  <c r="X117" i="1" s="1"/>
  <c r="P117" i="1"/>
  <c r="R117" i="1" s="1"/>
  <c r="T117" i="1" s="1"/>
  <c r="Z120" i="1"/>
  <c r="Z124" i="1"/>
  <c r="U131" i="1"/>
  <c r="V131" i="1" s="1"/>
  <c r="X131" i="1" s="1"/>
  <c r="P131" i="1"/>
  <c r="R131" i="1" s="1"/>
  <c r="T131" i="1" s="1"/>
  <c r="U132" i="1"/>
  <c r="V132" i="1" s="1"/>
  <c r="X132" i="1" s="1"/>
  <c r="P132" i="1"/>
  <c r="R132" i="1" s="1"/>
  <c r="T132" i="1" s="1"/>
  <c r="U133" i="1"/>
  <c r="V133" i="1" s="1"/>
  <c r="X133" i="1" s="1"/>
  <c r="U135" i="1"/>
  <c r="V135" i="1" s="1"/>
  <c r="X135" i="1" s="1"/>
  <c r="P135" i="1"/>
  <c r="R135" i="1" s="1"/>
  <c r="T135" i="1" s="1"/>
  <c r="U143" i="1"/>
  <c r="V143" i="1" s="1"/>
  <c r="X143" i="1" s="1"/>
  <c r="P143" i="1"/>
  <c r="U146" i="1"/>
  <c r="V146" i="1" s="1"/>
  <c r="X146" i="1" s="1"/>
  <c r="Y146" i="1" s="1"/>
  <c r="U108" i="1"/>
  <c r="V108" i="1" s="1"/>
  <c r="X108" i="1" s="1"/>
  <c r="P108" i="1"/>
  <c r="R108" i="1" s="1"/>
  <c r="T108" i="1" s="1"/>
  <c r="U136" i="1"/>
  <c r="V136" i="1" s="1"/>
  <c r="X136" i="1" s="1"/>
  <c r="P136" i="1"/>
  <c r="R136" i="1" s="1"/>
  <c r="T136" i="1" s="1"/>
  <c r="U137" i="1"/>
  <c r="V137" i="1" s="1"/>
  <c r="X137" i="1" s="1"/>
  <c r="P137" i="1"/>
  <c r="Y138" i="1"/>
  <c r="U140" i="1"/>
  <c r="V140" i="1" s="1"/>
  <c r="X140" i="1" s="1"/>
  <c r="P140" i="1"/>
  <c r="R140" i="1" s="1"/>
  <c r="T140" i="1" s="1"/>
  <c r="U141" i="1"/>
  <c r="V141" i="1" s="1"/>
  <c r="X141" i="1" s="1"/>
  <c r="P141" i="1"/>
  <c r="Y142" i="1"/>
  <c r="Z142" i="1" s="1"/>
  <c r="Y148" i="1"/>
  <c r="Y150" i="1"/>
  <c r="Y152" i="1"/>
  <c r="Y154" i="1"/>
  <c r="Y156" i="1"/>
  <c r="Y158" i="1"/>
  <c r="Y160" i="1"/>
  <c r="Y162" i="1"/>
  <c r="P92" i="1"/>
  <c r="R92" i="1" s="1"/>
  <c r="T92" i="1" s="1"/>
  <c r="U92" i="1"/>
  <c r="V92" i="1" s="1"/>
  <c r="X92" i="1" s="1"/>
  <c r="P95" i="1"/>
  <c r="R95" i="1" s="1"/>
  <c r="T95" i="1" s="1"/>
  <c r="U95" i="1"/>
  <c r="V95" i="1" s="1"/>
  <c r="X95" i="1" s="1"/>
  <c r="P98" i="1"/>
  <c r="R98" i="1" s="1"/>
  <c r="T98" i="1" s="1"/>
  <c r="U98" i="1"/>
  <c r="V98" i="1" s="1"/>
  <c r="X98" i="1" s="1"/>
  <c r="P102" i="1"/>
  <c r="R102" i="1" s="1"/>
  <c r="T102" i="1" s="1"/>
  <c r="U102" i="1"/>
  <c r="V102" i="1" s="1"/>
  <c r="X102" i="1" s="1"/>
  <c r="U109" i="1"/>
  <c r="V109" i="1" s="1"/>
  <c r="X109" i="1" s="1"/>
  <c r="P109" i="1"/>
  <c r="R109" i="1" s="1"/>
  <c r="T109" i="1" s="1"/>
  <c r="U111" i="1"/>
  <c r="V111" i="1" s="1"/>
  <c r="X111" i="1" s="1"/>
  <c r="P111" i="1"/>
  <c r="R111" i="1" s="1"/>
  <c r="T111" i="1" s="1"/>
  <c r="Z138" i="1"/>
  <c r="U144" i="1"/>
  <c r="V144" i="1" s="1"/>
  <c r="X144" i="1" s="1"/>
  <c r="Y144" i="1" s="1"/>
  <c r="P99" i="1"/>
  <c r="R99" i="1" s="1"/>
  <c r="T99" i="1" s="1"/>
  <c r="P103" i="1"/>
  <c r="R103" i="1" s="1"/>
  <c r="T103" i="1" s="1"/>
  <c r="R106" i="1"/>
  <c r="T106" i="1" s="1"/>
  <c r="Y106" i="1" s="1"/>
  <c r="Z106" i="1" s="1"/>
  <c r="U113" i="1"/>
  <c r="V113" i="1" s="1"/>
  <c r="X113" i="1" s="1"/>
  <c r="P113" i="1"/>
  <c r="R113" i="1" s="1"/>
  <c r="T113" i="1" s="1"/>
  <c r="U115" i="1"/>
  <c r="V115" i="1" s="1"/>
  <c r="X115" i="1" s="1"/>
  <c r="P115" i="1"/>
  <c r="R115" i="1" s="1"/>
  <c r="T115" i="1" s="1"/>
  <c r="U118" i="1"/>
  <c r="V118" i="1" s="1"/>
  <c r="X118" i="1" s="1"/>
  <c r="P118" i="1"/>
  <c r="R118" i="1" s="1"/>
  <c r="T118" i="1" s="1"/>
  <c r="U119" i="1"/>
  <c r="V119" i="1" s="1"/>
  <c r="X119" i="1" s="1"/>
  <c r="P119" i="1"/>
  <c r="R119" i="1" s="1"/>
  <c r="T119" i="1" s="1"/>
  <c r="U122" i="1"/>
  <c r="V122" i="1" s="1"/>
  <c r="X122" i="1" s="1"/>
  <c r="P122" i="1"/>
  <c r="R122" i="1" s="1"/>
  <c r="T122" i="1" s="1"/>
  <c r="U123" i="1"/>
  <c r="V123" i="1" s="1"/>
  <c r="X123" i="1" s="1"/>
  <c r="P123" i="1"/>
  <c r="R123" i="1" s="1"/>
  <c r="T123" i="1" s="1"/>
  <c r="U126" i="1"/>
  <c r="V126" i="1" s="1"/>
  <c r="X126" i="1" s="1"/>
  <c r="P126" i="1"/>
  <c r="R126" i="1" s="1"/>
  <c r="T126" i="1" s="1"/>
  <c r="U127" i="1"/>
  <c r="V127" i="1" s="1"/>
  <c r="X127" i="1" s="1"/>
  <c r="P127" i="1"/>
  <c r="R127" i="1" s="1"/>
  <c r="T127" i="1" s="1"/>
  <c r="U130" i="1"/>
  <c r="V130" i="1" s="1"/>
  <c r="X130" i="1" s="1"/>
  <c r="P130" i="1"/>
  <c r="R130" i="1" s="1"/>
  <c r="T130" i="1" s="1"/>
  <c r="R137" i="1"/>
  <c r="T137" i="1" s="1"/>
  <c r="R141" i="1"/>
  <c r="T141" i="1" s="1"/>
  <c r="R143" i="1"/>
  <c r="T143" i="1" s="1"/>
  <c r="Z146" i="1"/>
  <c r="Z148" i="1"/>
  <c r="Z150" i="1"/>
  <c r="Z152" i="1"/>
  <c r="Z154" i="1"/>
  <c r="Z156" i="1"/>
  <c r="Z158" i="1"/>
  <c r="Z160" i="1"/>
  <c r="Z162" i="1"/>
  <c r="P121" i="1"/>
  <c r="R121" i="1" s="1"/>
  <c r="T121" i="1" s="1"/>
  <c r="U121" i="1"/>
  <c r="V121" i="1" s="1"/>
  <c r="X121" i="1" s="1"/>
  <c r="P125" i="1"/>
  <c r="R125" i="1" s="1"/>
  <c r="T125" i="1" s="1"/>
  <c r="U125" i="1"/>
  <c r="V125" i="1" s="1"/>
  <c r="X125" i="1" s="1"/>
  <c r="P129" i="1"/>
  <c r="R129" i="1" s="1"/>
  <c r="T129" i="1" s="1"/>
  <c r="U129" i="1"/>
  <c r="V129" i="1" s="1"/>
  <c r="X129" i="1" s="1"/>
  <c r="P134" i="1"/>
  <c r="R134" i="1" s="1"/>
  <c r="T134" i="1" s="1"/>
  <c r="U134" i="1"/>
  <c r="V134" i="1" s="1"/>
  <c r="X134" i="1" s="1"/>
  <c r="P139" i="1"/>
  <c r="R139" i="1" s="1"/>
  <c r="T139" i="1" s="1"/>
  <c r="U139" i="1"/>
  <c r="V139" i="1" s="1"/>
  <c r="X139" i="1" s="1"/>
  <c r="U145" i="1"/>
  <c r="V145" i="1" s="1"/>
  <c r="X145" i="1" s="1"/>
  <c r="P145" i="1"/>
  <c r="R145" i="1" s="1"/>
  <c r="T145" i="1" s="1"/>
  <c r="U147" i="1"/>
  <c r="V147" i="1" s="1"/>
  <c r="X147" i="1" s="1"/>
  <c r="P147" i="1"/>
  <c r="R147" i="1" s="1"/>
  <c r="T147" i="1" s="1"/>
  <c r="U149" i="1"/>
  <c r="V149" i="1" s="1"/>
  <c r="X149" i="1" s="1"/>
  <c r="P149" i="1"/>
  <c r="R149" i="1" s="1"/>
  <c r="T149" i="1" s="1"/>
  <c r="U151" i="1"/>
  <c r="V151" i="1" s="1"/>
  <c r="X151" i="1" s="1"/>
  <c r="P151" i="1"/>
  <c r="R151" i="1" s="1"/>
  <c r="T151" i="1" s="1"/>
  <c r="U153" i="1"/>
  <c r="V153" i="1" s="1"/>
  <c r="X153" i="1" s="1"/>
  <c r="P153" i="1"/>
  <c r="R153" i="1" s="1"/>
  <c r="T153" i="1" s="1"/>
  <c r="U155" i="1"/>
  <c r="V155" i="1" s="1"/>
  <c r="X155" i="1" s="1"/>
  <c r="P155" i="1"/>
  <c r="R155" i="1" s="1"/>
  <c r="T155" i="1" s="1"/>
  <c r="U157" i="1"/>
  <c r="V157" i="1" s="1"/>
  <c r="X157" i="1" s="1"/>
  <c r="P157" i="1"/>
  <c r="R157" i="1" s="1"/>
  <c r="T157" i="1" s="1"/>
  <c r="U159" i="1"/>
  <c r="V159" i="1" s="1"/>
  <c r="X159" i="1" s="1"/>
  <c r="P159" i="1"/>
  <c r="R159" i="1" s="1"/>
  <c r="T159" i="1" s="1"/>
  <c r="U161" i="1"/>
  <c r="V161" i="1" s="1"/>
  <c r="X161" i="1" s="1"/>
  <c r="P161" i="1"/>
  <c r="R161" i="1" s="1"/>
  <c r="T161" i="1" s="1"/>
  <c r="U163" i="1"/>
  <c r="V163" i="1" s="1"/>
  <c r="X163" i="1" s="1"/>
  <c r="P163" i="1"/>
  <c r="R163" i="1" s="1"/>
  <c r="T163" i="1" s="1"/>
  <c r="U164" i="1"/>
  <c r="V164" i="1" s="1"/>
  <c r="X164" i="1" s="1"/>
  <c r="Y164" i="1" s="1"/>
  <c r="Z164" i="1" s="1"/>
  <c r="P168" i="1"/>
  <c r="R168" i="1" s="1"/>
  <c r="T168" i="1" s="1"/>
  <c r="Y176" i="1"/>
  <c r="Z176" i="1" s="1"/>
  <c r="Y188" i="1"/>
  <c r="Z188" i="1" s="1"/>
  <c r="P166" i="1"/>
  <c r="R166" i="1" s="1"/>
  <c r="T166" i="1" s="1"/>
  <c r="Y166" i="1" s="1"/>
  <c r="Z166" i="1" s="1"/>
  <c r="U167" i="1"/>
  <c r="V167" i="1" s="1"/>
  <c r="X167" i="1" s="1"/>
  <c r="P167" i="1"/>
  <c r="R167" i="1" s="1"/>
  <c r="T167" i="1" s="1"/>
  <c r="Y168" i="1"/>
  <c r="Z168" i="1" s="1"/>
  <c r="P170" i="1"/>
  <c r="R170" i="1" s="1"/>
  <c r="T170" i="1" s="1"/>
  <c r="Y170" i="1" s="1"/>
  <c r="Z170" i="1" s="1"/>
  <c r="Y172" i="1"/>
  <c r="Z172" i="1" s="1"/>
  <c r="U165" i="1"/>
  <c r="V165" i="1" s="1"/>
  <c r="X165" i="1" s="1"/>
  <c r="P165" i="1"/>
  <c r="R165" i="1" s="1"/>
  <c r="T165" i="1" s="1"/>
  <c r="Y192" i="1"/>
  <c r="Z192" i="1" s="1"/>
  <c r="U202" i="1"/>
  <c r="V202" i="1" s="1"/>
  <c r="X202" i="1" s="1"/>
  <c r="P202" i="1"/>
  <c r="R202" i="1" s="1"/>
  <c r="T202" i="1" s="1"/>
  <c r="U214" i="1"/>
  <c r="V214" i="1" s="1"/>
  <c r="X214" i="1" s="1"/>
  <c r="P214" i="1"/>
  <c r="R214" i="1" s="1"/>
  <c r="T214" i="1" s="1"/>
  <c r="U193" i="1"/>
  <c r="V193" i="1" s="1"/>
  <c r="X193" i="1" s="1"/>
  <c r="P193" i="1"/>
  <c r="U198" i="1"/>
  <c r="V198" i="1" s="1"/>
  <c r="X198" i="1" s="1"/>
  <c r="P198" i="1"/>
  <c r="R198" i="1" s="1"/>
  <c r="T198" i="1" s="1"/>
  <c r="U209" i="1"/>
  <c r="V209" i="1" s="1"/>
  <c r="X209" i="1" s="1"/>
  <c r="P209" i="1"/>
  <c r="R209" i="1" s="1"/>
  <c r="T209" i="1" s="1"/>
  <c r="R169" i="1"/>
  <c r="T169" i="1" s="1"/>
  <c r="U169" i="1"/>
  <c r="V169" i="1" s="1"/>
  <c r="X169" i="1" s="1"/>
  <c r="P169" i="1"/>
  <c r="U171" i="1"/>
  <c r="V171" i="1" s="1"/>
  <c r="X171" i="1" s="1"/>
  <c r="P171" i="1"/>
  <c r="R171" i="1" s="1"/>
  <c r="T171" i="1" s="1"/>
  <c r="U173" i="1"/>
  <c r="V173" i="1" s="1"/>
  <c r="X173" i="1" s="1"/>
  <c r="P173" i="1"/>
  <c r="R173" i="1" s="1"/>
  <c r="T173" i="1" s="1"/>
  <c r="U175" i="1"/>
  <c r="V175" i="1" s="1"/>
  <c r="X175" i="1" s="1"/>
  <c r="P175" i="1"/>
  <c r="R175" i="1" s="1"/>
  <c r="T175" i="1" s="1"/>
  <c r="R187" i="1"/>
  <c r="T187" i="1" s="1"/>
  <c r="P187" i="1"/>
  <c r="R193" i="1"/>
  <c r="T193" i="1" s="1"/>
  <c r="U204" i="1"/>
  <c r="V204" i="1" s="1"/>
  <c r="X204" i="1" s="1"/>
  <c r="P204" i="1"/>
  <c r="R204" i="1" s="1"/>
  <c r="T204" i="1" s="1"/>
  <c r="U206" i="1"/>
  <c r="V206" i="1" s="1"/>
  <c r="X206" i="1" s="1"/>
  <c r="P197" i="1"/>
  <c r="R197" i="1" s="1"/>
  <c r="T197" i="1" s="1"/>
  <c r="U197" i="1"/>
  <c r="V197" i="1" s="1"/>
  <c r="X197" i="1" s="1"/>
  <c r="P201" i="1"/>
  <c r="R201" i="1" s="1"/>
  <c r="T201" i="1" s="1"/>
  <c r="U201" i="1"/>
  <c r="V201" i="1" s="1"/>
  <c r="X201" i="1" s="1"/>
  <c r="P205" i="1"/>
  <c r="R205" i="1" s="1"/>
  <c r="T205" i="1" s="1"/>
  <c r="U205" i="1"/>
  <c r="V205" i="1" s="1"/>
  <c r="X205" i="1" s="1"/>
  <c r="P210" i="1"/>
  <c r="R210" i="1" s="1"/>
  <c r="T210" i="1" s="1"/>
  <c r="U210" i="1"/>
  <c r="V210" i="1" s="1"/>
  <c r="X210" i="1" s="1"/>
  <c r="P212" i="1"/>
  <c r="R212" i="1" s="1"/>
  <c r="T212" i="1" s="1"/>
  <c r="U212" i="1"/>
  <c r="V212" i="1" s="1"/>
  <c r="X212" i="1" s="1"/>
  <c r="P215" i="1"/>
  <c r="R215" i="1" s="1"/>
  <c r="T215" i="1" s="1"/>
  <c r="U215" i="1"/>
  <c r="V215" i="1" s="1"/>
  <c r="X215" i="1" s="1"/>
  <c r="P206" i="1"/>
  <c r="R206" i="1" s="1"/>
  <c r="T206" i="1" s="1"/>
  <c r="P203" i="1"/>
  <c r="R203" i="1" s="1"/>
  <c r="T203" i="1" s="1"/>
  <c r="U203" i="1"/>
  <c r="V203" i="1" s="1"/>
  <c r="X203" i="1" s="1"/>
  <c r="P211" i="1"/>
  <c r="R211" i="1" s="1"/>
  <c r="T211" i="1" s="1"/>
  <c r="U211" i="1"/>
  <c r="V211" i="1" s="1"/>
  <c r="X211" i="1" s="1"/>
  <c r="P213" i="1"/>
  <c r="R213" i="1" s="1"/>
  <c r="T213" i="1" s="1"/>
  <c r="U213" i="1"/>
  <c r="V213" i="1" s="1"/>
  <c r="X213" i="1" s="1"/>
  <c r="Y203" i="1" l="1"/>
  <c r="Y115" i="1"/>
  <c r="Z115" i="1" s="1"/>
  <c r="Y113" i="1"/>
  <c r="Z113" i="1" s="1"/>
  <c r="Y73" i="1"/>
  <c r="Z73" i="1" s="1"/>
  <c r="Y128" i="1"/>
  <c r="Z128" i="1" s="1"/>
  <c r="Y139" i="1"/>
  <c r="T60" i="1"/>
  <c r="U60" i="1"/>
  <c r="V60" i="1" s="1"/>
  <c r="X60" i="1" s="1"/>
  <c r="T57" i="1"/>
  <c r="U57" i="1"/>
  <c r="V57" i="1" s="1"/>
  <c r="X57" i="1" s="1"/>
  <c r="T53" i="1"/>
  <c r="U53" i="1"/>
  <c r="V53" i="1" s="1"/>
  <c r="X53" i="1" s="1"/>
  <c r="T55" i="1"/>
  <c r="U55" i="1"/>
  <c r="V55" i="1" s="1"/>
  <c r="X55" i="1" s="1"/>
  <c r="T56" i="1"/>
  <c r="U56" i="1"/>
  <c r="V56" i="1" s="1"/>
  <c r="X56" i="1" s="1"/>
  <c r="T49" i="1"/>
  <c r="U49" i="1"/>
  <c r="V49" i="1" s="1"/>
  <c r="X49" i="1" s="1"/>
  <c r="T51" i="1"/>
  <c r="U51" i="1"/>
  <c r="V51" i="1" s="1"/>
  <c r="X51" i="1" s="1"/>
  <c r="Y210" i="1"/>
  <c r="Z210" i="1"/>
  <c r="Y193" i="1"/>
  <c r="Z193" i="1" s="1"/>
  <c r="Z194" i="1" s="1"/>
  <c r="Y127" i="1"/>
  <c r="Y122" i="1"/>
  <c r="Z122" i="1" s="1"/>
  <c r="Y111" i="1"/>
  <c r="Y109" i="1"/>
  <c r="Z109" i="1" s="1"/>
  <c r="Y137" i="1"/>
  <c r="Y108" i="1"/>
  <c r="Z108" i="1" s="1"/>
  <c r="Y133" i="1"/>
  <c r="Z133" i="1"/>
  <c r="Y104" i="1"/>
  <c r="Y96" i="1"/>
  <c r="Z96" i="1" s="1"/>
  <c r="Y86" i="1"/>
  <c r="Y82" i="1"/>
  <c r="Z82" i="1" s="1"/>
  <c r="Y80" i="1"/>
  <c r="Y78" i="1"/>
  <c r="Y76" i="1"/>
  <c r="Z76" i="1" s="1"/>
  <c r="Y68" i="1"/>
  <c r="Z68" i="1" s="1"/>
  <c r="Y91" i="1"/>
  <c r="Z91" i="1" s="1"/>
  <c r="Y64" i="1"/>
  <c r="Z64" i="1" s="1"/>
  <c r="Y63" i="1"/>
  <c r="Z63" i="1" s="1"/>
  <c r="Y37" i="1"/>
  <c r="Z37" i="1" s="1"/>
  <c r="Z39" i="1"/>
  <c r="Y39" i="1"/>
  <c r="Z26" i="1"/>
  <c r="Y43" i="1"/>
  <c r="Z43" i="1" s="1"/>
  <c r="Y20" i="1"/>
  <c r="Z20" i="1" s="1"/>
  <c r="Y204" i="1"/>
  <c r="Z204" i="1" s="1"/>
  <c r="Y209" i="1"/>
  <c r="Z209" i="1" s="1"/>
  <c r="Y163" i="1"/>
  <c r="Z163" i="1" s="1"/>
  <c r="Y159" i="1"/>
  <c r="Y157" i="1"/>
  <c r="Y155" i="1"/>
  <c r="Y153" i="1"/>
  <c r="Y151" i="1"/>
  <c r="Y149" i="1"/>
  <c r="Y147" i="1"/>
  <c r="Y145" i="1"/>
  <c r="Y129" i="1"/>
  <c r="Y121" i="1"/>
  <c r="Z127" i="1"/>
  <c r="Y123" i="1"/>
  <c r="Z123" i="1" s="1"/>
  <c r="Z118" i="1"/>
  <c r="Y118" i="1"/>
  <c r="Z111" i="1"/>
  <c r="Y98" i="1"/>
  <c r="Z98" i="1" s="1"/>
  <c r="Y92" i="1"/>
  <c r="Y140" i="1"/>
  <c r="Z140" i="1" s="1"/>
  <c r="Z137" i="1"/>
  <c r="Y143" i="1"/>
  <c r="Z143" i="1" s="1"/>
  <c r="Y131" i="1"/>
  <c r="Z131" i="1" s="1"/>
  <c r="Y117" i="1"/>
  <c r="Y107" i="1"/>
  <c r="Z107" i="1" s="1"/>
  <c r="Z92" i="1"/>
  <c r="Z86" i="1"/>
  <c r="Z80" i="1"/>
  <c r="Y88" i="1"/>
  <c r="Z78" i="1"/>
  <c r="Y105" i="1"/>
  <c r="Z105" i="1" s="1"/>
  <c r="Y101" i="1"/>
  <c r="Z101" i="1" s="1"/>
  <c r="Y97" i="1"/>
  <c r="Z97" i="1" s="1"/>
  <c r="Y74" i="1"/>
  <c r="Y72" i="1"/>
  <c r="Y71" i="1"/>
  <c r="Z71" i="1"/>
  <c r="U48" i="1"/>
  <c r="V48" i="1" s="1"/>
  <c r="X48" i="1" s="1"/>
  <c r="Y34" i="1"/>
  <c r="Z34" i="1" s="1"/>
  <c r="Z61" i="1"/>
  <c r="U54" i="1"/>
  <c r="V54" i="1" s="1"/>
  <c r="X54" i="1" s="1"/>
  <c r="Z31" i="1"/>
  <c r="Y31" i="1"/>
  <c r="Y25" i="1"/>
  <c r="Z25" i="1" s="1"/>
  <c r="Y23" i="1"/>
  <c r="Z23" i="1" s="1"/>
  <c r="Y41" i="1"/>
  <c r="Z41" i="1" s="1"/>
  <c r="Y201" i="1"/>
  <c r="Y165" i="1"/>
  <c r="Z165" i="1" s="1"/>
  <c r="Y161" i="1"/>
  <c r="Y212" i="1"/>
  <c r="Z212" i="1" s="1"/>
  <c r="Y205" i="1"/>
  <c r="Z205" i="1" s="1"/>
  <c r="Y197" i="1"/>
  <c r="Z197" i="1" s="1"/>
  <c r="Z199" i="1" s="1"/>
  <c r="Z203" i="1"/>
  <c r="U187" i="1"/>
  <c r="V187" i="1" s="1"/>
  <c r="X187" i="1" s="1"/>
  <c r="Y175" i="1"/>
  <c r="Z175" i="1" s="1"/>
  <c r="Y173" i="1"/>
  <c r="Z173" i="1" s="1"/>
  <c r="Y171" i="1"/>
  <c r="Z171" i="1" s="1"/>
  <c r="Y169" i="1"/>
  <c r="Z169" i="1" s="1"/>
  <c r="Y198" i="1"/>
  <c r="Z198" i="1" s="1"/>
  <c r="Z201" i="1"/>
  <c r="Z161" i="1"/>
  <c r="Z159" i="1"/>
  <c r="Z157" i="1"/>
  <c r="Z155" i="1"/>
  <c r="Z153" i="1"/>
  <c r="Z151" i="1"/>
  <c r="Z149" i="1"/>
  <c r="Z147" i="1"/>
  <c r="Z145" i="1"/>
  <c r="Z130" i="1"/>
  <c r="Y130" i="1"/>
  <c r="Y119" i="1"/>
  <c r="Z119" i="1" s="1"/>
  <c r="Y141" i="1"/>
  <c r="Z141" i="1" s="1"/>
  <c r="Y132" i="1"/>
  <c r="Z132" i="1" s="1"/>
  <c r="Z129" i="1"/>
  <c r="Z121" i="1"/>
  <c r="Z117" i="1"/>
  <c r="Y100" i="1"/>
  <c r="Y94" i="1"/>
  <c r="Z88" i="1"/>
  <c r="Z104" i="1"/>
  <c r="Z100" i="1"/>
  <c r="Z94" i="1"/>
  <c r="Y90" i="1"/>
  <c r="Z90" i="1" s="1"/>
  <c r="Z74" i="1"/>
  <c r="Z72" i="1"/>
  <c r="Y84" i="1"/>
  <c r="Z84" i="1" s="1"/>
  <c r="Y40" i="1"/>
  <c r="Z40" i="1" s="1"/>
  <c r="Z24" i="1"/>
  <c r="Y24" i="1"/>
  <c r="Y22" i="1"/>
  <c r="Z22" i="1" s="1"/>
  <c r="Y18" i="1"/>
  <c r="Z18" i="1" s="1"/>
  <c r="U59" i="1"/>
  <c r="V59" i="1" s="1"/>
  <c r="X59" i="1" s="1"/>
  <c r="Y27" i="1"/>
  <c r="Z27" i="1" s="1"/>
  <c r="R178" i="1"/>
  <c r="T13" i="1"/>
  <c r="Y215" i="1"/>
  <c r="Z215" i="1" s="1"/>
  <c r="Y213" i="1"/>
  <c r="Z213" i="1" s="1"/>
  <c r="Y211" i="1"/>
  <c r="Z211" i="1" s="1"/>
  <c r="Y206" i="1"/>
  <c r="Z206" i="1" s="1"/>
  <c r="Y214" i="1"/>
  <c r="Z214" i="1" s="1"/>
  <c r="Y202" i="1"/>
  <c r="Z202" i="1" s="1"/>
  <c r="Y167" i="1"/>
  <c r="Z167" i="1" s="1"/>
  <c r="Y134" i="1"/>
  <c r="Z134" i="1" s="1"/>
  <c r="Y125" i="1"/>
  <c r="Z125" i="1" s="1"/>
  <c r="Y126" i="1"/>
  <c r="Z126" i="1" s="1"/>
  <c r="Z139" i="1"/>
  <c r="Y102" i="1"/>
  <c r="Z102" i="1" s="1"/>
  <c r="Y95" i="1"/>
  <c r="Z95" i="1" s="1"/>
  <c r="Z144" i="1"/>
  <c r="Y136" i="1"/>
  <c r="Z136" i="1" s="1"/>
  <c r="Y135" i="1"/>
  <c r="Z135" i="1" s="1"/>
  <c r="Y103" i="1"/>
  <c r="Z103" i="1" s="1"/>
  <c r="Y99" i="1"/>
  <c r="Z99" i="1" s="1"/>
  <c r="Y47" i="1"/>
  <c r="Z47" i="1" s="1"/>
  <c r="T181" i="1"/>
  <c r="Y36" i="1"/>
  <c r="Z36" i="1" s="1"/>
  <c r="Y67" i="1"/>
  <c r="Z67" i="1" s="1"/>
  <c r="Y30" i="1"/>
  <c r="Z30" i="1" s="1"/>
  <c r="U50" i="1"/>
  <c r="V50" i="1" s="1"/>
  <c r="X50" i="1" s="1"/>
  <c r="Y14" i="1"/>
  <c r="Z14" i="1" s="1"/>
  <c r="U58" i="1"/>
  <c r="V58" i="1" s="1"/>
  <c r="X58" i="1" s="1"/>
  <c r="U52" i="1"/>
  <c r="V52" i="1" s="1"/>
  <c r="X52" i="1" s="1"/>
  <c r="Y42" i="1"/>
  <c r="Z42" i="1" s="1"/>
  <c r="Y33" i="1"/>
  <c r="Z33" i="1" s="1"/>
  <c r="Y29" i="1"/>
  <c r="Z29" i="1" s="1"/>
  <c r="Y21" i="1"/>
  <c r="Z21" i="1" s="1"/>
  <c r="P178" i="1"/>
  <c r="Z216" i="1" l="1"/>
  <c r="T178" i="1"/>
  <c r="T180" i="1"/>
  <c r="T184" i="1" s="1"/>
  <c r="Y50" i="1"/>
  <c r="Z50" i="1"/>
  <c r="Y54" i="1"/>
  <c r="Z54" i="1"/>
  <c r="Y48" i="1"/>
  <c r="Z48" i="1" s="1"/>
  <c r="Y187" i="1"/>
  <c r="Z187" i="1" s="1"/>
  <c r="Z189" i="1" s="1"/>
  <c r="Y51" i="1"/>
  <c r="Z51" i="1" s="1"/>
  <c r="Y56" i="1"/>
  <c r="Z56" i="1" s="1"/>
  <c r="Y53" i="1"/>
  <c r="Z53" i="1" s="1"/>
  <c r="Y57" i="1"/>
  <c r="Z57" i="1" s="1"/>
  <c r="Y52" i="1"/>
  <c r="Z52" i="1" s="1"/>
  <c r="Y58" i="1"/>
  <c r="Z58" i="1" s="1"/>
  <c r="Y13" i="1"/>
  <c r="Z13" i="1" s="1"/>
  <c r="Y60" i="1"/>
  <c r="Z60" i="1" s="1"/>
  <c r="Y59" i="1"/>
  <c r="Z59" i="1" s="1"/>
  <c r="Z207" i="1"/>
  <c r="Y49" i="1"/>
  <c r="Z49" i="1" s="1"/>
  <c r="Y55" i="1"/>
  <c r="Z55" i="1"/>
  <c r="Z178" i="1" l="1"/>
  <c r="Z218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K86" authorId="0">
      <text>
        <r>
          <rPr>
            <b/>
            <sz val="8"/>
            <color indexed="81"/>
            <rFont val="Tahoma"/>
            <family val="2"/>
          </rPr>
          <t>KK :</t>
        </r>
        <r>
          <rPr>
            <sz val="8"/>
            <color indexed="81"/>
            <rFont val="Tahoma"/>
            <family val="2"/>
          </rPr>
          <t xml:space="preserve">
Freight &amp; shipping were apportioned.  See Asset # 0730-1 thru 5</t>
        </r>
      </text>
    </comment>
  </commentList>
</comments>
</file>

<file path=xl/sharedStrings.xml><?xml version="1.0" encoding="utf-8"?>
<sst xmlns="http://schemas.openxmlformats.org/spreadsheetml/2006/main" count="611" uniqueCount="334">
  <si>
    <t/>
  </si>
  <si>
    <t>Torre Refuse &amp; Recycling, LLC d/b/a Sunshine Disposal (Western Tariff)</t>
  </si>
  <si>
    <t>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</si>
  <si>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</si>
  <si>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</si>
  <si>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</si>
  <si>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</si>
  <si>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</si>
  <si>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</si>
  <si>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</si>
  <si>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Scrapped</t>
  </si>
  <si>
    <t>Second year</t>
  </si>
  <si>
    <t>C</t>
  </si>
  <si>
    <t>Date fully Depr</t>
  </si>
  <si>
    <t>D.</t>
  </si>
  <si>
    <t>Beg of Test Period</t>
  </si>
  <si>
    <t>Total</t>
  </si>
  <si>
    <t>Beginning</t>
  </si>
  <si>
    <t>Allocated</t>
  </si>
  <si>
    <t xml:space="preserve">Ending </t>
  </si>
  <si>
    <t>E.</t>
  </si>
  <si>
    <t>Disposition Date</t>
  </si>
  <si>
    <t>ASSET</t>
  </si>
  <si>
    <t xml:space="preserve">   Date in</t>
  </si>
  <si>
    <t>Salvage</t>
  </si>
  <si>
    <t>Year</t>
  </si>
  <si>
    <t xml:space="preserve">  Asset  </t>
  </si>
  <si>
    <t>Book</t>
  </si>
  <si>
    <t>UTC</t>
  </si>
  <si>
    <t>Disposal</t>
  </si>
  <si>
    <t>Accumulated</t>
  </si>
  <si>
    <t>Branch</t>
  </si>
  <si>
    <t>Accum.</t>
  </si>
  <si>
    <t xml:space="preserve">   Service</t>
  </si>
  <si>
    <t>Value</t>
  </si>
  <si>
    <t>Method</t>
  </si>
  <si>
    <t>Life</t>
  </si>
  <si>
    <t>Fully</t>
  </si>
  <si>
    <t>Asset</t>
  </si>
  <si>
    <t>Depreciable</t>
  </si>
  <si>
    <t>Monthly</t>
  </si>
  <si>
    <t>Test year</t>
  </si>
  <si>
    <t>Test yr.</t>
  </si>
  <si>
    <t>%</t>
  </si>
  <si>
    <t>Depreciation</t>
  </si>
  <si>
    <t>Allo.</t>
  </si>
  <si>
    <t>Depr.</t>
  </si>
  <si>
    <t>Average</t>
  </si>
  <si>
    <t>#</t>
  </si>
  <si>
    <t>DESCRIPTION</t>
  </si>
  <si>
    <t>Yr</t>
  </si>
  <si>
    <t>Mo</t>
  </si>
  <si>
    <t>M</t>
  </si>
  <si>
    <t xml:space="preserve">  Yr.</t>
  </si>
  <si>
    <t xml:space="preserve"> Mo.</t>
  </si>
  <si>
    <t>Cost</t>
  </si>
  <si>
    <t>Depn</t>
  </si>
  <si>
    <t>Depn.</t>
  </si>
  <si>
    <t>Investment</t>
  </si>
  <si>
    <t>B</t>
  </si>
  <si>
    <t>C.</t>
  </si>
  <si>
    <t>-</t>
  </si>
  <si>
    <t>Trucks</t>
  </si>
  <si>
    <t>1986 Kenworth Roll Off</t>
  </si>
  <si>
    <t>SL</t>
  </si>
  <si>
    <t>1986 Kenworth Transmission Repair</t>
  </si>
  <si>
    <t>1993 Peterbilt Roll Off</t>
  </si>
  <si>
    <t>WM Purch Sales Tax Alloc</t>
  </si>
  <si>
    <t>1993 GMC White Roll Off</t>
  </si>
  <si>
    <t>New Tarping System on #306</t>
  </si>
  <si>
    <t xml:space="preserve">  </t>
  </si>
  <si>
    <t>2007 Autocar w/McNeilus ASL</t>
  </si>
  <si>
    <t>Unit 320 Gripper Arm</t>
  </si>
  <si>
    <t>2007 Autocar Injector Repair</t>
  </si>
  <si>
    <t>1983 Int'l Cont Delry</t>
  </si>
  <si>
    <t>1999 Chev PU w/svb</t>
  </si>
  <si>
    <t>2002 Chevy Silverado 2500 HP</t>
  </si>
  <si>
    <t>2001 Volvo WXLL64 FL</t>
  </si>
  <si>
    <t>T302</t>
  </si>
  <si>
    <t>2000 Eagle Flatbed Trailer</t>
  </si>
  <si>
    <t>2006 McNeilus Side-Loader</t>
  </si>
  <si>
    <t>Repair &amp; Repaint</t>
  </si>
  <si>
    <t>Turbo &amp; Injector Repairs</t>
  </si>
  <si>
    <t>2005 Int'l 4300 Van</t>
  </si>
  <si>
    <t>2005 Int'l Van Engine Rebuild</t>
  </si>
  <si>
    <t>2003 Freightlinger w/Whitke FL</t>
  </si>
  <si>
    <t>Unit 387 Engine Repairs</t>
  </si>
  <si>
    <t>1986 Ford Container Delivery Truck</t>
  </si>
  <si>
    <t>1994 White GMC</t>
  </si>
  <si>
    <t>2001 Ford F250</t>
  </si>
  <si>
    <t>2006 Autocar McNeilus</t>
  </si>
  <si>
    <t>2006 Autocar Repaint</t>
  </si>
  <si>
    <t>Kenworth T800 Roll Off</t>
  </si>
  <si>
    <t>Peterbilt 320 - 28Yd Heil Odyssey</t>
  </si>
  <si>
    <t>2017 Mck LR613 - 28Yd Odyssey</t>
  </si>
  <si>
    <t>2017 Mck LR613 - 28Yd DPFRR</t>
  </si>
  <si>
    <t>148</t>
  </si>
  <si>
    <t>5 FL-6C Yd Front Load-Airway</t>
  </si>
  <si>
    <t>5 FL - 8C Front Load</t>
  </si>
  <si>
    <t>2 FL 3 yd Containers</t>
  </si>
  <si>
    <t>5 FL 2 yd Containers</t>
  </si>
  <si>
    <t>5 FL - 4 4 yd Front Load containers</t>
  </si>
  <si>
    <t>32 Gallon Toters (incl frt &amp; sales tax)</t>
  </si>
  <si>
    <t>64 gallong Toters (incl frt &amp; sls tax)</t>
  </si>
  <si>
    <t>96 gallon toters (incl frt &amp; sls tax)</t>
  </si>
  <si>
    <t>R03020 - 2 Airway Heights - UTC</t>
  </si>
  <si>
    <t>1 RO4020 Airway heights - UTC</t>
  </si>
  <si>
    <t>Lids-Front &amp; Rear Load</t>
  </si>
  <si>
    <t>Containers - 204 ea 32 gal Ser #C320547 (incl frt)</t>
  </si>
  <si>
    <t>Containers - 560 ea 64 gal Ser #C640637</t>
  </si>
  <si>
    <t>Containers - 84 ea 96 gal Ser#C960445</t>
  </si>
  <si>
    <t>FL-3: 3cy 1/2-Airway heights and 1/2 Addy</t>
  </si>
  <si>
    <t>FL-1: 3cy Airway Heights</t>
  </si>
  <si>
    <t>FL-8c: 8cy Airway Heights</t>
  </si>
  <si>
    <t>Front/Rear Load Lids , skids, hinge rod - Airway Heights</t>
  </si>
  <si>
    <t>R/O 1018 Special Custom 10cy 18ft cont.-Airway Heights</t>
  </si>
  <si>
    <t>R/O 2016B 20cy 16ft -Airway Heights</t>
  </si>
  <si>
    <t>6-1yr, 6-2yr repaint dumsters - Airway Heights</t>
  </si>
  <si>
    <t>64G EVR II univ/NE0201 A79264-43726 1/2 Airway 1/2 Addy</t>
  </si>
  <si>
    <t>366/32 gal Toters -  Airway</t>
  </si>
  <si>
    <t>500 35 Gal Toters</t>
  </si>
  <si>
    <t>676</t>
  </si>
  <si>
    <t>350 64 Gal Toters</t>
  </si>
  <si>
    <t>677</t>
  </si>
  <si>
    <t>80 96 Gal Toters</t>
  </si>
  <si>
    <t>678</t>
  </si>
  <si>
    <t>3 2-Yard Containers</t>
  </si>
  <si>
    <t>680</t>
  </si>
  <si>
    <t>10 1-Yard Containers</t>
  </si>
  <si>
    <t>682</t>
  </si>
  <si>
    <t>1 2-Yard Container</t>
  </si>
  <si>
    <t>684</t>
  </si>
  <si>
    <t>174 64 Gal Toters</t>
  </si>
  <si>
    <t>686</t>
  </si>
  <si>
    <t>46 96 Gal Toters</t>
  </si>
  <si>
    <t>688</t>
  </si>
  <si>
    <t>96 32 Gal Toters</t>
  </si>
  <si>
    <t>689</t>
  </si>
  <si>
    <t>440 Container Lids</t>
  </si>
  <si>
    <t>703</t>
  </si>
  <si>
    <t>5 8yd Containers</t>
  </si>
  <si>
    <t>704</t>
  </si>
  <si>
    <t>216 64G Toters</t>
  </si>
  <si>
    <t>706</t>
  </si>
  <si>
    <t>10 3yd Containers</t>
  </si>
  <si>
    <t>723</t>
  </si>
  <si>
    <t>6 FL - 6yd Containers</t>
  </si>
  <si>
    <t>729</t>
  </si>
  <si>
    <t>64 Gallon Toters</t>
  </si>
  <si>
    <t>730</t>
  </si>
  <si>
    <t>32 Gallon Toters</t>
  </si>
  <si>
    <t>96 Gallon Toters</t>
  </si>
  <si>
    <t>738</t>
  </si>
  <si>
    <t>10 FL 2yd Containers</t>
  </si>
  <si>
    <t>0790</t>
  </si>
  <si>
    <t>R/O #30004-SBRAN</t>
  </si>
  <si>
    <t>0791</t>
  </si>
  <si>
    <t>R/O #3001 SBRAN</t>
  </si>
  <si>
    <t>0792</t>
  </si>
  <si>
    <t>R/O 20/20</t>
  </si>
  <si>
    <t>0780</t>
  </si>
  <si>
    <t>100 96G Mold #2</t>
  </si>
  <si>
    <t>0795</t>
  </si>
  <si>
    <t>6YD Container &amp; Paint</t>
  </si>
  <si>
    <t>0808</t>
  </si>
  <si>
    <t>R/O 30/20</t>
  </si>
  <si>
    <t>0809</t>
  </si>
  <si>
    <t>0820</t>
  </si>
  <si>
    <t>FL-2 2Yd front Loaders (8)</t>
  </si>
  <si>
    <t>0824</t>
  </si>
  <si>
    <t>R/O 40/20</t>
  </si>
  <si>
    <t>0829</t>
  </si>
  <si>
    <t>FL-8B 8Yd Box Style (6)</t>
  </si>
  <si>
    <t>0850</t>
  </si>
  <si>
    <t>R/O 20/18</t>
  </si>
  <si>
    <t>0851</t>
  </si>
  <si>
    <t>0858</t>
  </si>
  <si>
    <t>0860</t>
  </si>
  <si>
    <t>0863</t>
  </si>
  <si>
    <t>0868</t>
  </si>
  <si>
    <t>0870</t>
  </si>
  <si>
    <t>96 Gallon Toters (297)</t>
  </si>
  <si>
    <t>0871</t>
  </si>
  <si>
    <t>65 Gallon Toters (126)</t>
  </si>
  <si>
    <t>0872</t>
  </si>
  <si>
    <t>35 Gallon Toters (207)</t>
  </si>
  <si>
    <t>0873</t>
  </si>
  <si>
    <t>FL-6B 6Yd Cage Style (6)</t>
  </si>
  <si>
    <t>0874</t>
  </si>
  <si>
    <t>0875</t>
  </si>
  <si>
    <t>0876</t>
  </si>
  <si>
    <t>FL-6B 6Yd Cage Style (3)</t>
  </si>
  <si>
    <t>0878</t>
  </si>
  <si>
    <t>FL-3 3Yd Metalic Blie (5)</t>
  </si>
  <si>
    <t>0880</t>
  </si>
  <si>
    <t>R/O 10/18</t>
  </si>
  <si>
    <t>0881</t>
  </si>
  <si>
    <t>0882</t>
  </si>
  <si>
    <t>R/O 30/20 Bath Tub Style</t>
  </si>
  <si>
    <t>R/O 20/20 Bath Tub Style</t>
  </si>
  <si>
    <t>0884</t>
  </si>
  <si>
    <t>FL-6CR 6Yd Cage Style (2)</t>
  </si>
  <si>
    <t>0885</t>
  </si>
  <si>
    <t>FL-3 3Yd Front Load (3)</t>
  </si>
  <si>
    <t>0886</t>
  </si>
  <si>
    <t>R/O 40/22 RST Style</t>
  </si>
  <si>
    <t>0887</t>
  </si>
  <si>
    <t>0903</t>
  </si>
  <si>
    <t>FL8-BR 8Yd Box Style (5)</t>
  </si>
  <si>
    <t>0904</t>
  </si>
  <si>
    <t>R/O 10/18 RST Style</t>
  </si>
  <si>
    <t>0905</t>
  </si>
  <si>
    <t>FL6-BR 6Yd Box Style (3)</t>
  </si>
  <si>
    <t>0906</t>
  </si>
  <si>
    <t>FL6-CR 6Yd Cage Style (3)</t>
  </si>
  <si>
    <t>0907</t>
  </si>
  <si>
    <t>FL6-BR 6Yd Box Style (6)</t>
  </si>
  <si>
    <t>0908</t>
  </si>
  <si>
    <t>0910</t>
  </si>
  <si>
    <t>0918</t>
  </si>
  <si>
    <t>0919-1</t>
  </si>
  <si>
    <t>FL8-BR 8Yd Box Style (1)</t>
  </si>
  <si>
    <t>0933</t>
  </si>
  <si>
    <t>0936</t>
  </si>
  <si>
    <t>0937</t>
  </si>
  <si>
    <t>R/O 30/20 RST Style</t>
  </si>
  <si>
    <t>0938</t>
  </si>
  <si>
    <t>R/O 20/18 RST Style</t>
  </si>
  <si>
    <t>0919-2</t>
  </si>
  <si>
    <t>0946</t>
  </si>
  <si>
    <t>FL8C 8 Yd Front Loaders (5)</t>
  </si>
  <si>
    <t>0947</t>
  </si>
  <si>
    <t>FL3 3Yd Front Loaders (5)</t>
  </si>
  <si>
    <t>0948</t>
  </si>
  <si>
    <t>FL4 4Yd Front Loaders (6)</t>
  </si>
  <si>
    <t>0950</t>
  </si>
  <si>
    <t>0951</t>
  </si>
  <si>
    <t>0961</t>
  </si>
  <si>
    <t>0963</t>
  </si>
  <si>
    <t>Toters 476-64Gal &amp; 100 96Gal</t>
  </si>
  <si>
    <t>0965</t>
  </si>
  <si>
    <t>0970</t>
  </si>
  <si>
    <t>0971</t>
  </si>
  <si>
    <t>0972</t>
  </si>
  <si>
    <t>0974</t>
  </si>
  <si>
    <t>0975</t>
  </si>
  <si>
    <t>R/O 30/20B Bath Tub Style</t>
  </si>
  <si>
    <t>0984</t>
  </si>
  <si>
    <t>Toters 250-32Gal &amp; 234 64Gal</t>
  </si>
  <si>
    <t>1010</t>
  </si>
  <si>
    <t>Toters 208-96Gal</t>
  </si>
  <si>
    <t>1015</t>
  </si>
  <si>
    <t>1016</t>
  </si>
  <si>
    <t>R/O 40/20 RST Style</t>
  </si>
  <si>
    <t>1062</t>
  </si>
  <si>
    <t>1064</t>
  </si>
  <si>
    <t>1071</t>
  </si>
  <si>
    <t>R/O 30/20 RST Style (3)</t>
  </si>
  <si>
    <t>1072</t>
  </si>
  <si>
    <t>Container Refurbs (70)</t>
  </si>
  <si>
    <t>1081</t>
  </si>
  <si>
    <t>Container Refurbs (7)</t>
  </si>
  <si>
    <t>1083</t>
  </si>
  <si>
    <t>1084</t>
  </si>
  <si>
    <t>1089</t>
  </si>
  <si>
    <t>1095</t>
  </si>
  <si>
    <t>Container Refurbs (24)</t>
  </si>
  <si>
    <t>1101</t>
  </si>
  <si>
    <t>Container Refurbs</t>
  </si>
  <si>
    <t>1103</t>
  </si>
  <si>
    <t>Container Refurbs (26)</t>
  </si>
  <si>
    <t>1109</t>
  </si>
  <si>
    <t>R/O 40/20 RST Style (3)</t>
  </si>
  <si>
    <t>1110</t>
  </si>
  <si>
    <t>R/O 20/18 RST Style (2)</t>
  </si>
  <si>
    <t>1114</t>
  </si>
  <si>
    <t>Toters 432-64Gal - Gray</t>
  </si>
  <si>
    <t>1128</t>
  </si>
  <si>
    <t>1132</t>
  </si>
  <si>
    <t>Container Refurbs (5)</t>
  </si>
  <si>
    <t>1134</t>
  </si>
  <si>
    <t>FL1 1Yd Front Loaders (6)</t>
  </si>
  <si>
    <t>1135</t>
  </si>
  <si>
    <t>FL2 2Yd Front Loaders (6)</t>
  </si>
  <si>
    <t>FL4 4Yd Front Loaders (11)</t>
  </si>
  <si>
    <t>1150</t>
  </si>
  <si>
    <t>Toters 475-35Gal - Graystone</t>
  </si>
  <si>
    <t>1152</t>
  </si>
  <si>
    <t>Toters 312-96Gal - Graystone</t>
  </si>
  <si>
    <t>1098</t>
  </si>
  <si>
    <t>Bace SC30 Compactor - At Keystone</t>
  </si>
  <si>
    <t>Trucks:</t>
  </si>
  <si>
    <t>Containers:</t>
  </si>
  <si>
    <t>Computers</t>
  </si>
  <si>
    <t>898</t>
  </si>
  <si>
    <t>Server 2012 Remote Desktop-20 Licenses</t>
  </si>
  <si>
    <t>1090</t>
  </si>
  <si>
    <t>Microsoft SQL Server License</t>
  </si>
  <si>
    <t>Software</t>
  </si>
  <si>
    <t>1024</t>
  </si>
  <si>
    <t>Time Clock Plus Web Edition 3.0</t>
  </si>
  <si>
    <t>1121</t>
  </si>
  <si>
    <t>Core Web Portal Development</t>
  </si>
  <si>
    <t>Service Vehicles</t>
  </si>
  <si>
    <t>2001 Ford F 250</t>
  </si>
  <si>
    <t>2016 GMC Yukon XL</t>
  </si>
  <si>
    <t>Furniture &amp; Fixtures</t>
  </si>
  <si>
    <t>716</t>
  </si>
  <si>
    <t>Davis Office Firniture - Accounting</t>
  </si>
  <si>
    <t>844</t>
  </si>
  <si>
    <t>Lanier LD525C Copier</t>
  </si>
  <si>
    <t>983</t>
  </si>
  <si>
    <t>Argonne Furniture</t>
  </si>
  <si>
    <t>1023</t>
  </si>
  <si>
    <t>Time Clock - Boi RDT Touch 400</t>
  </si>
  <si>
    <t>1116</t>
  </si>
  <si>
    <t>Koycera 3551 ci Color Copier</t>
  </si>
  <si>
    <t>1145</t>
  </si>
  <si>
    <t>Black Box Phone System</t>
  </si>
  <si>
    <t>Leasehold Improvements</t>
  </si>
  <si>
    <t>235</t>
  </si>
  <si>
    <t>Truck Yard Power</t>
  </si>
  <si>
    <t>692</t>
  </si>
  <si>
    <t>Shop Lights</t>
  </si>
  <si>
    <t>Phone Sytem Cabling -SV</t>
  </si>
  <si>
    <t>740</t>
  </si>
  <si>
    <t>Office Remodel - SV</t>
  </si>
  <si>
    <t>782</t>
  </si>
  <si>
    <t>Lighting Upgrade - AWH</t>
  </si>
  <si>
    <t>861</t>
  </si>
  <si>
    <t>Lighting Upgrade - SV</t>
  </si>
  <si>
    <t>982</t>
  </si>
  <si>
    <t>Argonne Office Buildout</t>
  </si>
  <si>
    <t>Total Investment: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</si>
</sst>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_(* #,##0.00_);_(* \(#,##0.00\);_(* &quot;-&quot;_);_(@_)"/>
    <numFmt numFmtId="167" formatCode="_(* #,##0.00_);_(* \(\ #,##0.00\ \);_(* &quot;-&quot;??_);_(\ @_ \)"/>
    <numFmt numFmtId="168" formatCode="&quot; $&quot;#,##0.00&quot; &quot;;&quot; $(&quot;#,##0.00&quot;)&quot;;&quot; $-&quot;#&quot; &quot;;@&quot; &quot;"/>
    <numFmt numFmtId="169" formatCode="[$-409]General"/>
    <numFmt numFmtId="170" formatCode="#,###,##0.00;\(#,###,##0.00\)"/>
    <numFmt numFmtId="171" formatCode="&quot;$&quot;#,###,##0.00;\(&quot;$&quot;#,###,##0.00\)"/>
    <numFmt numFmtId="172" formatCode="#,##0.00%;\(#,##0.00%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1"/>
      <name val="Bookman Old Style"/>
      <family val="1"/>
    </font>
    <font>
      <sz val="11"/>
      <color indexed="10"/>
      <name val="Bookman Old Style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ahoma"/>
      <family val="2"/>
    </font>
    <font>
      <sz val="8"/>
      <name val="Tms Rmn"/>
    </font>
    <font>
      <sz val="9"/>
      <name val="Segoe UI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sz val="8.85"/>
      <color rgb="FF000000"/>
      <name val="Arial"/>
      <family val="2"/>
    </font>
    <font>
      <b/>
      <i/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1"/>
      <color indexed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8">
    <xf numFmtId="0" fontId="0" fillId="0" borderId="0"/>
    <xf numFmtId="40" fontId="2" fillId="0" borderId="0"/>
    <xf numFmtId="38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0" fillId="0" borderId="0"/>
    <xf numFmtId="169" fontId="20" fillId="0" borderId="0"/>
    <xf numFmtId="170" fontId="21" fillId="0" borderId="0"/>
    <xf numFmtId="170" fontId="22" fillId="0" borderId="0"/>
    <xf numFmtId="170" fontId="22" fillId="0" borderId="0"/>
    <xf numFmtId="170" fontId="23" fillId="0" borderId="0"/>
    <xf numFmtId="171" fontId="23" fillId="0" borderId="0"/>
    <xf numFmtId="171" fontId="22" fillId="0" borderId="0"/>
    <xf numFmtId="172" fontId="23" fillId="0" borderId="0"/>
    <xf numFmtId="172" fontId="22" fillId="0" borderId="0"/>
    <xf numFmtId="0" fontId="1" fillId="0" borderId="0"/>
    <xf numFmtId="0" fontId="23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23" fillId="0" borderId="0"/>
    <xf numFmtId="0" fontId="19" fillId="0" borderId="0"/>
    <xf numFmtId="0" fontId="15" fillId="0" borderId="0"/>
    <xf numFmtId="0" fontId="1" fillId="0" borderId="0"/>
    <xf numFmtId="0" fontId="16" fillId="0" borderId="0">
      <alignment vertical="center"/>
    </xf>
    <xf numFmtId="0" fontId="1" fillId="0" borderId="0"/>
    <xf numFmtId="0" fontId="24" fillId="0" borderId="0" applyAlignment="0"/>
    <xf numFmtId="0" fontId="23" fillId="0" borderId="0"/>
    <xf numFmtId="0" fontId="20" fillId="0" borderId="0" applyAlignment="0"/>
    <xf numFmtId="0" fontId="1" fillId="0" borderId="0"/>
    <xf numFmtId="0" fontId="9" fillId="0" borderId="0">
      <alignment vertical="top"/>
    </xf>
    <xf numFmtId="0" fontId="1" fillId="0" borderId="0"/>
    <xf numFmtId="0" fontId="22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6" fillId="0" borderId="0"/>
    <xf numFmtId="0" fontId="27" fillId="0" borderId="0"/>
  </cellStyleXfs>
  <cellXfs count="51">
    <xf numFmtId="0" fontId="0" fillId="0" borderId="0" xfId="0"/>
    <xf numFmtId="40" fontId="2" fillId="0" borderId="0" xfId="1" applyFill="1" applyAlignment="1">
      <alignment horizontal="left"/>
    </xf>
    <xf numFmtId="38" fontId="3" fillId="0" borderId="0" xfId="2" applyFont="1" applyFill="1" applyAlignment="1">
      <alignment horizontal="left"/>
    </xf>
    <xf numFmtId="40" fontId="2" fillId="0" borderId="0" xfId="1" applyFill="1"/>
    <xf numFmtId="38" fontId="2" fillId="0" borderId="0" xfId="1" applyNumberFormat="1" applyFill="1"/>
    <xf numFmtId="38" fontId="4" fillId="0" borderId="0" xfId="2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38" fontId="5" fillId="0" borderId="0" xfId="2" applyFont="1" applyFill="1" applyAlignment="1">
      <alignment horizontal="center"/>
    </xf>
    <xf numFmtId="40" fontId="6" fillId="0" borderId="0" xfId="1" applyFont="1" applyFill="1" applyAlignment="1">
      <alignment horizontal="left"/>
    </xf>
    <xf numFmtId="40" fontId="7" fillId="0" borderId="0" xfId="1" applyFont="1" applyFill="1"/>
    <xf numFmtId="164" fontId="2" fillId="0" borderId="0" xfId="3" applyNumberFormat="1" applyFont="1" applyFill="1"/>
    <xf numFmtId="40" fontId="8" fillId="0" borderId="0" xfId="1" applyFont="1" applyFill="1"/>
    <xf numFmtId="0" fontId="9" fillId="0" borderId="0" xfId="4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left"/>
    </xf>
    <xf numFmtId="164" fontId="6" fillId="0" borderId="0" xfId="3" applyNumberFormat="1" applyFont="1" applyFill="1"/>
    <xf numFmtId="0" fontId="0" fillId="0" borderId="0" xfId="4" applyNumberFormat="1" applyFont="1" applyFill="1"/>
    <xf numFmtId="40" fontId="2" fillId="0" borderId="0" xfId="1" applyFill="1" applyAlignment="1">
      <alignment horizontal="center"/>
    </xf>
    <xf numFmtId="38" fontId="2" fillId="0" borderId="0" xfId="1" applyNumberFormat="1" applyFill="1" applyAlignment="1">
      <alignment horizontal="center"/>
    </xf>
    <xf numFmtId="164" fontId="2" fillId="0" borderId="0" xfId="3" applyNumberFormat="1" applyFont="1" applyFill="1" applyAlignment="1">
      <alignment horizontal="center"/>
    </xf>
    <xf numFmtId="40" fontId="8" fillId="0" borderId="0" xfId="1" applyFont="1" applyFill="1" applyAlignment="1">
      <alignment horizontal="center"/>
    </xf>
    <xf numFmtId="165" fontId="2" fillId="0" borderId="0" xfId="1" quotePrefix="1" applyNumberFormat="1" applyFill="1" applyAlignment="1">
      <alignment horizontal="center"/>
    </xf>
    <xf numFmtId="40" fontId="2" fillId="0" borderId="0" xfId="1" applyFill="1" applyAlignment="1">
      <alignment horizontal="fill"/>
    </xf>
    <xf numFmtId="38" fontId="2" fillId="0" borderId="0" xfId="1" applyNumberFormat="1" applyFill="1" applyAlignment="1">
      <alignment horizontal="fill"/>
    </xf>
    <xf numFmtId="164" fontId="2" fillId="0" borderId="0" xfId="3" applyNumberFormat="1" applyFont="1" applyFill="1" applyAlignment="1">
      <alignment horizontal="fill"/>
    </xf>
    <xf numFmtId="40" fontId="8" fillId="0" borderId="0" xfId="1" applyFont="1" applyFill="1" applyAlignment="1">
      <alignment horizontal="fill"/>
    </xf>
    <xf numFmtId="40" fontId="10" fillId="0" borderId="0" xfId="1" applyFont="1" applyFill="1"/>
    <xf numFmtId="38" fontId="0" fillId="0" borderId="0" xfId="4" applyNumberFormat="1" applyFont="1" applyFill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0" fillId="0" borderId="0" xfId="4" applyNumberFormat="1" applyFont="1" applyFill="1" applyAlignment="1">
      <alignment horizontal="center"/>
    </xf>
    <xf numFmtId="9" fontId="2" fillId="0" borderId="0" xfId="1" applyNumberFormat="1" applyFill="1"/>
    <xf numFmtId="164" fontId="9" fillId="0" borderId="0" xfId="3" applyNumberFormat="1" applyFont="1" applyFill="1"/>
    <xf numFmtId="38" fontId="8" fillId="0" borderId="0" xfId="1" applyNumberFormat="1" applyFont="1" applyFill="1"/>
    <xf numFmtId="166" fontId="2" fillId="0" borderId="0" xfId="1" applyNumberFormat="1" applyFill="1"/>
    <xf numFmtId="41" fontId="2" fillId="0" borderId="0" xfId="1" applyNumberFormat="1" applyFill="1"/>
    <xf numFmtId="10" fontId="2" fillId="0" borderId="0" xfId="1" applyNumberFormat="1" applyFill="1"/>
    <xf numFmtId="1" fontId="2" fillId="0" borderId="0" xfId="1" applyNumberFormat="1" applyFill="1"/>
    <xf numFmtId="0" fontId="5" fillId="0" borderId="0" xfId="5" applyFont="1" applyFill="1" applyBorder="1" applyAlignment="1">
      <alignment horizontal="center"/>
    </xf>
    <xf numFmtId="49" fontId="1" fillId="0" borderId="0" xfId="5" applyNumberFormat="1" applyFill="1"/>
    <xf numFmtId="38" fontId="1" fillId="0" borderId="0" xfId="5" applyNumberFormat="1" applyFill="1" applyAlignment="1">
      <alignment horizontal="center"/>
    </xf>
    <xf numFmtId="2" fontId="11" fillId="0" borderId="0" xfId="5" applyNumberFormat="1" applyFont="1" applyFill="1"/>
    <xf numFmtId="49" fontId="2" fillId="0" borderId="0" xfId="1" applyNumberFormat="1" applyFill="1"/>
    <xf numFmtId="49" fontId="1" fillId="0" borderId="0" xfId="5" applyNumberFormat="1" applyFill="1" applyAlignment="1">
      <alignment horizontal="center"/>
    </xf>
    <xf numFmtId="164" fontId="0" fillId="0" borderId="0" xfId="3" applyNumberFormat="1" applyFont="1" applyFill="1"/>
    <xf numFmtId="49" fontId="2" fillId="0" borderId="0" xfId="1" quotePrefix="1" applyNumberFormat="1" applyFill="1"/>
    <xf numFmtId="0" fontId="1" fillId="0" borderId="0" xfId="5" applyNumberFormat="1" applyFill="1" applyAlignment="1">
      <alignment horizontal="center"/>
    </xf>
    <xf numFmtId="40" fontId="2" fillId="0" borderId="0" xfId="1" quotePrefix="1" applyFill="1"/>
    <xf numFmtId="1" fontId="1" fillId="0" borderId="0" xfId="5" applyNumberFormat="1" applyFill="1" applyAlignment="1">
      <alignment horizontal="center"/>
    </xf>
    <xf numFmtId="38" fontId="1" fillId="0" borderId="0" xfId="5" applyNumberFormat="1" applyFill="1"/>
    <xf numFmtId="2" fontId="1" fillId="0" borderId="0" xfId="5" applyNumberFormat="1" applyFill="1"/>
    <xf numFmtId="40" fontId="2" fillId="0" borderId="0" xfId="1" applyFill="1" applyAlignment="1">
      <alignment horizontal="right"/>
    </xf>
    <xf numFmtId="49" fontId="0" fillId="0" borderId="0" xfId="5" applyNumberFormat="1" applyFont="1" applyFill="1"/>
  </cellXfs>
  <cellStyles count="78">
    <cellStyle name="Comma 10" xfId="6"/>
    <cellStyle name="Comma 11" xfId="7"/>
    <cellStyle name="Comma 12" xfId="8"/>
    <cellStyle name="Comma 13" xfId="9"/>
    <cellStyle name="Comma 14" xfId="10"/>
    <cellStyle name="Comma 2" xfId="11"/>
    <cellStyle name="Comma 2 2" xfId="12"/>
    <cellStyle name="Comma 3" xfId="13"/>
    <cellStyle name="Comma 3 2" xfId="14"/>
    <cellStyle name="Comma 4" xfId="15"/>
    <cellStyle name="Comma 4 2" xfId="16"/>
    <cellStyle name="Comma 5" xfId="17"/>
    <cellStyle name="Comma 6" xfId="18"/>
    <cellStyle name="Comma 7" xfId="19"/>
    <cellStyle name="Comma 8" xfId="20"/>
    <cellStyle name="Comma 8 2" xfId="3"/>
    <cellStyle name="Comma 9" xfId="21"/>
    <cellStyle name="Currency 2" xfId="4"/>
    <cellStyle name="Currency 2 3" xfId="22"/>
    <cellStyle name="Currency 3" xfId="23"/>
    <cellStyle name="Currency 5" xfId="24"/>
    <cellStyle name="Excel Built-in Currency" xfId="25"/>
    <cellStyle name="Excel Built-in Normal" xfId="26"/>
    <cellStyle name="FRxAmtStyle" xfId="27"/>
    <cellStyle name="FRxAmtStyle 2" xfId="28"/>
    <cellStyle name="FRxAmtStyle 3" xfId="29"/>
    <cellStyle name="FRxAmtStyle 4" xfId="30"/>
    <cellStyle name="FRxCurrStyle" xfId="31"/>
    <cellStyle name="FRxCurrStyle 2" xfId="32"/>
    <cellStyle name="FRxPcntStyle" xfId="33"/>
    <cellStyle name="FRxPcntStyle 2" xfId="34"/>
    <cellStyle name="Normal" xfId="0" builtinId="0"/>
    <cellStyle name="Normal 10" xfId="35"/>
    <cellStyle name="Normal 11" xfId="36"/>
    <cellStyle name="Normal 12" xfId="37"/>
    <cellStyle name="Normal 12 2" xfId="5"/>
    <cellStyle name="Normal 13" xfId="38"/>
    <cellStyle name="Normal 13 2" xfId="39"/>
    <cellStyle name="Normal 14" xfId="40"/>
    <cellStyle name="Normal 15" xfId="41"/>
    <cellStyle name="Normal 16" xfId="42"/>
    <cellStyle name="Normal 17" xfId="43"/>
    <cellStyle name="Normal 18" xfId="44"/>
    <cellStyle name="Normal 19" xfId="45"/>
    <cellStyle name="Normal 2" xfId="46"/>
    <cellStyle name="Normal 2 2" xfId="47"/>
    <cellStyle name="Normal 2 3" xfId="1"/>
    <cellStyle name="Normal 2 4" xfId="48"/>
    <cellStyle name="Normal 3" xfId="49"/>
    <cellStyle name="Normal 3 2" xfId="50"/>
    <cellStyle name="Normal 4" xfId="51"/>
    <cellStyle name="Normal 4 2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Normal_A" xfId="2"/>
    <cellStyle name="Percent 10" xfId="59"/>
    <cellStyle name="Percent 2" xfId="60"/>
    <cellStyle name="Percent 2 2" xfId="61"/>
    <cellStyle name="Percent 3" xfId="62"/>
    <cellStyle name="Percent 3 2" xfId="63"/>
    <cellStyle name="Percent 4" xfId="64"/>
    <cellStyle name="Percent 4 2" xfId="65"/>
    <cellStyle name="Percent 5" xfId="66"/>
    <cellStyle name="Percent 6" xfId="67"/>
    <cellStyle name="Percent 7" xfId="68"/>
    <cellStyle name="Percent 8" xfId="69"/>
    <cellStyle name="Percent 9" xfId="70"/>
    <cellStyle name="STYLE1" xfId="71"/>
    <cellStyle name="STYLE1 2" xfId="72"/>
    <cellStyle name="STYLE2" xfId="73"/>
    <cellStyle name="STYLE2 2" xfId="74"/>
    <cellStyle name="STYLE3" xfId="75"/>
    <cellStyle name="STYLE3 2" xfId="76"/>
    <cellStyle name="STYLE4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Wes%207-1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ristak\Local%20Settings\Temporary%20Internet%20Files\Content.Outlook\QRFHZ3PS\Addy%20Rates%2020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Adjustments"/>
      <sheetName val="Revenue Summary"/>
      <sheetName val="Price Out"/>
      <sheetName val="Rev Detail"/>
      <sheetName val="Disposal"/>
      <sheetName val="Lurito"/>
      <sheetName val="Depreciation"/>
      <sheetName val="Medical"/>
      <sheetName val="Account Summary - "/>
      <sheetName val="Labor Allocation"/>
      <sheetName val="Pay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ge"/>
      <sheetName val="Disposal"/>
      <sheetName val="Lurito"/>
      <sheetName val="Pro Forma"/>
      <sheetName val="Commercial"/>
      <sheetName val="Residential"/>
      <sheetName val="Res Detai"/>
      <sheetName val="Comm Priceout"/>
      <sheetName val="Trf Rev in Comm"/>
      <sheetName val="Comm Detai"/>
      <sheetName val="RevenueSum"/>
      <sheetName val="Revenue Trans"/>
      <sheetName val="Container Counts"/>
      <sheetName val="Fuel"/>
      <sheetName val="RAs"/>
      <sheetName val="Customer Allocation"/>
      <sheetName val="List of Non-Regulated Operation"/>
      <sheetName val="Debt&amp;Equity and Balance Sheets"/>
    </sheetNames>
    <sheetDataSet>
      <sheetData sheetId="0"/>
      <sheetData sheetId="1"/>
      <sheetData sheetId="2">
        <row r="1">
          <cell r="B1" t="str">
            <v>NEW IMPROVED LURITO - GALLAGHER FORMULA</v>
          </cell>
        </row>
        <row r="3">
          <cell r="C3" t="str">
            <v>Revenue Requirement</v>
          </cell>
          <cell r="E3">
            <v>2324266.2010828978</v>
          </cell>
          <cell r="F3" t="str">
            <v>!!!&lt;--</v>
          </cell>
        </row>
        <row r="4">
          <cell r="C4" t="str">
            <v>Revenue Deficiency</v>
          </cell>
          <cell r="E4">
            <v>462602.12570515351</v>
          </cell>
          <cell r="F4" t="str">
            <v>!!!&lt;--</v>
          </cell>
          <cell r="G4">
            <v>0.24848850650528262</v>
          </cell>
        </row>
        <row r="5">
          <cell r="C5" t="str">
            <v>Revenue</v>
          </cell>
          <cell r="D5" t="str">
            <v>-</v>
          </cell>
          <cell r="E5">
            <v>1861664.0753777442</v>
          </cell>
          <cell r="F5" t="str">
            <v>* p/f before rates</v>
          </cell>
        </row>
        <row r="6">
          <cell r="C6" t="str">
            <v>Expenses</v>
          </cell>
          <cell r="D6" t="str">
            <v>-</v>
          </cell>
          <cell r="E6">
            <v>2169156.1242576973</v>
          </cell>
          <cell r="F6" t="str">
            <v>* p/f before rates</v>
          </cell>
        </row>
        <row r="7">
          <cell r="C7" t="str">
            <v>Avg. Investment  -</v>
          </cell>
          <cell r="E7">
            <v>494485.83126354823</v>
          </cell>
          <cell r="F7" t="str">
            <v>* p/f before rates</v>
          </cell>
        </row>
        <row r="8">
          <cell r="C8" t="str">
            <v>curve turnover</v>
          </cell>
          <cell r="E8">
            <v>548.33626848187509</v>
          </cell>
          <cell r="F8" t="str">
            <v>(calculated)</v>
          </cell>
        </row>
        <row r="9">
          <cell r="C9" t="str">
            <v>final turnover</v>
          </cell>
          <cell r="E9">
            <v>468.18975461525287</v>
          </cell>
          <cell r="F9" t="str">
            <v>(calculated)</v>
          </cell>
        </row>
        <row r="10">
          <cell r="C10" t="str">
            <v>curve No. used</v>
          </cell>
          <cell r="E10">
            <v>4</v>
          </cell>
          <cell r="F10" t="str">
            <v>(calculated)</v>
          </cell>
        </row>
        <row r="12">
          <cell r="C12" t="str">
            <v xml:space="preserve">Company actual </v>
          </cell>
        </row>
        <row r="13">
          <cell r="C13" t="str">
            <v>capital structure:</v>
          </cell>
          <cell r="E13" t="str">
            <v>!!!</v>
          </cell>
          <cell r="F13" t="str">
            <v>OPERATING RATIO -&gt;</v>
          </cell>
          <cell r="H13">
            <v>93.694705435283993</v>
          </cell>
        </row>
        <row r="14">
          <cell r="C14" t="str">
            <v>-</v>
          </cell>
          <cell r="D14" t="str">
            <v>-</v>
          </cell>
          <cell r="H14" t="str">
            <v>=</v>
          </cell>
        </row>
        <row r="15">
          <cell r="C15" t="str">
            <v xml:space="preserve">Actual Debt Ratio </v>
          </cell>
          <cell r="E15">
            <v>0.40326626851304925</v>
          </cell>
          <cell r="F15" t="str">
            <v xml:space="preserve"> Conversion factor data:</v>
          </cell>
        </row>
        <row r="16">
          <cell r="C16" t="str">
            <v>Actual Equity Ratio</v>
          </cell>
          <cell r="E16">
            <v>0.59673373148695075</v>
          </cell>
          <cell r="F16" t="str">
            <v xml:space="preserve"> B &amp; O Tax</v>
          </cell>
          <cell r="H16">
            <v>1.4500231415374326E-2</v>
          </cell>
        </row>
        <row r="17">
          <cell r="C17" t="str">
            <v>Actual Cost of Debt</v>
          </cell>
          <cell r="E17">
            <v>3.3937114863918212E-2</v>
          </cell>
          <cell r="F17" t="str">
            <v xml:space="preserve"> WUTC Fee</v>
          </cell>
          <cell r="H17">
            <v>4.0000000000000001E-3</v>
          </cell>
        </row>
        <row r="18">
          <cell r="F18" t="str">
            <v xml:space="preserve"> City Tax</v>
          </cell>
          <cell r="H18">
            <v>0</v>
          </cell>
        </row>
        <row r="19">
          <cell r="C19" t="str">
            <v>Tax Rate</v>
          </cell>
          <cell r="E19">
            <v>0.34</v>
          </cell>
          <cell r="F19" t="str">
            <v xml:space="preserve"> Bad Debts</v>
          </cell>
        </row>
        <row r="20">
          <cell r="H20" t="str">
            <v>-</v>
          </cell>
        </row>
        <row r="21">
          <cell r="F21" t="str">
            <v>Revenue Sensitive</v>
          </cell>
          <cell r="H21">
            <v>1.8500231415374324E-2</v>
          </cell>
        </row>
        <row r="22">
          <cell r="F22" t="str">
            <v>Conversion Factor</v>
          </cell>
          <cell r="H22">
            <v>0.9184468229374656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18"/>
  <sheetViews>
    <sheetView tabSelected="1" zoomScale="80" zoomScaleNormal="80" workbookViewId="0">
      <pane xSplit="2" ySplit="11" topLeftCell="C178" activePane="bottomRight" state="frozen"/>
      <selection pane="topRight" activeCell="C1" sqref="C1"/>
      <selection pane="bottomLeft" activeCell="A12" sqref="A12"/>
      <selection pane="bottomRight" activeCell="D10" sqref="D10"/>
    </sheetView>
  </sheetViews>
  <sheetFormatPr defaultRowHeight="15" x14ac:dyDescent="0.25"/>
  <cols>
    <col min="1" max="1" width="11" style="3" customWidth="1"/>
    <col min="2" max="2" width="40.7109375" style="3" customWidth="1"/>
    <col min="3" max="3" width="11.42578125" style="3" bestFit="1" customWidth="1"/>
    <col min="4" max="4" width="4.42578125" style="4" bestFit="1" customWidth="1"/>
    <col min="5" max="5" width="9.42578125" style="3" bestFit="1" customWidth="1"/>
    <col min="6" max="6" width="9.28515625" style="3" bestFit="1" customWidth="1"/>
    <col min="7" max="7" width="5.28515625" style="3" bestFit="1" customWidth="1"/>
    <col min="8" max="8" width="9.140625" style="3"/>
    <col min="9" max="9" width="11.42578125" style="3" hidden="1" customWidth="1"/>
    <col min="10" max="10" width="10.7109375" style="3" hidden="1" customWidth="1"/>
    <col min="11" max="11" width="13.28515625" style="10" hidden="1" customWidth="1"/>
    <col min="12" max="12" width="13.7109375" style="11" customWidth="1"/>
    <col min="13" max="13" width="11.42578125" style="3" hidden="1" customWidth="1"/>
    <col min="14" max="14" width="12.85546875" style="11" customWidth="1"/>
    <col min="15" max="15" width="12.7109375" style="3" customWidth="1"/>
    <col min="16" max="16" width="13.7109375" style="3" hidden="1" customWidth="1"/>
    <col min="17" max="17" width="11.42578125" style="3" hidden="1" customWidth="1"/>
    <col min="18" max="19" width="11.42578125" style="3" customWidth="1"/>
    <col min="20" max="20" width="14.5703125" style="3" customWidth="1"/>
    <col min="21" max="21" width="15.28515625" style="3" hidden="1" customWidth="1"/>
    <col min="22" max="22" width="14.85546875" style="3" hidden="1" customWidth="1"/>
    <col min="23" max="23" width="11.42578125" style="3" hidden="1" customWidth="1"/>
    <col min="24" max="24" width="13" style="3" hidden="1" customWidth="1"/>
    <col min="25" max="25" width="20.7109375" style="3" bestFit="1" customWidth="1"/>
    <col min="26" max="26" width="13.5703125" style="3" bestFit="1" customWidth="1"/>
    <col min="27" max="27" width="9.7109375" style="3" customWidth="1"/>
    <col min="28" max="28" width="11.140625" style="3" bestFit="1" customWidth="1"/>
    <col min="29" max="29" width="9.7109375" style="3" customWidth="1"/>
    <col min="30" max="30" width="9.7109375" style="4" customWidth="1"/>
    <col min="31" max="31" width="9.7109375" style="3" customWidth="1"/>
    <col min="32" max="256" width="9.140625" style="3"/>
    <col min="257" max="257" width="38" style="3" customWidth="1"/>
    <col min="258" max="258" width="11.42578125" style="3" bestFit="1" customWidth="1"/>
    <col min="259" max="259" width="4.28515625" style="3" bestFit="1" customWidth="1"/>
    <col min="260" max="260" width="9.42578125" style="3" bestFit="1" customWidth="1"/>
    <col min="261" max="261" width="11.42578125" style="3" customWidth="1"/>
    <col min="262" max="264" width="9.140625" style="3"/>
    <col min="265" max="266" width="11.42578125" style="3" customWidth="1"/>
    <col min="267" max="267" width="13.7109375" style="3" customWidth="1"/>
    <col min="268" max="268" width="11.42578125" style="3" customWidth="1"/>
    <col min="269" max="269" width="12.85546875" style="3" customWidth="1"/>
    <col min="270" max="270" width="9.140625" style="3"/>
    <col min="271" max="271" width="13.7109375" style="3" customWidth="1"/>
    <col min="272" max="275" width="11.42578125" style="3" customWidth="1"/>
    <col min="276" max="276" width="9.140625" style="3"/>
    <col min="277" max="277" width="15.28515625" style="3" customWidth="1"/>
    <col min="278" max="278" width="14.85546875" style="3" customWidth="1"/>
    <col min="279" max="279" width="11.42578125" style="3" customWidth="1"/>
    <col min="280" max="280" width="13" style="3" customWidth="1"/>
    <col min="281" max="281" width="15" style="3" customWidth="1"/>
    <col min="282" max="282" width="14.7109375" style="3" customWidth="1"/>
    <col min="283" max="512" width="9.140625" style="3"/>
    <col min="513" max="513" width="38" style="3" customWidth="1"/>
    <col min="514" max="514" width="11.42578125" style="3" bestFit="1" customWidth="1"/>
    <col min="515" max="515" width="4.28515625" style="3" bestFit="1" customWidth="1"/>
    <col min="516" max="516" width="9.42578125" style="3" bestFit="1" customWidth="1"/>
    <col min="517" max="517" width="11.42578125" style="3" customWidth="1"/>
    <col min="518" max="520" width="9.140625" style="3"/>
    <col min="521" max="522" width="11.42578125" style="3" customWidth="1"/>
    <col min="523" max="523" width="13.7109375" style="3" customWidth="1"/>
    <col min="524" max="524" width="11.42578125" style="3" customWidth="1"/>
    <col min="525" max="525" width="12.85546875" style="3" customWidth="1"/>
    <col min="526" max="526" width="9.140625" style="3"/>
    <col min="527" max="527" width="13.7109375" style="3" customWidth="1"/>
    <col min="528" max="531" width="11.42578125" style="3" customWidth="1"/>
    <col min="532" max="532" width="9.140625" style="3"/>
    <col min="533" max="533" width="15.28515625" style="3" customWidth="1"/>
    <col min="534" max="534" width="14.85546875" style="3" customWidth="1"/>
    <col min="535" max="535" width="11.42578125" style="3" customWidth="1"/>
    <col min="536" max="536" width="13" style="3" customWidth="1"/>
    <col min="537" max="537" width="15" style="3" customWidth="1"/>
    <col min="538" max="538" width="14.7109375" style="3" customWidth="1"/>
    <col min="539" max="768" width="9.140625" style="3"/>
    <col min="769" max="769" width="38" style="3" customWidth="1"/>
    <col min="770" max="770" width="11.42578125" style="3" bestFit="1" customWidth="1"/>
    <col min="771" max="771" width="4.28515625" style="3" bestFit="1" customWidth="1"/>
    <col min="772" max="772" width="9.42578125" style="3" bestFit="1" customWidth="1"/>
    <col min="773" max="773" width="11.42578125" style="3" customWidth="1"/>
    <col min="774" max="776" width="9.140625" style="3"/>
    <col min="777" max="778" width="11.42578125" style="3" customWidth="1"/>
    <col min="779" max="779" width="13.7109375" style="3" customWidth="1"/>
    <col min="780" max="780" width="11.42578125" style="3" customWidth="1"/>
    <col min="781" max="781" width="12.85546875" style="3" customWidth="1"/>
    <col min="782" max="782" width="9.140625" style="3"/>
    <col min="783" max="783" width="13.7109375" style="3" customWidth="1"/>
    <col min="784" max="787" width="11.42578125" style="3" customWidth="1"/>
    <col min="788" max="788" width="9.140625" style="3"/>
    <col min="789" max="789" width="15.28515625" style="3" customWidth="1"/>
    <col min="790" max="790" width="14.85546875" style="3" customWidth="1"/>
    <col min="791" max="791" width="11.42578125" style="3" customWidth="1"/>
    <col min="792" max="792" width="13" style="3" customWidth="1"/>
    <col min="793" max="793" width="15" style="3" customWidth="1"/>
    <col min="794" max="794" width="14.7109375" style="3" customWidth="1"/>
    <col min="795" max="1024" width="9.140625" style="3"/>
    <col min="1025" max="1025" width="38" style="3" customWidth="1"/>
    <col min="1026" max="1026" width="11.42578125" style="3" bestFit="1" customWidth="1"/>
    <col min="1027" max="1027" width="4.28515625" style="3" bestFit="1" customWidth="1"/>
    <col min="1028" max="1028" width="9.42578125" style="3" bestFit="1" customWidth="1"/>
    <col min="1029" max="1029" width="11.42578125" style="3" customWidth="1"/>
    <col min="1030" max="1032" width="9.140625" style="3"/>
    <col min="1033" max="1034" width="11.42578125" style="3" customWidth="1"/>
    <col min="1035" max="1035" width="13.7109375" style="3" customWidth="1"/>
    <col min="1036" max="1036" width="11.42578125" style="3" customWidth="1"/>
    <col min="1037" max="1037" width="12.85546875" style="3" customWidth="1"/>
    <col min="1038" max="1038" width="9.140625" style="3"/>
    <col min="1039" max="1039" width="13.7109375" style="3" customWidth="1"/>
    <col min="1040" max="1043" width="11.42578125" style="3" customWidth="1"/>
    <col min="1044" max="1044" width="9.140625" style="3"/>
    <col min="1045" max="1045" width="15.28515625" style="3" customWidth="1"/>
    <col min="1046" max="1046" width="14.85546875" style="3" customWidth="1"/>
    <col min="1047" max="1047" width="11.42578125" style="3" customWidth="1"/>
    <col min="1048" max="1048" width="13" style="3" customWidth="1"/>
    <col min="1049" max="1049" width="15" style="3" customWidth="1"/>
    <col min="1050" max="1050" width="14.7109375" style="3" customWidth="1"/>
    <col min="1051" max="1280" width="9.140625" style="3"/>
    <col min="1281" max="1281" width="38" style="3" customWidth="1"/>
    <col min="1282" max="1282" width="11.42578125" style="3" bestFit="1" customWidth="1"/>
    <col min="1283" max="1283" width="4.28515625" style="3" bestFit="1" customWidth="1"/>
    <col min="1284" max="1284" width="9.42578125" style="3" bestFit="1" customWidth="1"/>
    <col min="1285" max="1285" width="11.42578125" style="3" customWidth="1"/>
    <col min="1286" max="1288" width="9.140625" style="3"/>
    <col min="1289" max="1290" width="11.42578125" style="3" customWidth="1"/>
    <col min="1291" max="1291" width="13.7109375" style="3" customWidth="1"/>
    <col min="1292" max="1292" width="11.42578125" style="3" customWidth="1"/>
    <col min="1293" max="1293" width="12.85546875" style="3" customWidth="1"/>
    <col min="1294" max="1294" width="9.140625" style="3"/>
    <col min="1295" max="1295" width="13.7109375" style="3" customWidth="1"/>
    <col min="1296" max="1299" width="11.42578125" style="3" customWidth="1"/>
    <col min="1300" max="1300" width="9.140625" style="3"/>
    <col min="1301" max="1301" width="15.28515625" style="3" customWidth="1"/>
    <col min="1302" max="1302" width="14.85546875" style="3" customWidth="1"/>
    <col min="1303" max="1303" width="11.42578125" style="3" customWidth="1"/>
    <col min="1304" max="1304" width="13" style="3" customWidth="1"/>
    <col min="1305" max="1305" width="15" style="3" customWidth="1"/>
    <col min="1306" max="1306" width="14.7109375" style="3" customWidth="1"/>
    <col min="1307" max="1536" width="9.140625" style="3"/>
    <col min="1537" max="1537" width="38" style="3" customWidth="1"/>
    <col min="1538" max="1538" width="11.42578125" style="3" bestFit="1" customWidth="1"/>
    <col min="1539" max="1539" width="4.28515625" style="3" bestFit="1" customWidth="1"/>
    <col min="1540" max="1540" width="9.42578125" style="3" bestFit="1" customWidth="1"/>
    <col min="1541" max="1541" width="11.42578125" style="3" customWidth="1"/>
    <col min="1542" max="1544" width="9.140625" style="3"/>
    <col min="1545" max="1546" width="11.42578125" style="3" customWidth="1"/>
    <col min="1547" max="1547" width="13.7109375" style="3" customWidth="1"/>
    <col min="1548" max="1548" width="11.42578125" style="3" customWidth="1"/>
    <col min="1549" max="1549" width="12.85546875" style="3" customWidth="1"/>
    <col min="1550" max="1550" width="9.140625" style="3"/>
    <col min="1551" max="1551" width="13.7109375" style="3" customWidth="1"/>
    <col min="1552" max="1555" width="11.42578125" style="3" customWidth="1"/>
    <col min="1556" max="1556" width="9.140625" style="3"/>
    <col min="1557" max="1557" width="15.28515625" style="3" customWidth="1"/>
    <col min="1558" max="1558" width="14.85546875" style="3" customWidth="1"/>
    <col min="1559" max="1559" width="11.42578125" style="3" customWidth="1"/>
    <col min="1560" max="1560" width="13" style="3" customWidth="1"/>
    <col min="1561" max="1561" width="15" style="3" customWidth="1"/>
    <col min="1562" max="1562" width="14.7109375" style="3" customWidth="1"/>
    <col min="1563" max="1792" width="9.140625" style="3"/>
    <col min="1793" max="1793" width="38" style="3" customWidth="1"/>
    <col min="1794" max="1794" width="11.42578125" style="3" bestFit="1" customWidth="1"/>
    <col min="1795" max="1795" width="4.28515625" style="3" bestFit="1" customWidth="1"/>
    <col min="1796" max="1796" width="9.42578125" style="3" bestFit="1" customWidth="1"/>
    <col min="1797" max="1797" width="11.42578125" style="3" customWidth="1"/>
    <col min="1798" max="1800" width="9.140625" style="3"/>
    <col min="1801" max="1802" width="11.42578125" style="3" customWidth="1"/>
    <col min="1803" max="1803" width="13.7109375" style="3" customWidth="1"/>
    <col min="1804" max="1804" width="11.42578125" style="3" customWidth="1"/>
    <col min="1805" max="1805" width="12.85546875" style="3" customWidth="1"/>
    <col min="1806" max="1806" width="9.140625" style="3"/>
    <col min="1807" max="1807" width="13.7109375" style="3" customWidth="1"/>
    <col min="1808" max="1811" width="11.42578125" style="3" customWidth="1"/>
    <col min="1812" max="1812" width="9.140625" style="3"/>
    <col min="1813" max="1813" width="15.28515625" style="3" customWidth="1"/>
    <col min="1814" max="1814" width="14.85546875" style="3" customWidth="1"/>
    <col min="1815" max="1815" width="11.42578125" style="3" customWidth="1"/>
    <col min="1816" max="1816" width="13" style="3" customWidth="1"/>
    <col min="1817" max="1817" width="15" style="3" customWidth="1"/>
    <col min="1818" max="1818" width="14.7109375" style="3" customWidth="1"/>
    <col min="1819" max="2048" width="9.140625" style="3"/>
    <col min="2049" max="2049" width="38" style="3" customWidth="1"/>
    <col min="2050" max="2050" width="11.42578125" style="3" bestFit="1" customWidth="1"/>
    <col min="2051" max="2051" width="4.28515625" style="3" bestFit="1" customWidth="1"/>
    <col min="2052" max="2052" width="9.42578125" style="3" bestFit="1" customWidth="1"/>
    <col min="2053" max="2053" width="11.42578125" style="3" customWidth="1"/>
    <col min="2054" max="2056" width="9.140625" style="3"/>
    <col min="2057" max="2058" width="11.42578125" style="3" customWidth="1"/>
    <col min="2059" max="2059" width="13.7109375" style="3" customWidth="1"/>
    <col min="2060" max="2060" width="11.42578125" style="3" customWidth="1"/>
    <col min="2061" max="2061" width="12.85546875" style="3" customWidth="1"/>
    <col min="2062" max="2062" width="9.140625" style="3"/>
    <col min="2063" max="2063" width="13.7109375" style="3" customWidth="1"/>
    <col min="2064" max="2067" width="11.42578125" style="3" customWidth="1"/>
    <col min="2068" max="2068" width="9.140625" style="3"/>
    <col min="2069" max="2069" width="15.28515625" style="3" customWidth="1"/>
    <col min="2070" max="2070" width="14.85546875" style="3" customWidth="1"/>
    <col min="2071" max="2071" width="11.42578125" style="3" customWidth="1"/>
    <col min="2072" max="2072" width="13" style="3" customWidth="1"/>
    <col min="2073" max="2073" width="15" style="3" customWidth="1"/>
    <col min="2074" max="2074" width="14.7109375" style="3" customWidth="1"/>
    <col min="2075" max="2304" width="9.140625" style="3"/>
    <col min="2305" max="2305" width="38" style="3" customWidth="1"/>
    <col min="2306" max="2306" width="11.42578125" style="3" bestFit="1" customWidth="1"/>
    <col min="2307" max="2307" width="4.28515625" style="3" bestFit="1" customWidth="1"/>
    <col min="2308" max="2308" width="9.42578125" style="3" bestFit="1" customWidth="1"/>
    <col min="2309" max="2309" width="11.42578125" style="3" customWidth="1"/>
    <col min="2310" max="2312" width="9.140625" style="3"/>
    <col min="2313" max="2314" width="11.42578125" style="3" customWidth="1"/>
    <col min="2315" max="2315" width="13.7109375" style="3" customWidth="1"/>
    <col min="2316" max="2316" width="11.42578125" style="3" customWidth="1"/>
    <col min="2317" max="2317" width="12.85546875" style="3" customWidth="1"/>
    <col min="2318" max="2318" width="9.140625" style="3"/>
    <col min="2319" max="2319" width="13.7109375" style="3" customWidth="1"/>
    <col min="2320" max="2323" width="11.42578125" style="3" customWidth="1"/>
    <col min="2324" max="2324" width="9.140625" style="3"/>
    <col min="2325" max="2325" width="15.28515625" style="3" customWidth="1"/>
    <col min="2326" max="2326" width="14.85546875" style="3" customWidth="1"/>
    <col min="2327" max="2327" width="11.42578125" style="3" customWidth="1"/>
    <col min="2328" max="2328" width="13" style="3" customWidth="1"/>
    <col min="2329" max="2329" width="15" style="3" customWidth="1"/>
    <col min="2330" max="2330" width="14.7109375" style="3" customWidth="1"/>
    <col min="2331" max="2560" width="9.140625" style="3"/>
    <col min="2561" max="2561" width="38" style="3" customWidth="1"/>
    <col min="2562" max="2562" width="11.42578125" style="3" bestFit="1" customWidth="1"/>
    <col min="2563" max="2563" width="4.28515625" style="3" bestFit="1" customWidth="1"/>
    <col min="2564" max="2564" width="9.42578125" style="3" bestFit="1" customWidth="1"/>
    <col min="2565" max="2565" width="11.42578125" style="3" customWidth="1"/>
    <col min="2566" max="2568" width="9.140625" style="3"/>
    <col min="2569" max="2570" width="11.42578125" style="3" customWidth="1"/>
    <col min="2571" max="2571" width="13.7109375" style="3" customWidth="1"/>
    <col min="2572" max="2572" width="11.42578125" style="3" customWidth="1"/>
    <col min="2573" max="2573" width="12.85546875" style="3" customWidth="1"/>
    <col min="2574" max="2574" width="9.140625" style="3"/>
    <col min="2575" max="2575" width="13.7109375" style="3" customWidth="1"/>
    <col min="2576" max="2579" width="11.42578125" style="3" customWidth="1"/>
    <col min="2580" max="2580" width="9.140625" style="3"/>
    <col min="2581" max="2581" width="15.28515625" style="3" customWidth="1"/>
    <col min="2582" max="2582" width="14.85546875" style="3" customWidth="1"/>
    <col min="2583" max="2583" width="11.42578125" style="3" customWidth="1"/>
    <col min="2584" max="2584" width="13" style="3" customWidth="1"/>
    <col min="2585" max="2585" width="15" style="3" customWidth="1"/>
    <col min="2586" max="2586" width="14.7109375" style="3" customWidth="1"/>
    <col min="2587" max="2816" width="9.140625" style="3"/>
    <col min="2817" max="2817" width="38" style="3" customWidth="1"/>
    <col min="2818" max="2818" width="11.42578125" style="3" bestFit="1" customWidth="1"/>
    <col min="2819" max="2819" width="4.28515625" style="3" bestFit="1" customWidth="1"/>
    <col min="2820" max="2820" width="9.42578125" style="3" bestFit="1" customWidth="1"/>
    <col min="2821" max="2821" width="11.42578125" style="3" customWidth="1"/>
    <col min="2822" max="2824" width="9.140625" style="3"/>
    <col min="2825" max="2826" width="11.42578125" style="3" customWidth="1"/>
    <col min="2827" max="2827" width="13.7109375" style="3" customWidth="1"/>
    <col min="2828" max="2828" width="11.42578125" style="3" customWidth="1"/>
    <col min="2829" max="2829" width="12.85546875" style="3" customWidth="1"/>
    <col min="2830" max="2830" width="9.140625" style="3"/>
    <col min="2831" max="2831" width="13.7109375" style="3" customWidth="1"/>
    <col min="2832" max="2835" width="11.42578125" style="3" customWidth="1"/>
    <col min="2836" max="2836" width="9.140625" style="3"/>
    <col min="2837" max="2837" width="15.28515625" style="3" customWidth="1"/>
    <col min="2838" max="2838" width="14.85546875" style="3" customWidth="1"/>
    <col min="2839" max="2839" width="11.42578125" style="3" customWidth="1"/>
    <col min="2840" max="2840" width="13" style="3" customWidth="1"/>
    <col min="2841" max="2841" width="15" style="3" customWidth="1"/>
    <col min="2842" max="2842" width="14.7109375" style="3" customWidth="1"/>
    <col min="2843" max="3072" width="9.140625" style="3"/>
    <col min="3073" max="3073" width="38" style="3" customWidth="1"/>
    <col min="3074" max="3074" width="11.42578125" style="3" bestFit="1" customWidth="1"/>
    <col min="3075" max="3075" width="4.28515625" style="3" bestFit="1" customWidth="1"/>
    <col min="3076" max="3076" width="9.42578125" style="3" bestFit="1" customWidth="1"/>
    <col min="3077" max="3077" width="11.42578125" style="3" customWidth="1"/>
    <col min="3078" max="3080" width="9.140625" style="3"/>
    <col min="3081" max="3082" width="11.42578125" style="3" customWidth="1"/>
    <col min="3083" max="3083" width="13.7109375" style="3" customWidth="1"/>
    <col min="3084" max="3084" width="11.42578125" style="3" customWidth="1"/>
    <col min="3085" max="3085" width="12.85546875" style="3" customWidth="1"/>
    <col min="3086" max="3086" width="9.140625" style="3"/>
    <col min="3087" max="3087" width="13.7109375" style="3" customWidth="1"/>
    <col min="3088" max="3091" width="11.42578125" style="3" customWidth="1"/>
    <col min="3092" max="3092" width="9.140625" style="3"/>
    <col min="3093" max="3093" width="15.28515625" style="3" customWidth="1"/>
    <col min="3094" max="3094" width="14.85546875" style="3" customWidth="1"/>
    <col min="3095" max="3095" width="11.42578125" style="3" customWidth="1"/>
    <col min="3096" max="3096" width="13" style="3" customWidth="1"/>
    <col min="3097" max="3097" width="15" style="3" customWidth="1"/>
    <col min="3098" max="3098" width="14.7109375" style="3" customWidth="1"/>
    <col min="3099" max="3328" width="9.140625" style="3"/>
    <col min="3329" max="3329" width="38" style="3" customWidth="1"/>
    <col min="3330" max="3330" width="11.42578125" style="3" bestFit="1" customWidth="1"/>
    <col min="3331" max="3331" width="4.28515625" style="3" bestFit="1" customWidth="1"/>
    <col min="3332" max="3332" width="9.42578125" style="3" bestFit="1" customWidth="1"/>
    <col min="3333" max="3333" width="11.42578125" style="3" customWidth="1"/>
    <col min="3334" max="3336" width="9.140625" style="3"/>
    <col min="3337" max="3338" width="11.42578125" style="3" customWidth="1"/>
    <col min="3339" max="3339" width="13.7109375" style="3" customWidth="1"/>
    <col min="3340" max="3340" width="11.42578125" style="3" customWidth="1"/>
    <col min="3341" max="3341" width="12.85546875" style="3" customWidth="1"/>
    <col min="3342" max="3342" width="9.140625" style="3"/>
    <col min="3343" max="3343" width="13.7109375" style="3" customWidth="1"/>
    <col min="3344" max="3347" width="11.42578125" style="3" customWidth="1"/>
    <col min="3348" max="3348" width="9.140625" style="3"/>
    <col min="3349" max="3349" width="15.28515625" style="3" customWidth="1"/>
    <col min="3350" max="3350" width="14.85546875" style="3" customWidth="1"/>
    <col min="3351" max="3351" width="11.42578125" style="3" customWidth="1"/>
    <col min="3352" max="3352" width="13" style="3" customWidth="1"/>
    <col min="3353" max="3353" width="15" style="3" customWidth="1"/>
    <col min="3354" max="3354" width="14.7109375" style="3" customWidth="1"/>
    <col min="3355" max="3584" width="9.140625" style="3"/>
    <col min="3585" max="3585" width="38" style="3" customWidth="1"/>
    <col min="3586" max="3586" width="11.42578125" style="3" bestFit="1" customWidth="1"/>
    <col min="3587" max="3587" width="4.28515625" style="3" bestFit="1" customWidth="1"/>
    <col min="3588" max="3588" width="9.42578125" style="3" bestFit="1" customWidth="1"/>
    <col min="3589" max="3589" width="11.42578125" style="3" customWidth="1"/>
    <col min="3590" max="3592" width="9.140625" style="3"/>
    <col min="3593" max="3594" width="11.42578125" style="3" customWidth="1"/>
    <col min="3595" max="3595" width="13.7109375" style="3" customWidth="1"/>
    <col min="3596" max="3596" width="11.42578125" style="3" customWidth="1"/>
    <col min="3597" max="3597" width="12.85546875" style="3" customWidth="1"/>
    <col min="3598" max="3598" width="9.140625" style="3"/>
    <col min="3599" max="3599" width="13.7109375" style="3" customWidth="1"/>
    <col min="3600" max="3603" width="11.42578125" style="3" customWidth="1"/>
    <col min="3604" max="3604" width="9.140625" style="3"/>
    <col min="3605" max="3605" width="15.28515625" style="3" customWidth="1"/>
    <col min="3606" max="3606" width="14.85546875" style="3" customWidth="1"/>
    <col min="3607" max="3607" width="11.42578125" style="3" customWidth="1"/>
    <col min="3608" max="3608" width="13" style="3" customWidth="1"/>
    <col min="3609" max="3609" width="15" style="3" customWidth="1"/>
    <col min="3610" max="3610" width="14.7109375" style="3" customWidth="1"/>
    <col min="3611" max="3840" width="9.140625" style="3"/>
    <col min="3841" max="3841" width="38" style="3" customWidth="1"/>
    <col min="3842" max="3842" width="11.42578125" style="3" bestFit="1" customWidth="1"/>
    <col min="3843" max="3843" width="4.28515625" style="3" bestFit="1" customWidth="1"/>
    <col min="3844" max="3844" width="9.42578125" style="3" bestFit="1" customWidth="1"/>
    <col min="3845" max="3845" width="11.42578125" style="3" customWidth="1"/>
    <col min="3846" max="3848" width="9.140625" style="3"/>
    <col min="3849" max="3850" width="11.42578125" style="3" customWidth="1"/>
    <col min="3851" max="3851" width="13.7109375" style="3" customWidth="1"/>
    <col min="3852" max="3852" width="11.42578125" style="3" customWidth="1"/>
    <col min="3853" max="3853" width="12.85546875" style="3" customWidth="1"/>
    <col min="3854" max="3854" width="9.140625" style="3"/>
    <col min="3855" max="3855" width="13.7109375" style="3" customWidth="1"/>
    <col min="3856" max="3859" width="11.42578125" style="3" customWidth="1"/>
    <col min="3860" max="3860" width="9.140625" style="3"/>
    <col min="3861" max="3861" width="15.28515625" style="3" customWidth="1"/>
    <col min="3862" max="3862" width="14.85546875" style="3" customWidth="1"/>
    <col min="3863" max="3863" width="11.42578125" style="3" customWidth="1"/>
    <col min="3864" max="3864" width="13" style="3" customWidth="1"/>
    <col min="3865" max="3865" width="15" style="3" customWidth="1"/>
    <col min="3866" max="3866" width="14.7109375" style="3" customWidth="1"/>
    <col min="3867" max="4096" width="9.140625" style="3"/>
    <col min="4097" max="4097" width="38" style="3" customWidth="1"/>
    <col min="4098" max="4098" width="11.42578125" style="3" bestFit="1" customWidth="1"/>
    <col min="4099" max="4099" width="4.28515625" style="3" bestFit="1" customWidth="1"/>
    <col min="4100" max="4100" width="9.42578125" style="3" bestFit="1" customWidth="1"/>
    <col min="4101" max="4101" width="11.42578125" style="3" customWidth="1"/>
    <col min="4102" max="4104" width="9.140625" style="3"/>
    <col min="4105" max="4106" width="11.42578125" style="3" customWidth="1"/>
    <col min="4107" max="4107" width="13.7109375" style="3" customWidth="1"/>
    <col min="4108" max="4108" width="11.42578125" style="3" customWidth="1"/>
    <col min="4109" max="4109" width="12.85546875" style="3" customWidth="1"/>
    <col min="4110" max="4110" width="9.140625" style="3"/>
    <col min="4111" max="4111" width="13.7109375" style="3" customWidth="1"/>
    <col min="4112" max="4115" width="11.42578125" style="3" customWidth="1"/>
    <col min="4116" max="4116" width="9.140625" style="3"/>
    <col min="4117" max="4117" width="15.28515625" style="3" customWidth="1"/>
    <col min="4118" max="4118" width="14.85546875" style="3" customWidth="1"/>
    <col min="4119" max="4119" width="11.42578125" style="3" customWidth="1"/>
    <col min="4120" max="4120" width="13" style="3" customWidth="1"/>
    <col min="4121" max="4121" width="15" style="3" customWidth="1"/>
    <col min="4122" max="4122" width="14.7109375" style="3" customWidth="1"/>
    <col min="4123" max="4352" width="9.140625" style="3"/>
    <col min="4353" max="4353" width="38" style="3" customWidth="1"/>
    <col min="4354" max="4354" width="11.42578125" style="3" bestFit="1" customWidth="1"/>
    <col min="4355" max="4355" width="4.28515625" style="3" bestFit="1" customWidth="1"/>
    <col min="4356" max="4356" width="9.42578125" style="3" bestFit="1" customWidth="1"/>
    <col min="4357" max="4357" width="11.42578125" style="3" customWidth="1"/>
    <col min="4358" max="4360" width="9.140625" style="3"/>
    <col min="4361" max="4362" width="11.42578125" style="3" customWidth="1"/>
    <col min="4363" max="4363" width="13.7109375" style="3" customWidth="1"/>
    <col min="4364" max="4364" width="11.42578125" style="3" customWidth="1"/>
    <col min="4365" max="4365" width="12.85546875" style="3" customWidth="1"/>
    <col min="4366" max="4366" width="9.140625" style="3"/>
    <col min="4367" max="4367" width="13.7109375" style="3" customWidth="1"/>
    <col min="4368" max="4371" width="11.42578125" style="3" customWidth="1"/>
    <col min="4372" max="4372" width="9.140625" style="3"/>
    <col min="4373" max="4373" width="15.28515625" style="3" customWidth="1"/>
    <col min="4374" max="4374" width="14.85546875" style="3" customWidth="1"/>
    <col min="4375" max="4375" width="11.42578125" style="3" customWidth="1"/>
    <col min="4376" max="4376" width="13" style="3" customWidth="1"/>
    <col min="4377" max="4377" width="15" style="3" customWidth="1"/>
    <col min="4378" max="4378" width="14.7109375" style="3" customWidth="1"/>
    <col min="4379" max="4608" width="9.140625" style="3"/>
    <col min="4609" max="4609" width="38" style="3" customWidth="1"/>
    <col min="4610" max="4610" width="11.42578125" style="3" bestFit="1" customWidth="1"/>
    <col min="4611" max="4611" width="4.28515625" style="3" bestFit="1" customWidth="1"/>
    <col min="4612" max="4612" width="9.42578125" style="3" bestFit="1" customWidth="1"/>
    <col min="4613" max="4613" width="11.42578125" style="3" customWidth="1"/>
    <col min="4614" max="4616" width="9.140625" style="3"/>
    <col min="4617" max="4618" width="11.42578125" style="3" customWidth="1"/>
    <col min="4619" max="4619" width="13.7109375" style="3" customWidth="1"/>
    <col min="4620" max="4620" width="11.42578125" style="3" customWidth="1"/>
    <col min="4621" max="4621" width="12.85546875" style="3" customWidth="1"/>
    <col min="4622" max="4622" width="9.140625" style="3"/>
    <col min="4623" max="4623" width="13.7109375" style="3" customWidth="1"/>
    <col min="4624" max="4627" width="11.42578125" style="3" customWidth="1"/>
    <col min="4628" max="4628" width="9.140625" style="3"/>
    <col min="4629" max="4629" width="15.28515625" style="3" customWidth="1"/>
    <col min="4630" max="4630" width="14.85546875" style="3" customWidth="1"/>
    <col min="4631" max="4631" width="11.42578125" style="3" customWidth="1"/>
    <col min="4632" max="4632" width="13" style="3" customWidth="1"/>
    <col min="4633" max="4633" width="15" style="3" customWidth="1"/>
    <col min="4634" max="4634" width="14.7109375" style="3" customWidth="1"/>
    <col min="4635" max="4864" width="9.140625" style="3"/>
    <col min="4865" max="4865" width="38" style="3" customWidth="1"/>
    <col min="4866" max="4866" width="11.42578125" style="3" bestFit="1" customWidth="1"/>
    <col min="4867" max="4867" width="4.28515625" style="3" bestFit="1" customWidth="1"/>
    <col min="4868" max="4868" width="9.42578125" style="3" bestFit="1" customWidth="1"/>
    <col min="4869" max="4869" width="11.42578125" style="3" customWidth="1"/>
    <col min="4870" max="4872" width="9.140625" style="3"/>
    <col min="4873" max="4874" width="11.42578125" style="3" customWidth="1"/>
    <col min="4875" max="4875" width="13.7109375" style="3" customWidth="1"/>
    <col min="4876" max="4876" width="11.42578125" style="3" customWidth="1"/>
    <col min="4877" max="4877" width="12.85546875" style="3" customWidth="1"/>
    <col min="4878" max="4878" width="9.140625" style="3"/>
    <col min="4879" max="4879" width="13.7109375" style="3" customWidth="1"/>
    <col min="4880" max="4883" width="11.42578125" style="3" customWidth="1"/>
    <col min="4884" max="4884" width="9.140625" style="3"/>
    <col min="4885" max="4885" width="15.28515625" style="3" customWidth="1"/>
    <col min="4886" max="4886" width="14.85546875" style="3" customWidth="1"/>
    <col min="4887" max="4887" width="11.42578125" style="3" customWidth="1"/>
    <col min="4888" max="4888" width="13" style="3" customWidth="1"/>
    <col min="4889" max="4889" width="15" style="3" customWidth="1"/>
    <col min="4890" max="4890" width="14.7109375" style="3" customWidth="1"/>
    <col min="4891" max="5120" width="9.140625" style="3"/>
    <col min="5121" max="5121" width="38" style="3" customWidth="1"/>
    <col min="5122" max="5122" width="11.42578125" style="3" bestFit="1" customWidth="1"/>
    <col min="5123" max="5123" width="4.28515625" style="3" bestFit="1" customWidth="1"/>
    <col min="5124" max="5124" width="9.42578125" style="3" bestFit="1" customWidth="1"/>
    <col min="5125" max="5125" width="11.42578125" style="3" customWidth="1"/>
    <col min="5126" max="5128" width="9.140625" style="3"/>
    <col min="5129" max="5130" width="11.42578125" style="3" customWidth="1"/>
    <col min="5131" max="5131" width="13.7109375" style="3" customWidth="1"/>
    <col min="5132" max="5132" width="11.42578125" style="3" customWidth="1"/>
    <col min="5133" max="5133" width="12.85546875" style="3" customWidth="1"/>
    <col min="5134" max="5134" width="9.140625" style="3"/>
    <col min="5135" max="5135" width="13.7109375" style="3" customWidth="1"/>
    <col min="5136" max="5139" width="11.42578125" style="3" customWidth="1"/>
    <col min="5140" max="5140" width="9.140625" style="3"/>
    <col min="5141" max="5141" width="15.28515625" style="3" customWidth="1"/>
    <col min="5142" max="5142" width="14.85546875" style="3" customWidth="1"/>
    <col min="5143" max="5143" width="11.42578125" style="3" customWidth="1"/>
    <col min="5144" max="5144" width="13" style="3" customWidth="1"/>
    <col min="5145" max="5145" width="15" style="3" customWidth="1"/>
    <col min="5146" max="5146" width="14.7109375" style="3" customWidth="1"/>
    <col min="5147" max="5376" width="9.140625" style="3"/>
    <col min="5377" max="5377" width="38" style="3" customWidth="1"/>
    <col min="5378" max="5378" width="11.42578125" style="3" bestFit="1" customWidth="1"/>
    <col min="5379" max="5379" width="4.28515625" style="3" bestFit="1" customWidth="1"/>
    <col min="5380" max="5380" width="9.42578125" style="3" bestFit="1" customWidth="1"/>
    <col min="5381" max="5381" width="11.42578125" style="3" customWidth="1"/>
    <col min="5382" max="5384" width="9.140625" style="3"/>
    <col min="5385" max="5386" width="11.42578125" style="3" customWidth="1"/>
    <col min="5387" max="5387" width="13.7109375" style="3" customWidth="1"/>
    <col min="5388" max="5388" width="11.42578125" style="3" customWidth="1"/>
    <col min="5389" max="5389" width="12.85546875" style="3" customWidth="1"/>
    <col min="5390" max="5390" width="9.140625" style="3"/>
    <col min="5391" max="5391" width="13.7109375" style="3" customWidth="1"/>
    <col min="5392" max="5395" width="11.42578125" style="3" customWidth="1"/>
    <col min="5396" max="5396" width="9.140625" style="3"/>
    <col min="5397" max="5397" width="15.28515625" style="3" customWidth="1"/>
    <col min="5398" max="5398" width="14.85546875" style="3" customWidth="1"/>
    <col min="5399" max="5399" width="11.42578125" style="3" customWidth="1"/>
    <col min="5400" max="5400" width="13" style="3" customWidth="1"/>
    <col min="5401" max="5401" width="15" style="3" customWidth="1"/>
    <col min="5402" max="5402" width="14.7109375" style="3" customWidth="1"/>
    <col min="5403" max="5632" width="9.140625" style="3"/>
    <col min="5633" max="5633" width="38" style="3" customWidth="1"/>
    <col min="5634" max="5634" width="11.42578125" style="3" bestFit="1" customWidth="1"/>
    <col min="5635" max="5635" width="4.28515625" style="3" bestFit="1" customWidth="1"/>
    <col min="5636" max="5636" width="9.42578125" style="3" bestFit="1" customWidth="1"/>
    <col min="5637" max="5637" width="11.42578125" style="3" customWidth="1"/>
    <col min="5638" max="5640" width="9.140625" style="3"/>
    <col min="5641" max="5642" width="11.42578125" style="3" customWidth="1"/>
    <col min="5643" max="5643" width="13.7109375" style="3" customWidth="1"/>
    <col min="5644" max="5644" width="11.42578125" style="3" customWidth="1"/>
    <col min="5645" max="5645" width="12.85546875" style="3" customWidth="1"/>
    <col min="5646" max="5646" width="9.140625" style="3"/>
    <col min="5647" max="5647" width="13.7109375" style="3" customWidth="1"/>
    <col min="5648" max="5651" width="11.42578125" style="3" customWidth="1"/>
    <col min="5652" max="5652" width="9.140625" style="3"/>
    <col min="5653" max="5653" width="15.28515625" style="3" customWidth="1"/>
    <col min="5654" max="5654" width="14.85546875" style="3" customWidth="1"/>
    <col min="5655" max="5655" width="11.42578125" style="3" customWidth="1"/>
    <col min="5656" max="5656" width="13" style="3" customWidth="1"/>
    <col min="5657" max="5657" width="15" style="3" customWidth="1"/>
    <col min="5658" max="5658" width="14.7109375" style="3" customWidth="1"/>
    <col min="5659" max="5888" width="9.140625" style="3"/>
    <col min="5889" max="5889" width="38" style="3" customWidth="1"/>
    <col min="5890" max="5890" width="11.42578125" style="3" bestFit="1" customWidth="1"/>
    <col min="5891" max="5891" width="4.28515625" style="3" bestFit="1" customWidth="1"/>
    <col min="5892" max="5892" width="9.42578125" style="3" bestFit="1" customWidth="1"/>
    <col min="5893" max="5893" width="11.42578125" style="3" customWidth="1"/>
    <col min="5894" max="5896" width="9.140625" style="3"/>
    <col min="5897" max="5898" width="11.42578125" style="3" customWidth="1"/>
    <col min="5899" max="5899" width="13.7109375" style="3" customWidth="1"/>
    <col min="5900" max="5900" width="11.42578125" style="3" customWidth="1"/>
    <col min="5901" max="5901" width="12.85546875" style="3" customWidth="1"/>
    <col min="5902" max="5902" width="9.140625" style="3"/>
    <col min="5903" max="5903" width="13.7109375" style="3" customWidth="1"/>
    <col min="5904" max="5907" width="11.42578125" style="3" customWidth="1"/>
    <col min="5908" max="5908" width="9.140625" style="3"/>
    <col min="5909" max="5909" width="15.28515625" style="3" customWidth="1"/>
    <col min="5910" max="5910" width="14.85546875" style="3" customWidth="1"/>
    <col min="5911" max="5911" width="11.42578125" style="3" customWidth="1"/>
    <col min="5912" max="5912" width="13" style="3" customWidth="1"/>
    <col min="5913" max="5913" width="15" style="3" customWidth="1"/>
    <col min="5914" max="5914" width="14.7109375" style="3" customWidth="1"/>
    <col min="5915" max="6144" width="9.140625" style="3"/>
    <col min="6145" max="6145" width="38" style="3" customWidth="1"/>
    <col min="6146" max="6146" width="11.42578125" style="3" bestFit="1" customWidth="1"/>
    <col min="6147" max="6147" width="4.28515625" style="3" bestFit="1" customWidth="1"/>
    <col min="6148" max="6148" width="9.42578125" style="3" bestFit="1" customWidth="1"/>
    <col min="6149" max="6149" width="11.42578125" style="3" customWidth="1"/>
    <col min="6150" max="6152" width="9.140625" style="3"/>
    <col min="6153" max="6154" width="11.42578125" style="3" customWidth="1"/>
    <col min="6155" max="6155" width="13.7109375" style="3" customWidth="1"/>
    <col min="6156" max="6156" width="11.42578125" style="3" customWidth="1"/>
    <col min="6157" max="6157" width="12.85546875" style="3" customWidth="1"/>
    <col min="6158" max="6158" width="9.140625" style="3"/>
    <col min="6159" max="6159" width="13.7109375" style="3" customWidth="1"/>
    <col min="6160" max="6163" width="11.42578125" style="3" customWidth="1"/>
    <col min="6164" max="6164" width="9.140625" style="3"/>
    <col min="6165" max="6165" width="15.28515625" style="3" customWidth="1"/>
    <col min="6166" max="6166" width="14.85546875" style="3" customWidth="1"/>
    <col min="6167" max="6167" width="11.42578125" style="3" customWidth="1"/>
    <col min="6168" max="6168" width="13" style="3" customWidth="1"/>
    <col min="6169" max="6169" width="15" style="3" customWidth="1"/>
    <col min="6170" max="6170" width="14.7109375" style="3" customWidth="1"/>
    <col min="6171" max="6400" width="9.140625" style="3"/>
    <col min="6401" max="6401" width="38" style="3" customWidth="1"/>
    <col min="6402" max="6402" width="11.42578125" style="3" bestFit="1" customWidth="1"/>
    <col min="6403" max="6403" width="4.28515625" style="3" bestFit="1" customWidth="1"/>
    <col min="6404" max="6404" width="9.42578125" style="3" bestFit="1" customWidth="1"/>
    <col min="6405" max="6405" width="11.42578125" style="3" customWidth="1"/>
    <col min="6406" max="6408" width="9.140625" style="3"/>
    <col min="6409" max="6410" width="11.42578125" style="3" customWidth="1"/>
    <col min="6411" max="6411" width="13.7109375" style="3" customWidth="1"/>
    <col min="6412" max="6412" width="11.42578125" style="3" customWidth="1"/>
    <col min="6413" max="6413" width="12.85546875" style="3" customWidth="1"/>
    <col min="6414" max="6414" width="9.140625" style="3"/>
    <col min="6415" max="6415" width="13.7109375" style="3" customWidth="1"/>
    <col min="6416" max="6419" width="11.42578125" style="3" customWidth="1"/>
    <col min="6420" max="6420" width="9.140625" style="3"/>
    <col min="6421" max="6421" width="15.28515625" style="3" customWidth="1"/>
    <col min="6422" max="6422" width="14.85546875" style="3" customWidth="1"/>
    <col min="6423" max="6423" width="11.42578125" style="3" customWidth="1"/>
    <col min="6424" max="6424" width="13" style="3" customWidth="1"/>
    <col min="6425" max="6425" width="15" style="3" customWidth="1"/>
    <col min="6426" max="6426" width="14.7109375" style="3" customWidth="1"/>
    <col min="6427" max="6656" width="9.140625" style="3"/>
    <col min="6657" max="6657" width="38" style="3" customWidth="1"/>
    <col min="6658" max="6658" width="11.42578125" style="3" bestFit="1" customWidth="1"/>
    <col min="6659" max="6659" width="4.28515625" style="3" bestFit="1" customWidth="1"/>
    <col min="6660" max="6660" width="9.42578125" style="3" bestFit="1" customWidth="1"/>
    <col min="6661" max="6661" width="11.42578125" style="3" customWidth="1"/>
    <col min="6662" max="6664" width="9.140625" style="3"/>
    <col min="6665" max="6666" width="11.42578125" style="3" customWidth="1"/>
    <col min="6667" max="6667" width="13.7109375" style="3" customWidth="1"/>
    <col min="6668" max="6668" width="11.42578125" style="3" customWidth="1"/>
    <col min="6669" max="6669" width="12.85546875" style="3" customWidth="1"/>
    <col min="6670" max="6670" width="9.140625" style="3"/>
    <col min="6671" max="6671" width="13.7109375" style="3" customWidth="1"/>
    <col min="6672" max="6675" width="11.42578125" style="3" customWidth="1"/>
    <col min="6676" max="6676" width="9.140625" style="3"/>
    <col min="6677" max="6677" width="15.28515625" style="3" customWidth="1"/>
    <col min="6678" max="6678" width="14.85546875" style="3" customWidth="1"/>
    <col min="6679" max="6679" width="11.42578125" style="3" customWidth="1"/>
    <col min="6680" max="6680" width="13" style="3" customWidth="1"/>
    <col min="6681" max="6681" width="15" style="3" customWidth="1"/>
    <col min="6682" max="6682" width="14.7109375" style="3" customWidth="1"/>
    <col min="6683" max="6912" width="9.140625" style="3"/>
    <col min="6913" max="6913" width="38" style="3" customWidth="1"/>
    <col min="6914" max="6914" width="11.42578125" style="3" bestFit="1" customWidth="1"/>
    <col min="6915" max="6915" width="4.28515625" style="3" bestFit="1" customWidth="1"/>
    <col min="6916" max="6916" width="9.42578125" style="3" bestFit="1" customWidth="1"/>
    <col min="6917" max="6917" width="11.42578125" style="3" customWidth="1"/>
    <col min="6918" max="6920" width="9.140625" style="3"/>
    <col min="6921" max="6922" width="11.42578125" style="3" customWidth="1"/>
    <col min="6923" max="6923" width="13.7109375" style="3" customWidth="1"/>
    <col min="6924" max="6924" width="11.42578125" style="3" customWidth="1"/>
    <col min="6925" max="6925" width="12.85546875" style="3" customWidth="1"/>
    <col min="6926" max="6926" width="9.140625" style="3"/>
    <col min="6927" max="6927" width="13.7109375" style="3" customWidth="1"/>
    <col min="6928" max="6931" width="11.42578125" style="3" customWidth="1"/>
    <col min="6932" max="6932" width="9.140625" style="3"/>
    <col min="6933" max="6933" width="15.28515625" style="3" customWidth="1"/>
    <col min="6934" max="6934" width="14.85546875" style="3" customWidth="1"/>
    <col min="6935" max="6935" width="11.42578125" style="3" customWidth="1"/>
    <col min="6936" max="6936" width="13" style="3" customWidth="1"/>
    <col min="6937" max="6937" width="15" style="3" customWidth="1"/>
    <col min="6938" max="6938" width="14.7109375" style="3" customWidth="1"/>
    <col min="6939" max="7168" width="9.140625" style="3"/>
    <col min="7169" max="7169" width="38" style="3" customWidth="1"/>
    <col min="7170" max="7170" width="11.42578125" style="3" bestFit="1" customWidth="1"/>
    <col min="7171" max="7171" width="4.28515625" style="3" bestFit="1" customWidth="1"/>
    <col min="7172" max="7172" width="9.42578125" style="3" bestFit="1" customWidth="1"/>
    <col min="7173" max="7173" width="11.42578125" style="3" customWidth="1"/>
    <col min="7174" max="7176" width="9.140625" style="3"/>
    <col min="7177" max="7178" width="11.42578125" style="3" customWidth="1"/>
    <col min="7179" max="7179" width="13.7109375" style="3" customWidth="1"/>
    <col min="7180" max="7180" width="11.42578125" style="3" customWidth="1"/>
    <col min="7181" max="7181" width="12.85546875" style="3" customWidth="1"/>
    <col min="7182" max="7182" width="9.140625" style="3"/>
    <col min="7183" max="7183" width="13.7109375" style="3" customWidth="1"/>
    <col min="7184" max="7187" width="11.42578125" style="3" customWidth="1"/>
    <col min="7188" max="7188" width="9.140625" style="3"/>
    <col min="7189" max="7189" width="15.28515625" style="3" customWidth="1"/>
    <col min="7190" max="7190" width="14.85546875" style="3" customWidth="1"/>
    <col min="7191" max="7191" width="11.42578125" style="3" customWidth="1"/>
    <col min="7192" max="7192" width="13" style="3" customWidth="1"/>
    <col min="7193" max="7193" width="15" style="3" customWidth="1"/>
    <col min="7194" max="7194" width="14.7109375" style="3" customWidth="1"/>
    <col min="7195" max="7424" width="9.140625" style="3"/>
    <col min="7425" max="7425" width="38" style="3" customWidth="1"/>
    <col min="7426" max="7426" width="11.42578125" style="3" bestFit="1" customWidth="1"/>
    <col min="7427" max="7427" width="4.28515625" style="3" bestFit="1" customWidth="1"/>
    <col min="7428" max="7428" width="9.42578125" style="3" bestFit="1" customWidth="1"/>
    <col min="7429" max="7429" width="11.42578125" style="3" customWidth="1"/>
    <col min="7430" max="7432" width="9.140625" style="3"/>
    <col min="7433" max="7434" width="11.42578125" style="3" customWidth="1"/>
    <col min="7435" max="7435" width="13.7109375" style="3" customWidth="1"/>
    <col min="7436" max="7436" width="11.42578125" style="3" customWidth="1"/>
    <col min="7437" max="7437" width="12.85546875" style="3" customWidth="1"/>
    <col min="7438" max="7438" width="9.140625" style="3"/>
    <col min="7439" max="7439" width="13.7109375" style="3" customWidth="1"/>
    <col min="7440" max="7443" width="11.42578125" style="3" customWidth="1"/>
    <col min="7444" max="7444" width="9.140625" style="3"/>
    <col min="7445" max="7445" width="15.28515625" style="3" customWidth="1"/>
    <col min="7446" max="7446" width="14.85546875" style="3" customWidth="1"/>
    <col min="7447" max="7447" width="11.42578125" style="3" customWidth="1"/>
    <col min="7448" max="7448" width="13" style="3" customWidth="1"/>
    <col min="7449" max="7449" width="15" style="3" customWidth="1"/>
    <col min="7450" max="7450" width="14.7109375" style="3" customWidth="1"/>
    <col min="7451" max="7680" width="9.140625" style="3"/>
    <col min="7681" max="7681" width="38" style="3" customWidth="1"/>
    <col min="7682" max="7682" width="11.42578125" style="3" bestFit="1" customWidth="1"/>
    <col min="7683" max="7683" width="4.28515625" style="3" bestFit="1" customWidth="1"/>
    <col min="7684" max="7684" width="9.42578125" style="3" bestFit="1" customWidth="1"/>
    <col min="7685" max="7685" width="11.42578125" style="3" customWidth="1"/>
    <col min="7686" max="7688" width="9.140625" style="3"/>
    <col min="7689" max="7690" width="11.42578125" style="3" customWidth="1"/>
    <col min="7691" max="7691" width="13.7109375" style="3" customWidth="1"/>
    <col min="7692" max="7692" width="11.42578125" style="3" customWidth="1"/>
    <col min="7693" max="7693" width="12.85546875" style="3" customWidth="1"/>
    <col min="7694" max="7694" width="9.140625" style="3"/>
    <col min="7695" max="7695" width="13.7109375" style="3" customWidth="1"/>
    <col min="7696" max="7699" width="11.42578125" style="3" customWidth="1"/>
    <col min="7700" max="7700" width="9.140625" style="3"/>
    <col min="7701" max="7701" width="15.28515625" style="3" customWidth="1"/>
    <col min="7702" max="7702" width="14.85546875" style="3" customWidth="1"/>
    <col min="7703" max="7703" width="11.42578125" style="3" customWidth="1"/>
    <col min="7704" max="7704" width="13" style="3" customWidth="1"/>
    <col min="7705" max="7705" width="15" style="3" customWidth="1"/>
    <col min="7706" max="7706" width="14.7109375" style="3" customWidth="1"/>
    <col min="7707" max="7936" width="9.140625" style="3"/>
    <col min="7937" max="7937" width="38" style="3" customWidth="1"/>
    <col min="7938" max="7938" width="11.42578125" style="3" bestFit="1" customWidth="1"/>
    <col min="7939" max="7939" width="4.28515625" style="3" bestFit="1" customWidth="1"/>
    <col min="7940" max="7940" width="9.42578125" style="3" bestFit="1" customWidth="1"/>
    <col min="7941" max="7941" width="11.42578125" style="3" customWidth="1"/>
    <col min="7942" max="7944" width="9.140625" style="3"/>
    <col min="7945" max="7946" width="11.42578125" style="3" customWidth="1"/>
    <col min="7947" max="7947" width="13.7109375" style="3" customWidth="1"/>
    <col min="7948" max="7948" width="11.42578125" style="3" customWidth="1"/>
    <col min="7949" max="7949" width="12.85546875" style="3" customWidth="1"/>
    <col min="7950" max="7950" width="9.140625" style="3"/>
    <col min="7951" max="7951" width="13.7109375" style="3" customWidth="1"/>
    <col min="7952" max="7955" width="11.42578125" style="3" customWidth="1"/>
    <col min="7956" max="7956" width="9.140625" style="3"/>
    <col min="7957" max="7957" width="15.28515625" style="3" customWidth="1"/>
    <col min="7958" max="7958" width="14.85546875" style="3" customWidth="1"/>
    <col min="7959" max="7959" width="11.42578125" style="3" customWidth="1"/>
    <col min="7960" max="7960" width="13" style="3" customWidth="1"/>
    <col min="7961" max="7961" width="15" style="3" customWidth="1"/>
    <col min="7962" max="7962" width="14.7109375" style="3" customWidth="1"/>
    <col min="7963" max="8192" width="9.140625" style="3"/>
    <col min="8193" max="8193" width="38" style="3" customWidth="1"/>
    <col min="8194" max="8194" width="11.42578125" style="3" bestFit="1" customWidth="1"/>
    <col min="8195" max="8195" width="4.28515625" style="3" bestFit="1" customWidth="1"/>
    <col min="8196" max="8196" width="9.42578125" style="3" bestFit="1" customWidth="1"/>
    <col min="8197" max="8197" width="11.42578125" style="3" customWidth="1"/>
    <col min="8198" max="8200" width="9.140625" style="3"/>
    <col min="8201" max="8202" width="11.42578125" style="3" customWidth="1"/>
    <col min="8203" max="8203" width="13.7109375" style="3" customWidth="1"/>
    <col min="8204" max="8204" width="11.42578125" style="3" customWidth="1"/>
    <col min="8205" max="8205" width="12.85546875" style="3" customWidth="1"/>
    <col min="8206" max="8206" width="9.140625" style="3"/>
    <col min="8207" max="8207" width="13.7109375" style="3" customWidth="1"/>
    <col min="8208" max="8211" width="11.42578125" style="3" customWidth="1"/>
    <col min="8212" max="8212" width="9.140625" style="3"/>
    <col min="8213" max="8213" width="15.28515625" style="3" customWidth="1"/>
    <col min="8214" max="8214" width="14.85546875" style="3" customWidth="1"/>
    <col min="8215" max="8215" width="11.42578125" style="3" customWidth="1"/>
    <col min="8216" max="8216" width="13" style="3" customWidth="1"/>
    <col min="8217" max="8217" width="15" style="3" customWidth="1"/>
    <col min="8218" max="8218" width="14.7109375" style="3" customWidth="1"/>
    <col min="8219" max="8448" width="9.140625" style="3"/>
    <col min="8449" max="8449" width="38" style="3" customWidth="1"/>
    <col min="8450" max="8450" width="11.42578125" style="3" bestFit="1" customWidth="1"/>
    <col min="8451" max="8451" width="4.28515625" style="3" bestFit="1" customWidth="1"/>
    <col min="8452" max="8452" width="9.42578125" style="3" bestFit="1" customWidth="1"/>
    <col min="8453" max="8453" width="11.42578125" style="3" customWidth="1"/>
    <col min="8454" max="8456" width="9.140625" style="3"/>
    <col min="8457" max="8458" width="11.42578125" style="3" customWidth="1"/>
    <col min="8459" max="8459" width="13.7109375" style="3" customWidth="1"/>
    <col min="8460" max="8460" width="11.42578125" style="3" customWidth="1"/>
    <col min="8461" max="8461" width="12.85546875" style="3" customWidth="1"/>
    <col min="8462" max="8462" width="9.140625" style="3"/>
    <col min="8463" max="8463" width="13.7109375" style="3" customWidth="1"/>
    <col min="8464" max="8467" width="11.42578125" style="3" customWidth="1"/>
    <col min="8468" max="8468" width="9.140625" style="3"/>
    <col min="8469" max="8469" width="15.28515625" style="3" customWidth="1"/>
    <col min="8470" max="8470" width="14.85546875" style="3" customWidth="1"/>
    <col min="8471" max="8471" width="11.42578125" style="3" customWidth="1"/>
    <col min="8472" max="8472" width="13" style="3" customWidth="1"/>
    <col min="8473" max="8473" width="15" style="3" customWidth="1"/>
    <col min="8474" max="8474" width="14.7109375" style="3" customWidth="1"/>
    <col min="8475" max="8704" width="9.140625" style="3"/>
    <col min="8705" max="8705" width="38" style="3" customWidth="1"/>
    <col min="8706" max="8706" width="11.42578125" style="3" bestFit="1" customWidth="1"/>
    <col min="8707" max="8707" width="4.28515625" style="3" bestFit="1" customWidth="1"/>
    <col min="8708" max="8708" width="9.42578125" style="3" bestFit="1" customWidth="1"/>
    <col min="8709" max="8709" width="11.42578125" style="3" customWidth="1"/>
    <col min="8710" max="8712" width="9.140625" style="3"/>
    <col min="8713" max="8714" width="11.42578125" style="3" customWidth="1"/>
    <col min="8715" max="8715" width="13.7109375" style="3" customWidth="1"/>
    <col min="8716" max="8716" width="11.42578125" style="3" customWidth="1"/>
    <col min="8717" max="8717" width="12.85546875" style="3" customWidth="1"/>
    <col min="8718" max="8718" width="9.140625" style="3"/>
    <col min="8719" max="8719" width="13.7109375" style="3" customWidth="1"/>
    <col min="8720" max="8723" width="11.42578125" style="3" customWidth="1"/>
    <col min="8724" max="8724" width="9.140625" style="3"/>
    <col min="8725" max="8725" width="15.28515625" style="3" customWidth="1"/>
    <col min="8726" max="8726" width="14.85546875" style="3" customWidth="1"/>
    <col min="8727" max="8727" width="11.42578125" style="3" customWidth="1"/>
    <col min="8728" max="8728" width="13" style="3" customWidth="1"/>
    <col min="8729" max="8729" width="15" style="3" customWidth="1"/>
    <col min="8730" max="8730" width="14.7109375" style="3" customWidth="1"/>
    <col min="8731" max="8960" width="9.140625" style="3"/>
    <col min="8961" max="8961" width="38" style="3" customWidth="1"/>
    <col min="8962" max="8962" width="11.42578125" style="3" bestFit="1" customWidth="1"/>
    <col min="8963" max="8963" width="4.28515625" style="3" bestFit="1" customWidth="1"/>
    <col min="8964" max="8964" width="9.42578125" style="3" bestFit="1" customWidth="1"/>
    <col min="8965" max="8965" width="11.42578125" style="3" customWidth="1"/>
    <col min="8966" max="8968" width="9.140625" style="3"/>
    <col min="8969" max="8970" width="11.42578125" style="3" customWidth="1"/>
    <col min="8971" max="8971" width="13.7109375" style="3" customWidth="1"/>
    <col min="8972" max="8972" width="11.42578125" style="3" customWidth="1"/>
    <col min="8973" max="8973" width="12.85546875" style="3" customWidth="1"/>
    <col min="8974" max="8974" width="9.140625" style="3"/>
    <col min="8975" max="8975" width="13.7109375" style="3" customWidth="1"/>
    <col min="8976" max="8979" width="11.42578125" style="3" customWidth="1"/>
    <col min="8980" max="8980" width="9.140625" style="3"/>
    <col min="8981" max="8981" width="15.28515625" style="3" customWidth="1"/>
    <col min="8982" max="8982" width="14.85546875" style="3" customWidth="1"/>
    <col min="8983" max="8983" width="11.42578125" style="3" customWidth="1"/>
    <col min="8984" max="8984" width="13" style="3" customWidth="1"/>
    <col min="8985" max="8985" width="15" style="3" customWidth="1"/>
    <col min="8986" max="8986" width="14.7109375" style="3" customWidth="1"/>
    <col min="8987" max="9216" width="9.140625" style="3"/>
    <col min="9217" max="9217" width="38" style="3" customWidth="1"/>
    <col min="9218" max="9218" width="11.42578125" style="3" bestFit="1" customWidth="1"/>
    <col min="9219" max="9219" width="4.28515625" style="3" bestFit="1" customWidth="1"/>
    <col min="9220" max="9220" width="9.42578125" style="3" bestFit="1" customWidth="1"/>
    <col min="9221" max="9221" width="11.42578125" style="3" customWidth="1"/>
    <col min="9222" max="9224" width="9.140625" style="3"/>
    <col min="9225" max="9226" width="11.42578125" style="3" customWidth="1"/>
    <col min="9227" max="9227" width="13.7109375" style="3" customWidth="1"/>
    <col min="9228" max="9228" width="11.42578125" style="3" customWidth="1"/>
    <col min="9229" max="9229" width="12.85546875" style="3" customWidth="1"/>
    <col min="9230" max="9230" width="9.140625" style="3"/>
    <col min="9231" max="9231" width="13.7109375" style="3" customWidth="1"/>
    <col min="9232" max="9235" width="11.42578125" style="3" customWidth="1"/>
    <col min="9236" max="9236" width="9.140625" style="3"/>
    <col min="9237" max="9237" width="15.28515625" style="3" customWidth="1"/>
    <col min="9238" max="9238" width="14.85546875" style="3" customWidth="1"/>
    <col min="9239" max="9239" width="11.42578125" style="3" customWidth="1"/>
    <col min="9240" max="9240" width="13" style="3" customWidth="1"/>
    <col min="9241" max="9241" width="15" style="3" customWidth="1"/>
    <col min="9242" max="9242" width="14.7109375" style="3" customWidth="1"/>
    <col min="9243" max="9472" width="9.140625" style="3"/>
    <col min="9473" max="9473" width="38" style="3" customWidth="1"/>
    <col min="9474" max="9474" width="11.42578125" style="3" bestFit="1" customWidth="1"/>
    <col min="9475" max="9475" width="4.28515625" style="3" bestFit="1" customWidth="1"/>
    <col min="9476" max="9476" width="9.42578125" style="3" bestFit="1" customWidth="1"/>
    <col min="9477" max="9477" width="11.42578125" style="3" customWidth="1"/>
    <col min="9478" max="9480" width="9.140625" style="3"/>
    <col min="9481" max="9482" width="11.42578125" style="3" customWidth="1"/>
    <col min="9483" max="9483" width="13.7109375" style="3" customWidth="1"/>
    <col min="9484" max="9484" width="11.42578125" style="3" customWidth="1"/>
    <col min="9485" max="9485" width="12.85546875" style="3" customWidth="1"/>
    <col min="9486" max="9486" width="9.140625" style="3"/>
    <col min="9487" max="9487" width="13.7109375" style="3" customWidth="1"/>
    <col min="9488" max="9491" width="11.42578125" style="3" customWidth="1"/>
    <col min="9492" max="9492" width="9.140625" style="3"/>
    <col min="9493" max="9493" width="15.28515625" style="3" customWidth="1"/>
    <col min="9494" max="9494" width="14.85546875" style="3" customWidth="1"/>
    <col min="9495" max="9495" width="11.42578125" style="3" customWidth="1"/>
    <col min="9496" max="9496" width="13" style="3" customWidth="1"/>
    <col min="9497" max="9497" width="15" style="3" customWidth="1"/>
    <col min="9498" max="9498" width="14.7109375" style="3" customWidth="1"/>
    <col min="9499" max="9728" width="9.140625" style="3"/>
    <col min="9729" max="9729" width="38" style="3" customWidth="1"/>
    <col min="9730" max="9730" width="11.42578125" style="3" bestFit="1" customWidth="1"/>
    <col min="9731" max="9731" width="4.28515625" style="3" bestFit="1" customWidth="1"/>
    <col min="9732" max="9732" width="9.42578125" style="3" bestFit="1" customWidth="1"/>
    <col min="9733" max="9733" width="11.42578125" style="3" customWidth="1"/>
    <col min="9734" max="9736" width="9.140625" style="3"/>
    <col min="9737" max="9738" width="11.42578125" style="3" customWidth="1"/>
    <col min="9739" max="9739" width="13.7109375" style="3" customWidth="1"/>
    <col min="9740" max="9740" width="11.42578125" style="3" customWidth="1"/>
    <col min="9741" max="9741" width="12.85546875" style="3" customWidth="1"/>
    <col min="9742" max="9742" width="9.140625" style="3"/>
    <col min="9743" max="9743" width="13.7109375" style="3" customWidth="1"/>
    <col min="9744" max="9747" width="11.42578125" style="3" customWidth="1"/>
    <col min="9748" max="9748" width="9.140625" style="3"/>
    <col min="9749" max="9749" width="15.28515625" style="3" customWidth="1"/>
    <col min="9750" max="9750" width="14.85546875" style="3" customWidth="1"/>
    <col min="9751" max="9751" width="11.42578125" style="3" customWidth="1"/>
    <col min="9752" max="9752" width="13" style="3" customWidth="1"/>
    <col min="9753" max="9753" width="15" style="3" customWidth="1"/>
    <col min="9754" max="9754" width="14.7109375" style="3" customWidth="1"/>
    <col min="9755" max="9984" width="9.140625" style="3"/>
    <col min="9985" max="9985" width="38" style="3" customWidth="1"/>
    <col min="9986" max="9986" width="11.42578125" style="3" bestFit="1" customWidth="1"/>
    <col min="9987" max="9987" width="4.28515625" style="3" bestFit="1" customWidth="1"/>
    <col min="9988" max="9988" width="9.42578125" style="3" bestFit="1" customWidth="1"/>
    <col min="9989" max="9989" width="11.42578125" style="3" customWidth="1"/>
    <col min="9990" max="9992" width="9.140625" style="3"/>
    <col min="9993" max="9994" width="11.42578125" style="3" customWidth="1"/>
    <col min="9995" max="9995" width="13.7109375" style="3" customWidth="1"/>
    <col min="9996" max="9996" width="11.42578125" style="3" customWidth="1"/>
    <col min="9997" max="9997" width="12.85546875" style="3" customWidth="1"/>
    <col min="9998" max="9998" width="9.140625" style="3"/>
    <col min="9999" max="9999" width="13.7109375" style="3" customWidth="1"/>
    <col min="10000" max="10003" width="11.42578125" style="3" customWidth="1"/>
    <col min="10004" max="10004" width="9.140625" style="3"/>
    <col min="10005" max="10005" width="15.28515625" style="3" customWidth="1"/>
    <col min="10006" max="10006" width="14.85546875" style="3" customWidth="1"/>
    <col min="10007" max="10007" width="11.42578125" style="3" customWidth="1"/>
    <col min="10008" max="10008" width="13" style="3" customWidth="1"/>
    <col min="10009" max="10009" width="15" style="3" customWidth="1"/>
    <col min="10010" max="10010" width="14.7109375" style="3" customWidth="1"/>
    <col min="10011" max="10240" width="9.140625" style="3"/>
    <col min="10241" max="10241" width="38" style="3" customWidth="1"/>
    <col min="10242" max="10242" width="11.42578125" style="3" bestFit="1" customWidth="1"/>
    <col min="10243" max="10243" width="4.28515625" style="3" bestFit="1" customWidth="1"/>
    <col min="10244" max="10244" width="9.42578125" style="3" bestFit="1" customWidth="1"/>
    <col min="10245" max="10245" width="11.42578125" style="3" customWidth="1"/>
    <col min="10246" max="10248" width="9.140625" style="3"/>
    <col min="10249" max="10250" width="11.42578125" style="3" customWidth="1"/>
    <col min="10251" max="10251" width="13.7109375" style="3" customWidth="1"/>
    <col min="10252" max="10252" width="11.42578125" style="3" customWidth="1"/>
    <col min="10253" max="10253" width="12.85546875" style="3" customWidth="1"/>
    <col min="10254" max="10254" width="9.140625" style="3"/>
    <col min="10255" max="10255" width="13.7109375" style="3" customWidth="1"/>
    <col min="10256" max="10259" width="11.42578125" style="3" customWidth="1"/>
    <col min="10260" max="10260" width="9.140625" style="3"/>
    <col min="10261" max="10261" width="15.28515625" style="3" customWidth="1"/>
    <col min="10262" max="10262" width="14.85546875" style="3" customWidth="1"/>
    <col min="10263" max="10263" width="11.42578125" style="3" customWidth="1"/>
    <col min="10264" max="10264" width="13" style="3" customWidth="1"/>
    <col min="10265" max="10265" width="15" style="3" customWidth="1"/>
    <col min="10266" max="10266" width="14.7109375" style="3" customWidth="1"/>
    <col min="10267" max="10496" width="9.140625" style="3"/>
    <col min="10497" max="10497" width="38" style="3" customWidth="1"/>
    <col min="10498" max="10498" width="11.42578125" style="3" bestFit="1" customWidth="1"/>
    <col min="10499" max="10499" width="4.28515625" style="3" bestFit="1" customWidth="1"/>
    <col min="10500" max="10500" width="9.42578125" style="3" bestFit="1" customWidth="1"/>
    <col min="10501" max="10501" width="11.42578125" style="3" customWidth="1"/>
    <col min="10502" max="10504" width="9.140625" style="3"/>
    <col min="10505" max="10506" width="11.42578125" style="3" customWidth="1"/>
    <col min="10507" max="10507" width="13.7109375" style="3" customWidth="1"/>
    <col min="10508" max="10508" width="11.42578125" style="3" customWidth="1"/>
    <col min="10509" max="10509" width="12.85546875" style="3" customWidth="1"/>
    <col min="10510" max="10510" width="9.140625" style="3"/>
    <col min="10511" max="10511" width="13.7109375" style="3" customWidth="1"/>
    <col min="10512" max="10515" width="11.42578125" style="3" customWidth="1"/>
    <col min="10516" max="10516" width="9.140625" style="3"/>
    <col min="10517" max="10517" width="15.28515625" style="3" customWidth="1"/>
    <col min="10518" max="10518" width="14.85546875" style="3" customWidth="1"/>
    <col min="10519" max="10519" width="11.42578125" style="3" customWidth="1"/>
    <col min="10520" max="10520" width="13" style="3" customWidth="1"/>
    <col min="10521" max="10521" width="15" style="3" customWidth="1"/>
    <col min="10522" max="10522" width="14.7109375" style="3" customWidth="1"/>
    <col min="10523" max="10752" width="9.140625" style="3"/>
    <col min="10753" max="10753" width="38" style="3" customWidth="1"/>
    <col min="10754" max="10754" width="11.42578125" style="3" bestFit="1" customWidth="1"/>
    <col min="10755" max="10755" width="4.28515625" style="3" bestFit="1" customWidth="1"/>
    <col min="10756" max="10756" width="9.42578125" style="3" bestFit="1" customWidth="1"/>
    <col min="10757" max="10757" width="11.42578125" style="3" customWidth="1"/>
    <col min="10758" max="10760" width="9.140625" style="3"/>
    <col min="10761" max="10762" width="11.42578125" style="3" customWidth="1"/>
    <col min="10763" max="10763" width="13.7109375" style="3" customWidth="1"/>
    <col min="10764" max="10764" width="11.42578125" style="3" customWidth="1"/>
    <col min="10765" max="10765" width="12.85546875" style="3" customWidth="1"/>
    <col min="10766" max="10766" width="9.140625" style="3"/>
    <col min="10767" max="10767" width="13.7109375" style="3" customWidth="1"/>
    <col min="10768" max="10771" width="11.42578125" style="3" customWidth="1"/>
    <col min="10772" max="10772" width="9.140625" style="3"/>
    <col min="10773" max="10773" width="15.28515625" style="3" customWidth="1"/>
    <col min="10774" max="10774" width="14.85546875" style="3" customWidth="1"/>
    <col min="10775" max="10775" width="11.42578125" style="3" customWidth="1"/>
    <col min="10776" max="10776" width="13" style="3" customWidth="1"/>
    <col min="10777" max="10777" width="15" style="3" customWidth="1"/>
    <col min="10778" max="10778" width="14.7109375" style="3" customWidth="1"/>
    <col min="10779" max="11008" width="9.140625" style="3"/>
    <col min="11009" max="11009" width="38" style="3" customWidth="1"/>
    <col min="11010" max="11010" width="11.42578125" style="3" bestFit="1" customWidth="1"/>
    <col min="11011" max="11011" width="4.28515625" style="3" bestFit="1" customWidth="1"/>
    <col min="11012" max="11012" width="9.42578125" style="3" bestFit="1" customWidth="1"/>
    <col min="11013" max="11013" width="11.42578125" style="3" customWidth="1"/>
    <col min="11014" max="11016" width="9.140625" style="3"/>
    <col min="11017" max="11018" width="11.42578125" style="3" customWidth="1"/>
    <col min="11019" max="11019" width="13.7109375" style="3" customWidth="1"/>
    <col min="11020" max="11020" width="11.42578125" style="3" customWidth="1"/>
    <col min="11021" max="11021" width="12.85546875" style="3" customWidth="1"/>
    <col min="11022" max="11022" width="9.140625" style="3"/>
    <col min="11023" max="11023" width="13.7109375" style="3" customWidth="1"/>
    <col min="11024" max="11027" width="11.42578125" style="3" customWidth="1"/>
    <col min="11028" max="11028" width="9.140625" style="3"/>
    <col min="11029" max="11029" width="15.28515625" style="3" customWidth="1"/>
    <col min="11030" max="11030" width="14.85546875" style="3" customWidth="1"/>
    <col min="11031" max="11031" width="11.42578125" style="3" customWidth="1"/>
    <col min="11032" max="11032" width="13" style="3" customWidth="1"/>
    <col min="11033" max="11033" width="15" style="3" customWidth="1"/>
    <col min="11034" max="11034" width="14.7109375" style="3" customWidth="1"/>
    <col min="11035" max="11264" width="9.140625" style="3"/>
    <col min="11265" max="11265" width="38" style="3" customWidth="1"/>
    <col min="11266" max="11266" width="11.42578125" style="3" bestFit="1" customWidth="1"/>
    <col min="11267" max="11267" width="4.28515625" style="3" bestFit="1" customWidth="1"/>
    <col min="11268" max="11268" width="9.42578125" style="3" bestFit="1" customWidth="1"/>
    <col min="11269" max="11269" width="11.42578125" style="3" customWidth="1"/>
    <col min="11270" max="11272" width="9.140625" style="3"/>
    <col min="11273" max="11274" width="11.42578125" style="3" customWidth="1"/>
    <col min="11275" max="11275" width="13.7109375" style="3" customWidth="1"/>
    <col min="11276" max="11276" width="11.42578125" style="3" customWidth="1"/>
    <col min="11277" max="11277" width="12.85546875" style="3" customWidth="1"/>
    <col min="11278" max="11278" width="9.140625" style="3"/>
    <col min="11279" max="11279" width="13.7109375" style="3" customWidth="1"/>
    <col min="11280" max="11283" width="11.42578125" style="3" customWidth="1"/>
    <col min="11284" max="11284" width="9.140625" style="3"/>
    <col min="11285" max="11285" width="15.28515625" style="3" customWidth="1"/>
    <col min="11286" max="11286" width="14.85546875" style="3" customWidth="1"/>
    <col min="11287" max="11287" width="11.42578125" style="3" customWidth="1"/>
    <col min="11288" max="11288" width="13" style="3" customWidth="1"/>
    <col min="11289" max="11289" width="15" style="3" customWidth="1"/>
    <col min="11290" max="11290" width="14.7109375" style="3" customWidth="1"/>
    <col min="11291" max="11520" width="9.140625" style="3"/>
    <col min="11521" max="11521" width="38" style="3" customWidth="1"/>
    <col min="11522" max="11522" width="11.42578125" style="3" bestFit="1" customWidth="1"/>
    <col min="11523" max="11523" width="4.28515625" style="3" bestFit="1" customWidth="1"/>
    <col min="11524" max="11524" width="9.42578125" style="3" bestFit="1" customWidth="1"/>
    <col min="11525" max="11525" width="11.42578125" style="3" customWidth="1"/>
    <col min="11526" max="11528" width="9.140625" style="3"/>
    <col min="11529" max="11530" width="11.42578125" style="3" customWidth="1"/>
    <col min="11531" max="11531" width="13.7109375" style="3" customWidth="1"/>
    <col min="11532" max="11532" width="11.42578125" style="3" customWidth="1"/>
    <col min="11533" max="11533" width="12.85546875" style="3" customWidth="1"/>
    <col min="11534" max="11534" width="9.140625" style="3"/>
    <col min="11535" max="11535" width="13.7109375" style="3" customWidth="1"/>
    <col min="11536" max="11539" width="11.42578125" style="3" customWidth="1"/>
    <col min="11540" max="11540" width="9.140625" style="3"/>
    <col min="11541" max="11541" width="15.28515625" style="3" customWidth="1"/>
    <col min="11542" max="11542" width="14.85546875" style="3" customWidth="1"/>
    <col min="11543" max="11543" width="11.42578125" style="3" customWidth="1"/>
    <col min="11544" max="11544" width="13" style="3" customWidth="1"/>
    <col min="11545" max="11545" width="15" style="3" customWidth="1"/>
    <col min="11546" max="11546" width="14.7109375" style="3" customWidth="1"/>
    <col min="11547" max="11776" width="9.140625" style="3"/>
    <col min="11777" max="11777" width="38" style="3" customWidth="1"/>
    <col min="11778" max="11778" width="11.42578125" style="3" bestFit="1" customWidth="1"/>
    <col min="11779" max="11779" width="4.28515625" style="3" bestFit="1" customWidth="1"/>
    <col min="11780" max="11780" width="9.42578125" style="3" bestFit="1" customWidth="1"/>
    <col min="11781" max="11781" width="11.42578125" style="3" customWidth="1"/>
    <col min="11782" max="11784" width="9.140625" style="3"/>
    <col min="11785" max="11786" width="11.42578125" style="3" customWidth="1"/>
    <col min="11787" max="11787" width="13.7109375" style="3" customWidth="1"/>
    <col min="11788" max="11788" width="11.42578125" style="3" customWidth="1"/>
    <col min="11789" max="11789" width="12.85546875" style="3" customWidth="1"/>
    <col min="11790" max="11790" width="9.140625" style="3"/>
    <col min="11791" max="11791" width="13.7109375" style="3" customWidth="1"/>
    <col min="11792" max="11795" width="11.42578125" style="3" customWidth="1"/>
    <col min="11796" max="11796" width="9.140625" style="3"/>
    <col min="11797" max="11797" width="15.28515625" style="3" customWidth="1"/>
    <col min="11798" max="11798" width="14.85546875" style="3" customWidth="1"/>
    <col min="11799" max="11799" width="11.42578125" style="3" customWidth="1"/>
    <col min="11800" max="11800" width="13" style="3" customWidth="1"/>
    <col min="11801" max="11801" width="15" style="3" customWidth="1"/>
    <col min="11802" max="11802" width="14.7109375" style="3" customWidth="1"/>
    <col min="11803" max="12032" width="9.140625" style="3"/>
    <col min="12033" max="12033" width="38" style="3" customWidth="1"/>
    <col min="12034" max="12034" width="11.42578125" style="3" bestFit="1" customWidth="1"/>
    <col min="12035" max="12035" width="4.28515625" style="3" bestFit="1" customWidth="1"/>
    <col min="12036" max="12036" width="9.42578125" style="3" bestFit="1" customWidth="1"/>
    <col min="12037" max="12037" width="11.42578125" style="3" customWidth="1"/>
    <col min="12038" max="12040" width="9.140625" style="3"/>
    <col min="12041" max="12042" width="11.42578125" style="3" customWidth="1"/>
    <col min="12043" max="12043" width="13.7109375" style="3" customWidth="1"/>
    <col min="12044" max="12044" width="11.42578125" style="3" customWidth="1"/>
    <col min="12045" max="12045" width="12.85546875" style="3" customWidth="1"/>
    <col min="12046" max="12046" width="9.140625" style="3"/>
    <col min="12047" max="12047" width="13.7109375" style="3" customWidth="1"/>
    <col min="12048" max="12051" width="11.42578125" style="3" customWidth="1"/>
    <col min="12052" max="12052" width="9.140625" style="3"/>
    <col min="12053" max="12053" width="15.28515625" style="3" customWidth="1"/>
    <col min="12054" max="12054" width="14.85546875" style="3" customWidth="1"/>
    <col min="12055" max="12055" width="11.42578125" style="3" customWidth="1"/>
    <col min="12056" max="12056" width="13" style="3" customWidth="1"/>
    <col min="12057" max="12057" width="15" style="3" customWidth="1"/>
    <col min="12058" max="12058" width="14.7109375" style="3" customWidth="1"/>
    <col min="12059" max="12288" width="9.140625" style="3"/>
    <col min="12289" max="12289" width="38" style="3" customWidth="1"/>
    <col min="12290" max="12290" width="11.42578125" style="3" bestFit="1" customWidth="1"/>
    <col min="12291" max="12291" width="4.28515625" style="3" bestFit="1" customWidth="1"/>
    <col min="12292" max="12292" width="9.42578125" style="3" bestFit="1" customWidth="1"/>
    <col min="12293" max="12293" width="11.42578125" style="3" customWidth="1"/>
    <col min="12294" max="12296" width="9.140625" style="3"/>
    <col min="12297" max="12298" width="11.42578125" style="3" customWidth="1"/>
    <col min="12299" max="12299" width="13.7109375" style="3" customWidth="1"/>
    <col min="12300" max="12300" width="11.42578125" style="3" customWidth="1"/>
    <col min="12301" max="12301" width="12.85546875" style="3" customWidth="1"/>
    <col min="12302" max="12302" width="9.140625" style="3"/>
    <col min="12303" max="12303" width="13.7109375" style="3" customWidth="1"/>
    <col min="12304" max="12307" width="11.42578125" style="3" customWidth="1"/>
    <col min="12308" max="12308" width="9.140625" style="3"/>
    <col min="12309" max="12309" width="15.28515625" style="3" customWidth="1"/>
    <col min="12310" max="12310" width="14.85546875" style="3" customWidth="1"/>
    <col min="12311" max="12311" width="11.42578125" style="3" customWidth="1"/>
    <col min="12312" max="12312" width="13" style="3" customWidth="1"/>
    <col min="12313" max="12313" width="15" style="3" customWidth="1"/>
    <col min="12314" max="12314" width="14.7109375" style="3" customWidth="1"/>
    <col min="12315" max="12544" width="9.140625" style="3"/>
    <col min="12545" max="12545" width="38" style="3" customWidth="1"/>
    <col min="12546" max="12546" width="11.42578125" style="3" bestFit="1" customWidth="1"/>
    <col min="12547" max="12547" width="4.28515625" style="3" bestFit="1" customWidth="1"/>
    <col min="12548" max="12548" width="9.42578125" style="3" bestFit="1" customWidth="1"/>
    <col min="12549" max="12549" width="11.42578125" style="3" customWidth="1"/>
    <col min="12550" max="12552" width="9.140625" style="3"/>
    <col min="12553" max="12554" width="11.42578125" style="3" customWidth="1"/>
    <col min="12555" max="12555" width="13.7109375" style="3" customWidth="1"/>
    <col min="12556" max="12556" width="11.42578125" style="3" customWidth="1"/>
    <col min="12557" max="12557" width="12.85546875" style="3" customWidth="1"/>
    <col min="12558" max="12558" width="9.140625" style="3"/>
    <col min="12559" max="12559" width="13.7109375" style="3" customWidth="1"/>
    <col min="12560" max="12563" width="11.42578125" style="3" customWidth="1"/>
    <col min="12564" max="12564" width="9.140625" style="3"/>
    <col min="12565" max="12565" width="15.28515625" style="3" customWidth="1"/>
    <col min="12566" max="12566" width="14.85546875" style="3" customWidth="1"/>
    <col min="12567" max="12567" width="11.42578125" style="3" customWidth="1"/>
    <col min="12568" max="12568" width="13" style="3" customWidth="1"/>
    <col min="12569" max="12569" width="15" style="3" customWidth="1"/>
    <col min="12570" max="12570" width="14.7109375" style="3" customWidth="1"/>
    <col min="12571" max="12800" width="9.140625" style="3"/>
    <col min="12801" max="12801" width="38" style="3" customWidth="1"/>
    <col min="12802" max="12802" width="11.42578125" style="3" bestFit="1" customWidth="1"/>
    <col min="12803" max="12803" width="4.28515625" style="3" bestFit="1" customWidth="1"/>
    <col min="12804" max="12804" width="9.42578125" style="3" bestFit="1" customWidth="1"/>
    <col min="12805" max="12805" width="11.42578125" style="3" customWidth="1"/>
    <col min="12806" max="12808" width="9.140625" style="3"/>
    <col min="12809" max="12810" width="11.42578125" style="3" customWidth="1"/>
    <col min="12811" max="12811" width="13.7109375" style="3" customWidth="1"/>
    <col min="12812" max="12812" width="11.42578125" style="3" customWidth="1"/>
    <col min="12813" max="12813" width="12.85546875" style="3" customWidth="1"/>
    <col min="12814" max="12814" width="9.140625" style="3"/>
    <col min="12815" max="12815" width="13.7109375" style="3" customWidth="1"/>
    <col min="12816" max="12819" width="11.42578125" style="3" customWidth="1"/>
    <col min="12820" max="12820" width="9.140625" style="3"/>
    <col min="12821" max="12821" width="15.28515625" style="3" customWidth="1"/>
    <col min="12822" max="12822" width="14.85546875" style="3" customWidth="1"/>
    <col min="12823" max="12823" width="11.42578125" style="3" customWidth="1"/>
    <col min="12824" max="12824" width="13" style="3" customWidth="1"/>
    <col min="12825" max="12825" width="15" style="3" customWidth="1"/>
    <col min="12826" max="12826" width="14.7109375" style="3" customWidth="1"/>
    <col min="12827" max="13056" width="9.140625" style="3"/>
    <col min="13057" max="13057" width="38" style="3" customWidth="1"/>
    <col min="13058" max="13058" width="11.42578125" style="3" bestFit="1" customWidth="1"/>
    <col min="13059" max="13059" width="4.28515625" style="3" bestFit="1" customWidth="1"/>
    <col min="13060" max="13060" width="9.42578125" style="3" bestFit="1" customWidth="1"/>
    <col min="13061" max="13061" width="11.42578125" style="3" customWidth="1"/>
    <col min="13062" max="13064" width="9.140625" style="3"/>
    <col min="13065" max="13066" width="11.42578125" style="3" customWidth="1"/>
    <col min="13067" max="13067" width="13.7109375" style="3" customWidth="1"/>
    <col min="13068" max="13068" width="11.42578125" style="3" customWidth="1"/>
    <col min="13069" max="13069" width="12.85546875" style="3" customWidth="1"/>
    <col min="13070" max="13070" width="9.140625" style="3"/>
    <col min="13071" max="13071" width="13.7109375" style="3" customWidth="1"/>
    <col min="13072" max="13075" width="11.42578125" style="3" customWidth="1"/>
    <col min="13076" max="13076" width="9.140625" style="3"/>
    <col min="13077" max="13077" width="15.28515625" style="3" customWidth="1"/>
    <col min="13078" max="13078" width="14.85546875" style="3" customWidth="1"/>
    <col min="13079" max="13079" width="11.42578125" style="3" customWidth="1"/>
    <col min="13080" max="13080" width="13" style="3" customWidth="1"/>
    <col min="13081" max="13081" width="15" style="3" customWidth="1"/>
    <col min="13082" max="13082" width="14.7109375" style="3" customWidth="1"/>
    <col min="13083" max="13312" width="9.140625" style="3"/>
    <col min="13313" max="13313" width="38" style="3" customWidth="1"/>
    <col min="13314" max="13314" width="11.42578125" style="3" bestFit="1" customWidth="1"/>
    <col min="13315" max="13315" width="4.28515625" style="3" bestFit="1" customWidth="1"/>
    <col min="13316" max="13316" width="9.42578125" style="3" bestFit="1" customWidth="1"/>
    <col min="13317" max="13317" width="11.42578125" style="3" customWidth="1"/>
    <col min="13318" max="13320" width="9.140625" style="3"/>
    <col min="13321" max="13322" width="11.42578125" style="3" customWidth="1"/>
    <col min="13323" max="13323" width="13.7109375" style="3" customWidth="1"/>
    <col min="13324" max="13324" width="11.42578125" style="3" customWidth="1"/>
    <col min="13325" max="13325" width="12.85546875" style="3" customWidth="1"/>
    <col min="13326" max="13326" width="9.140625" style="3"/>
    <col min="13327" max="13327" width="13.7109375" style="3" customWidth="1"/>
    <col min="13328" max="13331" width="11.42578125" style="3" customWidth="1"/>
    <col min="13332" max="13332" width="9.140625" style="3"/>
    <col min="13333" max="13333" width="15.28515625" style="3" customWidth="1"/>
    <col min="13334" max="13334" width="14.85546875" style="3" customWidth="1"/>
    <col min="13335" max="13335" width="11.42578125" style="3" customWidth="1"/>
    <col min="13336" max="13336" width="13" style="3" customWidth="1"/>
    <col min="13337" max="13337" width="15" style="3" customWidth="1"/>
    <col min="13338" max="13338" width="14.7109375" style="3" customWidth="1"/>
    <col min="13339" max="13568" width="9.140625" style="3"/>
    <col min="13569" max="13569" width="38" style="3" customWidth="1"/>
    <col min="13570" max="13570" width="11.42578125" style="3" bestFit="1" customWidth="1"/>
    <col min="13571" max="13571" width="4.28515625" style="3" bestFit="1" customWidth="1"/>
    <col min="13572" max="13572" width="9.42578125" style="3" bestFit="1" customWidth="1"/>
    <col min="13573" max="13573" width="11.42578125" style="3" customWidth="1"/>
    <col min="13574" max="13576" width="9.140625" style="3"/>
    <col min="13577" max="13578" width="11.42578125" style="3" customWidth="1"/>
    <col min="13579" max="13579" width="13.7109375" style="3" customWidth="1"/>
    <col min="13580" max="13580" width="11.42578125" style="3" customWidth="1"/>
    <col min="13581" max="13581" width="12.85546875" style="3" customWidth="1"/>
    <col min="13582" max="13582" width="9.140625" style="3"/>
    <col min="13583" max="13583" width="13.7109375" style="3" customWidth="1"/>
    <col min="13584" max="13587" width="11.42578125" style="3" customWidth="1"/>
    <col min="13588" max="13588" width="9.140625" style="3"/>
    <col min="13589" max="13589" width="15.28515625" style="3" customWidth="1"/>
    <col min="13590" max="13590" width="14.85546875" style="3" customWidth="1"/>
    <col min="13591" max="13591" width="11.42578125" style="3" customWidth="1"/>
    <col min="13592" max="13592" width="13" style="3" customWidth="1"/>
    <col min="13593" max="13593" width="15" style="3" customWidth="1"/>
    <col min="13594" max="13594" width="14.7109375" style="3" customWidth="1"/>
    <col min="13595" max="13824" width="9.140625" style="3"/>
    <col min="13825" max="13825" width="38" style="3" customWidth="1"/>
    <col min="13826" max="13826" width="11.42578125" style="3" bestFit="1" customWidth="1"/>
    <col min="13827" max="13827" width="4.28515625" style="3" bestFit="1" customWidth="1"/>
    <col min="13828" max="13828" width="9.42578125" style="3" bestFit="1" customWidth="1"/>
    <col min="13829" max="13829" width="11.42578125" style="3" customWidth="1"/>
    <col min="13830" max="13832" width="9.140625" style="3"/>
    <col min="13833" max="13834" width="11.42578125" style="3" customWidth="1"/>
    <col min="13835" max="13835" width="13.7109375" style="3" customWidth="1"/>
    <col min="13836" max="13836" width="11.42578125" style="3" customWidth="1"/>
    <col min="13837" max="13837" width="12.85546875" style="3" customWidth="1"/>
    <col min="13838" max="13838" width="9.140625" style="3"/>
    <col min="13839" max="13839" width="13.7109375" style="3" customWidth="1"/>
    <col min="13840" max="13843" width="11.42578125" style="3" customWidth="1"/>
    <col min="13844" max="13844" width="9.140625" style="3"/>
    <col min="13845" max="13845" width="15.28515625" style="3" customWidth="1"/>
    <col min="13846" max="13846" width="14.85546875" style="3" customWidth="1"/>
    <col min="13847" max="13847" width="11.42578125" style="3" customWidth="1"/>
    <col min="13848" max="13848" width="13" style="3" customWidth="1"/>
    <col min="13849" max="13849" width="15" style="3" customWidth="1"/>
    <col min="13850" max="13850" width="14.7109375" style="3" customWidth="1"/>
    <col min="13851" max="14080" width="9.140625" style="3"/>
    <col min="14081" max="14081" width="38" style="3" customWidth="1"/>
    <col min="14082" max="14082" width="11.42578125" style="3" bestFit="1" customWidth="1"/>
    <col min="14083" max="14083" width="4.28515625" style="3" bestFit="1" customWidth="1"/>
    <col min="14084" max="14084" width="9.42578125" style="3" bestFit="1" customWidth="1"/>
    <col min="14085" max="14085" width="11.42578125" style="3" customWidth="1"/>
    <col min="14086" max="14088" width="9.140625" style="3"/>
    <col min="14089" max="14090" width="11.42578125" style="3" customWidth="1"/>
    <col min="14091" max="14091" width="13.7109375" style="3" customWidth="1"/>
    <col min="14092" max="14092" width="11.42578125" style="3" customWidth="1"/>
    <col min="14093" max="14093" width="12.85546875" style="3" customWidth="1"/>
    <col min="14094" max="14094" width="9.140625" style="3"/>
    <col min="14095" max="14095" width="13.7109375" style="3" customWidth="1"/>
    <col min="14096" max="14099" width="11.42578125" style="3" customWidth="1"/>
    <col min="14100" max="14100" width="9.140625" style="3"/>
    <col min="14101" max="14101" width="15.28515625" style="3" customWidth="1"/>
    <col min="14102" max="14102" width="14.85546875" style="3" customWidth="1"/>
    <col min="14103" max="14103" width="11.42578125" style="3" customWidth="1"/>
    <col min="14104" max="14104" width="13" style="3" customWidth="1"/>
    <col min="14105" max="14105" width="15" style="3" customWidth="1"/>
    <col min="14106" max="14106" width="14.7109375" style="3" customWidth="1"/>
    <col min="14107" max="14336" width="9.140625" style="3"/>
    <col min="14337" max="14337" width="38" style="3" customWidth="1"/>
    <col min="14338" max="14338" width="11.42578125" style="3" bestFit="1" customWidth="1"/>
    <col min="14339" max="14339" width="4.28515625" style="3" bestFit="1" customWidth="1"/>
    <col min="14340" max="14340" width="9.42578125" style="3" bestFit="1" customWidth="1"/>
    <col min="14341" max="14341" width="11.42578125" style="3" customWidth="1"/>
    <col min="14342" max="14344" width="9.140625" style="3"/>
    <col min="14345" max="14346" width="11.42578125" style="3" customWidth="1"/>
    <col min="14347" max="14347" width="13.7109375" style="3" customWidth="1"/>
    <col min="14348" max="14348" width="11.42578125" style="3" customWidth="1"/>
    <col min="14349" max="14349" width="12.85546875" style="3" customWidth="1"/>
    <col min="14350" max="14350" width="9.140625" style="3"/>
    <col min="14351" max="14351" width="13.7109375" style="3" customWidth="1"/>
    <col min="14352" max="14355" width="11.42578125" style="3" customWidth="1"/>
    <col min="14356" max="14356" width="9.140625" style="3"/>
    <col min="14357" max="14357" width="15.28515625" style="3" customWidth="1"/>
    <col min="14358" max="14358" width="14.85546875" style="3" customWidth="1"/>
    <col min="14359" max="14359" width="11.42578125" style="3" customWidth="1"/>
    <col min="14360" max="14360" width="13" style="3" customWidth="1"/>
    <col min="14361" max="14361" width="15" style="3" customWidth="1"/>
    <col min="14362" max="14362" width="14.7109375" style="3" customWidth="1"/>
    <col min="14363" max="14592" width="9.140625" style="3"/>
    <col min="14593" max="14593" width="38" style="3" customWidth="1"/>
    <col min="14594" max="14594" width="11.42578125" style="3" bestFit="1" customWidth="1"/>
    <col min="14595" max="14595" width="4.28515625" style="3" bestFit="1" customWidth="1"/>
    <col min="14596" max="14596" width="9.42578125" style="3" bestFit="1" customWidth="1"/>
    <col min="14597" max="14597" width="11.42578125" style="3" customWidth="1"/>
    <col min="14598" max="14600" width="9.140625" style="3"/>
    <col min="14601" max="14602" width="11.42578125" style="3" customWidth="1"/>
    <col min="14603" max="14603" width="13.7109375" style="3" customWidth="1"/>
    <col min="14604" max="14604" width="11.42578125" style="3" customWidth="1"/>
    <col min="14605" max="14605" width="12.85546875" style="3" customWidth="1"/>
    <col min="14606" max="14606" width="9.140625" style="3"/>
    <col min="14607" max="14607" width="13.7109375" style="3" customWidth="1"/>
    <col min="14608" max="14611" width="11.42578125" style="3" customWidth="1"/>
    <col min="14612" max="14612" width="9.140625" style="3"/>
    <col min="14613" max="14613" width="15.28515625" style="3" customWidth="1"/>
    <col min="14614" max="14614" width="14.85546875" style="3" customWidth="1"/>
    <col min="14615" max="14615" width="11.42578125" style="3" customWidth="1"/>
    <col min="14616" max="14616" width="13" style="3" customWidth="1"/>
    <col min="14617" max="14617" width="15" style="3" customWidth="1"/>
    <col min="14618" max="14618" width="14.7109375" style="3" customWidth="1"/>
    <col min="14619" max="14848" width="9.140625" style="3"/>
    <col min="14849" max="14849" width="38" style="3" customWidth="1"/>
    <col min="14850" max="14850" width="11.42578125" style="3" bestFit="1" customWidth="1"/>
    <col min="14851" max="14851" width="4.28515625" style="3" bestFit="1" customWidth="1"/>
    <col min="14852" max="14852" width="9.42578125" style="3" bestFit="1" customWidth="1"/>
    <col min="14853" max="14853" width="11.42578125" style="3" customWidth="1"/>
    <col min="14854" max="14856" width="9.140625" style="3"/>
    <col min="14857" max="14858" width="11.42578125" style="3" customWidth="1"/>
    <col min="14859" max="14859" width="13.7109375" style="3" customWidth="1"/>
    <col min="14860" max="14860" width="11.42578125" style="3" customWidth="1"/>
    <col min="14861" max="14861" width="12.85546875" style="3" customWidth="1"/>
    <col min="14862" max="14862" width="9.140625" style="3"/>
    <col min="14863" max="14863" width="13.7109375" style="3" customWidth="1"/>
    <col min="14864" max="14867" width="11.42578125" style="3" customWidth="1"/>
    <col min="14868" max="14868" width="9.140625" style="3"/>
    <col min="14869" max="14869" width="15.28515625" style="3" customWidth="1"/>
    <col min="14870" max="14870" width="14.85546875" style="3" customWidth="1"/>
    <col min="14871" max="14871" width="11.42578125" style="3" customWidth="1"/>
    <col min="14872" max="14872" width="13" style="3" customWidth="1"/>
    <col min="14873" max="14873" width="15" style="3" customWidth="1"/>
    <col min="14874" max="14874" width="14.7109375" style="3" customWidth="1"/>
    <col min="14875" max="15104" width="9.140625" style="3"/>
    <col min="15105" max="15105" width="38" style="3" customWidth="1"/>
    <col min="15106" max="15106" width="11.42578125" style="3" bestFit="1" customWidth="1"/>
    <col min="15107" max="15107" width="4.28515625" style="3" bestFit="1" customWidth="1"/>
    <col min="15108" max="15108" width="9.42578125" style="3" bestFit="1" customWidth="1"/>
    <col min="15109" max="15109" width="11.42578125" style="3" customWidth="1"/>
    <col min="15110" max="15112" width="9.140625" style="3"/>
    <col min="15113" max="15114" width="11.42578125" style="3" customWidth="1"/>
    <col min="15115" max="15115" width="13.7109375" style="3" customWidth="1"/>
    <col min="15116" max="15116" width="11.42578125" style="3" customWidth="1"/>
    <col min="15117" max="15117" width="12.85546875" style="3" customWidth="1"/>
    <col min="15118" max="15118" width="9.140625" style="3"/>
    <col min="15119" max="15119" width="13.7109375" style="3" customWidth="1"/>
    <col min="15120" max="15123" width="11.42578125" style="3" customWidth="1"/>
    <col min="15124" max="15124" width="9.140625" style="3"/>
    <col min="15125" max="15125" width="15.28515625" style="3" customWidth="1"/>
    <col min="15126" max="15126" width="14.85546875" style="3" customWidth="1"/>
    <col min="15127" max="15127" width="11.42578125" style="3" customWidth="1"/>
    <col min="15128" max="15128" width="13" style="3" customWidth="1"/>
    <col min="15129" max="15129" width="15" style="3" customWidth="1"/>
    <col min="15130" max="15130" width="14.7109375" style="3" customWidth="1"/>
    <col min="15131" max="15360" width="9.140625" style="3"/>
    <col min="15361" max="15361" width="38" style="3" customWidth="1"/>
    <col min="15362" max="15362" width="11.42578125" style="3" bestFit="1" customWidth="1"/>
    <col min="15363" max="15363" width="4.28515625" style="3" bestFit="1" customWidth="1"/>
    <col min="15364" max="15364" width="9.42578125" style="3" bestFit="1" customWidth="1"/>
    <col min="15365" max="15365" width="11.42578125" style="3" customWidth="1"/>
    <col min="15366" max="15368" width="9.140625" style="3"/>
    <col min="15369" max="15370" width="11.42578125" style="3" customWidth="1"/>
    <col min="15371" max="15371" width="13.7109375" style="3" customWidth="1"/>
    <col min="15372" max="15372" width="11.42578125" style="3" customWidth="1"/>
    <col min="15373" max="15373" width="12.85546875" style="3" customWidth="1"/>
    <col min="15374" max="15374" width="9.140625" style="3"/>
    <col min="15375" max="15375" width="13.7109375" style="3" customWidth="1"/>
    <col min="15376" max="15379" width="11.42578125" style="3" customWidth="1"/>
    <col min="15380" max="15380" width="9.140625" style="3"/>
    <col min="15381" max="15381" width="15.28515625" style="3" customWidth="1"/>
    <col min="15382" max="15382" width="14.85546875" style="3" customWidth="1"/>
    <col min="15383" max="15383" width="11.42578125" style="3" customWidth="1"/>
    <col min="15384" max="15384" width="13" style="3" customWidth="1"/>
    <col min="15385" max="15385" width="15" style="3" customWidth="1"/>
    <col min="15386" max="15386" width="14.7109375" style="3" customWidth="1"/>
    <col min="15387" max="15616" width="9.140625" style="3"/>
    <col min="15617" max="15617" width="38" style="3" customWidth="1"/>
    <col min="15618" max="15618" width="11.42578125" style="3" bestFit="1" customWidth="1"/>
    <col min="15619" max="15619" width="4.28515625" style="3" bestFit="1" customWidth="1"/>
    <col min="15620" max="15620" width="9.42578125" style="3" bestFit="1" customWidth="1"/>
    <col min="15621" max="15621" width="11.42578125" style="3" customWidth="1"/>
    <col min="15622" max="15624" width="9.140625" style="3"/>
    <col min="15625" max="15626" width="11.42578125" style="3" customWidth="1"/>
    <col min="15627" max="15627" width="13.7109375" style="3" customWidth="1"/>
    <col min="15628" max="15628" width="11.42578125" style="3" customWidth="1"/>
    <col min="15629" max="15629" width="12.85546875" style="3" customWidth="1"/>
    <col min="15630" max="15630" width="9.140625" style="3"/>
    <col min="15631" max="15631" width="13.7109375" style="3" customWidth="1"/>
    <col min="15632" max="15635" width="11.42578125" style="3" customWidth="1"/>
    <col min="15636" max="15636" width="9.140625" style="3"/>
    <col min="15637" max="15637" width="15.28515625" style="3" customWidth="1"/>
    <col min="15638" max="15638" width="14.85546875" style="3" customWidth="1"/>
    <col min="15639" max="15639" width="11.42578125" style="3" customWidth="1"/>
    <col min="15640" max="15640" width="13" style="3" customWidth="1"/>
    <col min="15641" max="15641" width="15" style="3" customWidth="1"/>
    <col min="15642" max="15642" width="14.7109375" style="3" customWidth="1"/>
    <col min="15643" max="15872" width="9.140625" style="3"/>
    <col min="15873" max="15873" width="38" style="3" customWidth="1"/>
    <col min="15874" max="15874" width="11.42578125" style="3" bestFit="1" customWidth="1"/>
    <col min="15875" max="15875" width="4.28515625" style="3" bestFit="1" customWidth="1"/>
    <col min="15876" max="15876" width="9.42578125" style="3" bestFit="1" customWidth="1"/>
    <col min="15877" max="15877" width="11.42578125" style="3" customWidth="1"/>
    <col min="15878" max="15880" width="9.140625" style="3"/>
    <col min="15881" max="15882" width="11.42578125" style="3" customWidth="1"/>
    <col min="15883" max="15883" width="13.7109375" style="3" customWidth="1"/>
    <col min="15884" max="15884" width="11.42578125" style="3" customWidth="1"/>
    <col min="15885" max="15885" width="12.85546875" style="3" customWidth="1"/>
    <col min="15886" max="15886" width="9.140625" style="3"/>
    <col min="15887" max="15887" width="13.7109375" style="3" customWidth="1"/>
    <col min="15888" max="15891" width="11.42578125" style="3" customWidth="1"/>
    <col min="15892" max="15892" width="9.140625" style="3"/>
    <col min="15893" max="15893" width="15.28515625" style="3" customWidth="1"/>
    <col min="15894" max="15894" width="14.85546875" style="3" customWidth="1"/>
    <col min="15895" max="15895" width="11.42578125" style="3" customWidth="1"/>
    <col min="15896" max="15896" width="13" style="3" customWidth="1"/>
    <col min="15897" max="15897" width="15" style="3" customWidth="1"/>
    <col min="15898" max="15898" width="14.7109375" style="3" customWidth="1"/>
    <col min="15899" max="16128" width="9.140625" style="3"/>
    <col min="16129" max="16129" width="38" style="3" customWidth="1"/>
    <col min="16130" max="16130" width="11.42578125" style="3" bestFit="1" customWidth="1"/>
    <col min="16131" max="16131" width="4.28515625" style="3" bestFit="1" customWidth="1"/>
    <col min="16132" max="16132" width="9.42578125" style="3" bestFit="1" customWidth="1"/>
    <col min="16133" max="16133" width="11.42578125" style="3" customWidth="1"/>
    <col min="16134" max="16136" width="9.140625" style="3"/>
    <col min="16137" max="16138" width="11.42578125" style="3" customWidth="1"/>
    <col min="16139" max="16139" width="13.7109375" style="3" customWidth="1"/>
    <col min="16140" max="16140" width="11.42578125" style="3" customWidth="1"/>
    <col min="16141" max="16141" width="12.85546875" style="3" customWidth="1"/>
    <col min="16142" max="16142" width="9.140625" style="3"/>
    <col min="16143" max="16143" width="13.7109375" style="3" customWidth="1"/>
    <col min="16144" max="16147" width="11.42578125" style="3" customWidth="1"/>
    <col min="16148" max="16148" width="9.140625" style="3"/>
    <col min="16149" max="16149" width="15.28515625" style="3" customWidth="1"/>
    <col min="16150" max="16150" width="14.85546875" style="3" customWidth="1"/>
    <col min="16151" max="16151" width="11.42578125" style="3" customWidth="1"/>
    <col min="16152" max="16152" width="13" style="3" customWidth="1"/>
    <col min="16153" max="16153" width="15" style="3" customWidth="1"/>
    <col min="16154" max="16154" width="14.7109375" style="3" customWidth="1"/>
    <col min="16155" max="16384" width="9.140625" style="3"/>
  </cols>
  <sheetData>
    <row r="1" spans="1:31" ht="15.75" x14ac:dyDescent="0.25">
      <c r="A1" s="1" t="s">
        <v>0</v>
      </c>
      <c r="B1" s="2" t="s">
        <v>1</v>
      </c>
      <c r="E1" s="5"/>
      <c r="F1" s="5"/>
      <c r="G1" s="5"/>
      <c r="H1" s="5"/>
      <c r="I1" s="5"/>
      <c r="J1" s="5"/>
      <c r="K1" s="6"/>
      <c r="L1" s="7"/>
      <c r="M1" s="5"/>
      <c r="N1" s="7"/>
      <c r="O1" s="5"/>
      <c r="P1" s="5"/>
      <c r="Q1" s="5"/>
      <c r="R1" s="5"/>
      <c r="S1" s="5"/>
      <c r="T1" s="5"/>
      <c r="U1" s="5"/>
      <c r="V1" s="5"/>
      <c r="W1" s="5"/>
    </row>
    <row r="2" spans="1:31" x14ac:dyDescent="0.25">
      <c r="B2" s="8" t="s">
        <v>2</v>
      </c>
      <c r="C2" s="9"/>
      <c r="N2" s="12">
        <v>9</v>
      </c>
      <c r="O2" s="1" t="s">
        <v>3</v>
      </c>
    </row>
    <row r="3" spans="1:31" x14ac:dyDescent="0.25">
      <c r="B3" s="13">
        <v>42825</v>
      </c>
      <c r="N3" s="12">
        <v>3</v>
      </c>
      <c r="O3" s="1" t="s">
        <v>4</v>
      </c>
      <c r="AB3" s="1" t="s">
        <v>5</v>
      </c>
      <c r="AC3" s="1" t="s">
        <v>6</v>
      </c>
    </row>
    <row r="4" spans="1:31" x14ac:dyDescent="0.25">
      <c r="N4" s="12">
        <v>2016</v>
      </c>
      <c r="O4" s="1" t="s">
        <v>7</v>
      </c>
      <c r="AB4" s="1" t="s">
        <v>8</v>
      </c>
      <c r="AC4" s="1" t="s">
        <v>9</v>
      </c>
    </row>
    <row r="5" spans="1:31" x14ac:dyDescent="0.25">
      <c r="K5" s="14" t="s">
        <v>10</v>
      </c>
      <c r="N5" s="12">
        <v>2017</v>
      </c>
      <c r="O5" s="1" t="s">
        <v>11</v>
      </c>
      <c r="AB5" s="1" t="s">
        <v>12</v>
      </c>
      <c r="AC5" s="1" t="s">
        <v>13</v>
      </c>
    </row>
    <row r="6" spans="1:31" x14ac:dyDescent="0.25">
      <c r="C6" s="15"/>
      <c r="N6" s="12"/>
      <c r="AB6" s="1" t="s">
        <v>14</v>
      </c>
      <c r="AC6" s="1" t="s">
        <v>15</v>
      </c>
    </row>
    <row r="7" spans="1:31" x14ac:dyDescent="0.25">
      <c r="T7" s="16" t="s">
        <v>16</v>
      </c>
      <c r="U7" s="16" t="s">
        <v>17</v>
      </c>
      <c r="V7" s="16" t="s">
        <v>18</v>
      </c>
      <c r="X7" s="16" t="s">
        <v>18</v>
      </c>
      <c r="Y7" s="16" t="s">
        <v>19</v>
      </c>
      <c r="AB7" s="1" t="s">
        <v>20</v>
      </c>
      <c r="AC7" s="1" t="s">
        <v>21</v>
      </c>
    </row>
    <row r="8" spans="1:31" s="16" customFormat="1" x14ac:dyDescent="0.25">
      <c r="A8" s="16" t="s">
        <v>22</v>
      </c>
      <c r="C8" s="16" t="s">
        <v>23</v>
      </c>
      <c r="D8" s="17"/>
      <c r="E8" s="16" t="s">
        <v>24</v>
      </c>
      <c r="H8" s="16" t="s">
        <v>25</v>
      </c>
      <c r="I8" s="16" t="s">
        <v>26</v>
      </c>
      <c r="K8" s="18" t="s">
        <v>27</v>
      </c>
      <c r="L8" s="19" t="s">
        <v>28</v>
      </c>
      <c r="N8" s="19"/>
      <c r="Q8" s="16" t="s">
        <v>29</v>
      </c>
      <c r="R8" s="16" t="s">
        <v>16</v>
      </c>
      <c r="T8" s="16" t="s">
        <v>18</v>
      </c>
      <c r="U8" s="16" t="s">
        <v>30</v>
      </c>
      <c r="V8" s="16" t="s">
        <v>30</v>
      </c>
      <c r="W8" s="16" t="s">
        <v>31</v>
      </c>
      <c r="X8" s="16" t="s">
        <v>32</v>
      </c>
      <c r="Y8" s="16" t="s">
        <v>32</v>
      </c>
      <c r="AD8" s="17"/>
    </row>
    <row r="9" spans="1:31" s="16" customFormat="1" x14ac:dyDescent="0.25">
      <c r="C9" s="16" t="s">
        <v>33</v>
      </c>
      <c r="D9" s="17"/>
      <c r="E9" s="16" t="s">
        <v>34</v>
      </c>
      <c r="F9" s="16" t="s">
        <v>35</v>
      </c>
      <c r="G9" s="16" t="s">
        <v>36</v>
      </c>
      <c r="H9" s="16" t="s">
        <v>37</v>
      </c>
      <c r="I9" s="16" t="s">
        <v>29</v>
      </c>
      <c r="K9" s="18" t="s">
        <v>38</v>
      </c>
      <c r="L9" s="19" t="s">
        <v>38</v>
      </c>
      <c r="M9" s="16" t="s">
        <v>38</v>
      </c>
      <c r="N9" s="19" t="s">
        <v>39</v>
      </c>
      <c r="O9" s="16" t="s">
        <v>40</v>
      </c>
      <c r="P9" s="16" t="s">
        <v>41</v>
      </c>
      <c r="Q9" s="16" t="s">
        <v>25</v>
      </c>
      <c r="R9" s="16" t="s">
        <v>42</v>
      </c>
      <c r="S9" s="16" t="s">
        <v>43</v>
      </c>
      <c r="T9" s="16" t="s">
        <v>41</v>
      </c>
      <c r="U9" s="16" t="s">
        <v>44</v>
      </c>
      <c r="V9" s="16" t="s">
        <v>44</v>
      </c>
      <c r="W9" s="16" t="s">
        <v>45</v>
      </c>
      <c r="X9" s="16" t="s">
        <v>46</v>
      </c>
      <c r="Y9" s="16" t="s">
        <v>44</v>
      </c>
      <c r="Z9" s="16" t="s">
        <v>47</v>
      </c>
      <c r="AD9" s="17"/>
    </row>
    <row r="10" spans="1:31" s="16" customFormat="1" x14ac:dyDescent="0.25">
      <c r="A10" s="16" t="s">
        <v>48</v>
      </c>
      <c r="B10" s="16" t="s">
        <v>49</v>
      </c>
      <c r="C10" s="16" t="s">
        <v>50</v>
      </c>
      <c r="D10" s="17" t="s">
        <v>51</v>
      </c>
      <c r="E10" s="16" t="s">
        <v>43</v>
      </c>
      <c r="F10" s="16" t="s">
        <v>52</v>
      </c>
      <c r="G10" s="16" t="s">
        <v>52</v>
      </c>
      <c r="H10" s="16" t="s">
        <v>46</v>
      </c>
      <c r="I10" s="16" t="s">
        <v>53</v>
      </c>
      <c r="J10" s="16" t="s">
        <v>54</v>
      </c>
      <c r="K10" s="18" t="s">
        <v>55</v>
      </c>
      <c r="L10" s="19" t="s">
        <v>55</v>
      </c>
      <c r="M10" s="16" t="s">
        <v>29</v>
      </c>
      <c r="N10" s="19" t="s">
        <v>55</v>
      </c>
      <c r="O10" s="16" t="s">
        <v>46</v>
      </c>
      <c r="P10" s="16" t="s">
        <v>46</v>
      </c>
      <c r="Q10" s="16" t="s">
        <v>56</v>
      </c>
      <c r="R10" s="16" t="s">
        <v>57</v>
      </c>
      <c r="S10" s="16" t="s">
        <v>45</v>
      </c>
      <c r="T10" s="16" t="s">
        <v>46</v>
      </c>
      <c r="U10" s="20">
        <v>39448</v>
      </c>
      <c r="V10" s="20">
        <v>40603</v>
      </c>
      <c r="W10" s="16" t="s">
        <v>43</v>
      </c>
      <c r="X10" s="20">
        <v>39448</v>
      </c>
      <c r="Y10" s="20">
        <v>42825</v>
      </c>
      <c r="Z10" s="16" t="s">
        <v>58</v>
      </c>
      <c r="AA10" s="16" t="s">
        <v>5</v>
      </c>
      <c r="AB10" s="16" t="s">
        <v>59</v>
      </c>
      <c r="AC10" s="16" t="s">
        <v>60</v>
      </c>
      <c r="AD10" s="17" t="s">
        <v>14</v>
      </c>
      <c r="AE10" s="16" t="s">
        <v>20</v>
      </c>
    </row>
    <row r="11" spans="1:31" x14ac:dyDescent="0.25">
      <c r="B11" s="21" t="s">
        <v>61</v>
      </c>
      <c r="C11" s="21" t="s">
        <v>61</v>
      </c>
      <c r="D11" s="22" t="s">
        <v>61</v>
      </c>
      <c r="E11" s="21" t="s">
        <v>61</v>
      </c>
      <c r="F11" s="21" t="s">
        <v>61</v>
      </c>
      <c r="G11" s="21" t="s">
        <v>61</v>
      </c>
      <c r="H11" s="21" t="s">
        <v>61</v>
      </c>
      <c r="I11" s="21" t="s">
        <v>61</v>
      </c>
      <c r="J11" s="21" t="s">
        <v>61</v>
      </c>
      <c r="K11" s="23"/>
      <c r="L11" s="24" t="s">
        <v>61</v>
      </c>
      <c r="M11" s="21" t="s">
        <v>61</v>
      </c>
      <c r="N11" s="24" t="s">
        <v>61</v>
      </c>
      <c r="O11" s="21" t="s">
        <v>61</v>
      </c>
      <c r="P11" s="21" t="s">
        <v>61</v>
      </c>
      <c r="Q11" s="21" t="s">
        <v>61</v>
      </c>
      <c r="R11" s="21" t="s">
        <v>61</v>
      </c>
      <c r="S11" s="21" t="s">
        <v>61</v>
      </c>
      <c r="T11" s="21" t="s">
        <v>61</v>
      </c>
      <c r="U11" s="21" t="s">
        <v>61</v>
      </c>
      <c r="V11" s="21" t="s">
        <v>61</v>
      </c>
      <c r="W11" s="21" t="s">
        <v>61</v>
      </c>
      <c r="X11" s="21" t="s">
        <v>61</v>
      </c>
      <c r="Y11" s="21" t="s">
        <v>61</v>
      </c>
      <c r="Z11" s="21" t="s">
        <v>61</v>
      </c>
    </row>
    <row r="12" spans="1:31" x14ac:dyDescent="0.25">
      <c r="B12" s="25" t="s">
        <v>62</v>
      </c>
      <c r="C12" s="21"/>
      <c r="D12" s="26"/>
      <c r="E12" s="21"/>
      <c r="F12" s="21"/>
      <c r="G12" s="21"/>
      <c r="H12" s="21"/>
      <c r="I12" s="21"/>
      <c r="J12" s="21"/>
      <c r="K12" s="23"/>
      <c r="L12" s="24"/>
      <c r="M12" s="21"/>
      <c r="N12" s="24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31" ht="15.75" x14ac:dyDescent="0.25">
      <c r="A13" s="27">
        <v>304</v>
      </c>
      <c r="B13" s="1" t="s">
        <v>63</v>
      </c>
      <c r="C13" s="28">
        <v>1999</v>
      </c>
      <c r="D13" s="26">
        <v>6</v>
      </c>
      <c r="E13" s="29">
        <f>IF(G13=5,0.33,0.2)</f>
        <v>0.33</v>
      </c>
      <c r="F13" s="16" t="s">
        <v>64</v>
      </c>
      <c r="G13" s="4">
        <v>5</v>
      </c>
      <c r="H13" s="28">
        <f>C13+G13</f>
        <v>2004</v>
      </c>
      <c r="K13" s="10">
        <v>35000</v>
      </c>
      <c r="L13" s="30">
        <v>20000</v>
      </c>
      <c r="M13" s="3">
        <v>0</v>
      </c>
      <c r="N13" s="31">
        <f>L13-L13*E13</f>
        <v>13400</v>
      </c>
      <c r="O13" s="32">
        <f t="shared" ref="O13:O76" si="0">N13/G13/12</f>
        <v>223.33333333333334</v>
      </c>
      <c r="P13" s="32">
        <f t="shared" ref="P13:P76" si="1">IF(M13&gt;0,0,IF(OR(AA13&gt;AB13,AC13&lt;AD13),0,IF(AND(AC13&gt;=AD13,AC13&lt;=AB13),O13*((AC13-AD13)*12),IF(AND(AD13&lt;=AA13,AB13&gt;=AA13),((AB13-AA13)*12)*O13,IF(AC13&gt;AB13,12*O13,0)))))</f>
        <v>0</v>
      </c>
      <c r="Q13" s="3">
        <f t="shared" ref="Q13:Q76" si="2">IF(M13=0,0,IF(AND(AE13&gt;=AD13,AE13&lt;=AC13),((AE13-AD13)*12)*O13,0))</f>
        <v>0</v>
      </c>
      <c r="R13" s="33">
        <f t="shared" ref="R13:R76" si="3">IF(Q13&gt;0,Q13,P13)</f>
        <v>0</v>
      </c>
      <c r="S13" s="34">
        <v>0.9</v>
      </c>
      <c r="T13" s="33">
        <f t="shared" ref="T13:T76" si="4">S13*R13</f>
        <v>0</v>
      </c>
      <c r="U13" s="32">
        <f t="shared" ref="U13:U76" si="5">IF(AA13&gt;AB13,0,IF(AC13&lt;AD13,N13,IF(AND(AC13&gt;=AD13,AC13&lt;=AB13),(N13-R13),IF(AND(AD13&lt;=AA13,AB13&gt;=AA13),0,IF(AC13&gt;AB13,((AD13-AA13)*12)*O13,0)))))</f>
        <v>13400</v>
      </c>
      <c r="V13" s="33">
        <f t="shared" ref="V13:V76" si="6">U13*S13</f>
        <v>12060</v>
      </c>
      <c r="W13" s="34">
        <v>1</v>
      </c>
      <c r="X13" s="33">
        <f t="shared" ref="X13:X76" si="7">V13*W13</f>
        <v>12060</v>
      </c>
      <c r="Y13" s="32">
        <f t="shared" ref="Y13:Y76" si="8">IF(M13&gt;0,0,X13+T13*W13)*W13</f>
        <v>12060</v>
      </c>
      <c r="Z13" s="33">
        <f t="shared" ref="Z13:Z76" si="9">IF(M13&gt;0,(L13-X13)/2,IF(AA13&gt;=AD13,(((L13*S13)*W13)-Y13)/2,((((L13*S13)*W13)-X13)+(((L13*S13)*W13)-Y13))/2))</f>
        <v>5940</v>
      </c>
      <c r="AA13" s="35">
        <f t="shared" ref="AA13:AA76" si="10">$C13+(($D13-1)/12)</f>
        <v>1999.4166666666667</v>
      </c>
      <c r="AB13" s="3">
        <f t="shared" ref="AB13:AB76" si="11">($N$5+1)-($N$2/12)</f>
        <v>2017.25</v>
      </c>
      <c r="AC13" s="35">
        <f>$H13+(($D13-1)/12)</f>
        <v>2004.4166666666667</v>
      </c>
      <c r="AD13" s="4">
        <f t="shared" ref="AD13:AD76" si="12">$N$4+($N$3/12)</f>
        <v>2016.25</v>
      </c>
      <c r="AE13" s="3">
        <f t="shared" ref="AE13:AE76" si="13">$I13+(($J13-1)/12)</f>
        <v>-8.3333333333333329E-2</v>
      </c>
    </row>
    <row r="14" spans="1:31" ht="15.75" x14ac:dyDescent="0.25">
      <c r="A14" s="27">
        <v>304</v>
      </c>
      <c r="B14" s="1" t="s">
        <v>65</v>
      </c>
      <c r="C14" s="28">
        <v>2015</v>
      </c>
      <c r="D14" s="26">
        <v>8</v>
      </c>
      <c r="E14" s="29">
        <v>0</v>
      </c>
      <c r="F14" s="16" t="s">
        <v>64</v>
      </c>
      <c r="G14" s="4">
        <v>5</v>
      </c>
      <c r="H14" s="28">
        <f>C14+G14</f>
        <v>2020</v>
      </c>
      <c r="K14" s="10">
        <v>35000</v>
      </c>
      <c r="L14" s="30">
        <v>5997</v>
      </c>
      <c r="M14" s="3">
        <v>0</v>
      </c>
      <c r="N14" s="31">
        <f>L14-L14*E14</f>
        <v>5997</v>
      </c>
      <c r="O14" s="32">
        <f t="shared" si="0"/>
        <v>99.95</v>
      </c>
      <c r="P14" s="32">
        <f t="shared" si="1"/>
        <v>1199.4000000000001</v>
      </c>
      <c r="Q14" s="3">
        <f t="shared" si="2"/>
        <v>0</v>
      </c>
      <c r="R14" s="33">
        <f t="shared" si="3"/>
        <v>1199.4000000000001</v>
      </c>
      <c r="S14" s="34">
        <v>0.9</v>
      </c>
      <c r="T14" s="33">
        <f t="shared" si="4"/>
        <v>1079.46</v>
      </c>
      <c r="U14" s="32">
        <f t="shared" si="5"/>
        <v>799.60000000009097</v>
      </c>
      <c r="V14" s="33">
        <f t="shared" si="6"/>
        <v>719.64000000008184</v>
      </c>
      <c r="W14" s="34">
        <v>1</v>
      </c>
      <c r="X14" s="33">
        <f t="shared" si="7"/>
        <v>719.64000000008184</v>
      </c>
      <c r="Y14" s="32">
        <f t="shared" si="8"/>
        <v>1799.1000000000818</v>
      </c>
      <c r="Z14" s="33">
        <f t="shared" si="9"/>
        <v>4137.9299999999184</v>
      </c>
      <c r="AA14" s="35">
        <f t="shared" si="10"/>
        <v>2015.5833333333333</v>
      </c>
      <c r="AB14" s="3">
        <f t="shared" si="11"/>
        <v>2017.25</v>
      </c>
      <c r="AC14" s="35">
        <f>$H14+(($D14-1)/12)</f>
        <v>2020.5833333333333</v>
      </c>
      <c r="AD14" s="4">
        <f t="shared" si="12"/>
        <v>2016.25</v>
      </c>
      <c r="AE14" s="3">
        <f t="shared" si="13"/>
        <v>-8.3333333333333329E-2</v>
      </c>
    </row>
    <row r="15" spans="1:31" ht="15.75" x14ac:dyDescent="0.25">
      <c r="A15" s="27">
        <v>305</v>
      </c>
      <c r="B15" s="1" t="s">
        <v>66</v>
      </c>
      <c r="C15" s="28">
        <v>1999</v>
      </c>
      <c r="D15" s="26">
        <v>5</v>
      </c>
      <c r="E15" s="29">
        <f>IF(G15=5,0.33,0.2)</f>
        <v>0.33</v>
      </c>
      <c r="F15" s="16" t="s">
        <v>64</v>
      </c>
      <c r="G15" s="4">
        <v>5</v>
      </c>
      <c r="H15" s="28">
        <f>C15+G15</f>
        <v>2004</v>
      </c>
      <c r="K15" s="10">
        <f>35000+16620.24</f>
        <v>51620.240000000005</v>
      </c>
      <c r="L15" s="30">
        <v>48000</v>
      </c>
      <c r="M15" s="3">
        <v>0</v>
      </c>
      <c r="N15" s="31">
        <f>L15-L15*E15</f>
        <v>32160</v>
      </c>
      <c r="O15" s="32">
        <f t="shared" si="0"/>
        <v>536</v>
      </c>
      <c r="P15" s="32">
        <f t="shared" si="1"/>
        <v>0</v>
      </c>
      <c r="Q15" s="3">
        <f t="shared" si="2"/>
        <v>0</v>
      </c>
      <c r="R15" s="33">
        <f t="shared" si="3"/>
        <v>0</v>
      </c>
      <c r="S15" s="34">
        <v>1</v>
      </c>
      <c r="T15" s="33">
        <f t="shared" si="4"/>
        <v>0</v>
      </c>
      <c r="U15" s="32">
        <f t="shared" si="5"/>
        <v>32160</v>
      </c>
      <c r="V15" s="33">
        <f t="shared" si="6"/>
        <v>32160</v>
      </c>
      <c r="W15" s="34">
        <v>1</v>
      </c>
      <c r="X15" s="33">
        <f t="shared" si="7"/>
        <v>32160</v>
      </c>
      <c r="Y15" s="32">
        <f t="shared" si="8"/>
        <v>32160</v>
      </c>
      <c r="Z15" s="33">
        <f t="shared" si="9"/>
        <v>15840</v>
      </c>
      <c r="AA15" s="35">
        <f t="shared" si="10"/>
        <v>1999.3333333333333</v>
      </c>
      <c r="AB15" s="3">
        <f t="shared" si="11"/>
        <v>2017.25</v>
      </c>
      <c r="AC15" s="35">
        <f>$H15+(($D15-1)/12)</f>
        <v>2004.3333333333333</v>
      </c>
      <c r="AD15" s="4">
        <f t="shared" si="12"/>
        <v>2016.25</v>
      </c>
      <c r="AE15" s="3">
        <f t="shared" si="13"/>
        <v>-8.3333333333333329E-2</v>
      </c>
    </row>
    <row r="16" spans="1:31" ht="15.75" x14ac:dyDescent="0.25">
      <c r="A16" s="27"/>
      <c r="B16" s="1" t="s">
        <v>67</v>
      </c>
      <c r="C16" s="28">
        <v>2004</v>
      </c>
      <c r="D16" s="26">
        <v>2</v>
      </c>
      <c r="E16" s="29">
        <f>IF(G16=5,0.33,0.2)</f>
        <v>0.33</v>
      </c>
      <c r="F16" s="16" t="s">
        <v>64</v>
      </c>
      <c r="G16" s="4">
        <v>5</v>
      </c>
      <c r="H16" s="28">
        <f>C16+G16</f>
        <v>2009</v>
      </c>
      <c r="L16" s="30">
        <v>5842.8</v>
      </c>
      <c r="M16" s="3">
        <v>0</v>
      </c>
      <c r="N16" s="31">
        <f>L16-L16*E16</f>
        <v>3914.6759999999999</v>
      </c>
      <c r="O16" s="32">
        <f t="shared" si="0"/>
        <v>65.244600000000005</v>
      </c>
      <c r="P16" s="32">
        <f t="shared" si="1"/>
        <v>0</v>
      </c>
      <c r="Q16" s="3">
        <f t="shared" si="2"/>
        <v>0</v>
      </c>
      <c r="R16" s="33">
        <f t="shared" si="3"/>
        <v>0</v>
      </c>
      <c r="S16" s="34">
        <v>1</v>
      </c>
      <c r="T16" s="33">
        <f t="shared" si="4"/>
        <v>0</v>
      </c>
      <c r="U16" s="32">
        <f t="shared" si="5"/>
        <v>3914.6759999999999</v>
      </c>
      <c r="V16" s="33">
        <f t="shared" si="6"/>
        <v>3914.6759999999999</v>
      </c>
      <c r="W16" s="34">
        <v>1</v>
      </c>
      <c r="X16" s="33">
        <f t="shared" si="7"/>
        <v>3914.6759999999999</v>
      </c>
      <c r="Y16" s="32">
        <f t="shared" si="8"/>
        <v>3914.6759999999999</v>
      </c>
      <c r="Z16" s="33">
        <f t="shared" si="9"/>
        <v>1928.1240000000003</v>
      </c>
      <c r="AA16" s="35">
        <f t="shared" si="10"/>
        <v>2004.0833333333333</v>
      </c>
      <c r="AB16" s="3">
        <f t="shared" si="11"/>
        <v>2017.25</v>
      </c>
      <c r="AC16" s="35">
        <f>$H16+(($D16-1)/12)</f>
        <v>2009.0833333333333</v>
      </c>
      <c r="AD16" s="4">
        <f t="shared" si="12"/>
        <v>2016.25</v>
      </c>
      <c r="AE16" s="3">
        <f t="shared" si="13"/>
        <v>-8.3333333333333329E-2</v>
      </c>
    </row>
    <row r="17" spans="1:31" ht="15.75" x14ac:dyDescent="0.25">
      <c r="A17" s="27">
        <v>306</v>
      </c>
      <c r="B17" s="1" t="s">
        <v>68</v>
      </c>
      <c r="C17" s="28">
        <v>1999</v>
      </c>
      <c r="D17" s="26">
        <v>6</v>
      </c>
      <c r="E17" s="29">
        <f>IF(G17=5,0.33,0.2)</f>
        <v>0.33</v>
      </c>
      <c r="F17" s="16" t="s">
        <v>64</v>
      </c>
      <c r="G17" s="4">
        <v>5</v>
      </c>
      <c r="H17" s="28">
        <f>C17+G17</f>
        <v>2004</v>
      </c>
      <c r="K17" s="10">
        <v>35000</v>
      </c>
      <c r="L17" s="30">
        <v>20400</v>
      </c>
      <c r="M17" s="3">
        <v>0</v>
      </c>
      <c r="N17" s="31">
        <f>L17-L17*E17</f>
        <v>13668</v>
      </c>
      <c r="O17" s="32">
        <f t="shared" si="0"/>
        <v>227.79999999999998</v>
      </c>
      <c r="P17" s="32">
        <f t="shared" si="1"/>
        <v>0</v>
      </c>
      <c r="Q17" s="3">
        <f t="shared" si="2"/>
        <v>0</v>
      </c>
      <c r="R17" s="33">
        <f t="shared" si="3"/>
        <v>0</v>
      </c>
      <c r="S17" s="34">
        <v>1</v>
      </c>
      <c r="T17" s="33">
        <f t="shared" si="4"/>
        <v>0</v>
      </c>
      <c r="U17" s="32">
        <f t="shared" si="5"/>
        <v>13668</v>
      </c>
      <c r="V17" s="33">
        <f t="shared" si="6"/>
        <v>13668</v>
      </c>
      <c r="W17" s="34">
        <v>1</v>
      </c>
      <c r="X17" s="33">
        <f t="shared" si="7"/>
        <v>13668</v>
      </c>
      <c r="Y17" s="32">
        <f t="shared" si="8"/>
        <v>13668</v>
      </c>
      <c r="Z17" s="33">
        <f t="shared" si="9"/>
        <v>6732</v>
      </c>
      <c r="AA17" s="35">
        <f t="shared" si="10"/>
        <v>1999.4166666666667</v>
      </c>
      <c r="AB17" s="3">
        <f t="shared" si="11"/>
        <v>2017.25</v>
      </c>
      <c r="AC17" s="35">
        <f>$H17+(($D17-1)/12)</f>
        <v>2004.4166666666667</v>
      </c>
      <c r="AD17" s="4">
        <f t="shared" si="12"/>
        <v>2016.25</v>
      </c>
      <c r="AE17" s="3">
        <f t="shared" si="13"/>
        <v>-8.3333333333333329E-2</v>
      </c>
    </row>
    <row r="18" spans="1:31" ht="15.75" x14ac:dyDescent="0.25">
      <c r="A18" s="27">
        <v>306</v>
      </c>
      <c r="B18" s="1" t="s">
        <v>69</v>
      </c>
      <c r="C18" s="28">
        <v>2011</v>
      </c>
      <c r="D18" s="26">
        <v>3</v>
      </c>
      <c r="E18" s="29">
        <v>0.33</v>
      </c>
      <c r="F18" s="16" t="s">
        <v>64</v>
      </c>
      <c r="G18" s="4">
        <v>5</v>
      </c>
      <c r="H18" s="28">
        <f>C18+G18</f>
        <v>2016</v>
      </c>
      <c r="K18" s="10">
        <v>4457.38</v>
      </c>
      <c r="L18" s="30">
        <v>4457.38</v>
      </c>
      <c r="M18" s="3">
        <v>0</v>
      </c>
      <c r="N18" s="31">
        <f>L18-L18*E18</f>
        <v>2986.4445999999998</v>
      </c>
      <c r="O18" s="32">
        <f t="shared" si="0"/>
        <v>49.774076666666666</v>
      </c>
      <c r="P18" s="32">
        <f t="shared" si="1"/>
        <v>0</v>
      </c>
      <c r="Q18" s="3">
        <f t="shared" si="2"/>
        <v>0</v>
      </c>
      <c r="R18" s="33">
        <f t="shared" si="3"/>
        <v>0</v>
      </c>
      <c r="S18" s="34">
        <v>1</v>
      </c>
      <c r="T18" s="33">
        <f t="shared" si="4"/>
        <v>0</v>
      </c>
      <c r="U18" s="32">
        <f t="shared" si="5"/>
        <v>2986.4445999999998</v>
      </c>
      <c r="V18" s="33">
        <f t="shared" si="6"/>
        <v>2986.4445999999998</v>
      </c>
      <c r="W18" s="34">
        <v>1</v>
      </c>
      <c r="X18" s="33">
        <f t="shared" si="7"/>
        <v>2986.4445999999998</v>
      </c>
      <c r="Y18" s="32">
        <f t="shared" si="8"/>
        <v>2986.4445999999998</v>
      </c>
      <c r="Z18" s="33">
        <f t="shared" si="9"/>
        <v>1470.9354000000003</v>
      </c>
      <c r="AA18" s="35">
        <f t="shared" si="10"/>
        <v>2011.1666666666667</v>
      </c>
      <c r="AB18" s="3">
        <f t="shared" si="11"/>
        <v>2017.25</v>
      </c>
      <c r="AC18" s="35">
        <f>$H18+(($D18-1)/12)</f>
        <v>2016.1666666666667</v>
      </c>
      <c r="AD18" s="4">
        <f t="shared" si="12"/>
        <v>2016.25</v>
      </c>
      <c r="AE18" s="3">
        <f t="shared" si="13"/>
        <v>-8.3333333333333329E-2</v>
      </c>
    </row>
    <row r="19" spans="1:31" ht="15.75" x14ac:dyDescent="0.25">
      <c r="A19" s="27"/>
      <c r="B19" s="1" t="s">
        <v>67</v>
      </c>
      <c r="C19" s="28">
        <v>2004</v>
      </c>
      <c r="D19" s="26">
        <v>2</v>
      </c>
      <c r="E19" s="29">
        <f>IF(G19=5,0.33,0.2)</f>
        <v>0.33</v>
      </c>
      <c r="F19" s="16" t="s">
        <v>64</v>
      </c>
      <c r="G19" s="4">
        <v>5</v>
      </c>
      <c r="H19" s="28">
        <f>C19+G19</f>
        <v>2009</v>
      </c>
      <c r="L19" s="30">
        <v>5842.81</v>
      </c>
      <c r="M19" s="3">
        <v>0</v>
      </c>
      <c r="N19" s="31">
        <f>L19-L19*E19</f>
        <v>3914.6827000000003</v>
      </c>
      <c r="O19" s="32">
        <f t="shared" si="0"/>
        <v>65.244711666666674</v>
      </c>
      <c r="P19" s="32">
        <f t="shared" si="1"/>
        <v>0</v>
      </c>
      <c r="Q19" s="3">
        <f t="shared" si="2"/>
        <v>0</v>
      </c>
      <c r="R19" s="33">
        <f t="shared" si="3"/>
        <v>0</v>
      </c>
      <c r="S19" s="34">
        <v>0.79</v>
      </c>
      <c r="T19" s="33">
        <f t="shared" si="4"/>
        <v>0</v>
      </c>
      <c r="U19" s="32">
        <f t="shared" si="5"/>
        <v>3914.6827000000003</v>
      </c>
      <c r="V19" s="33">
        <f t="shared" si="6"/>
        <v>3092.5993330000006</v>
      </c>
      <c r="W19" s="34">
        <v>1</v>
      </c>
      <c r="X19" s="33">
        <f t="shared" si="7"/>
        <v>3092.5993330000006</v>
      </c>
      <c r="Y19" s="32">
        <f t="shared" si="8"/>
        <v>3092.5993330000006</v>
      </c>
      <c r="Z19" s="33">
        <f t="shared" si="9"/>
        <v>1523.2205669999998</v>
      </c>
      <c r="AA19" s="35">
        <f t="shared" si="10"/>
        <v>2004.0833333333333</v>
      </c>
      <c r="AB19" s="3">
        <f t="shared" si="11"/>
        <v>2017.25</v>
      </c>
      <c r="AC19" s="35">
        <f>$H19+(($D19-1)/12)</f>
        <v>2009.0833333333333</v>
      </c>
      <c r="AD19" s="4">
        <f t="shared" si="12"/>
        <v>2016.25</v>
      </c>
      <c r="AE19" s="3">
        <f t="shared" si="13"/>
        <v>-8.3333333333333329E-2</v>
      </c>
    </row>
    <row r="20" spans="1:31" ht="15.75" x14ac:dyDescent="0.25">
      <c r="A20" s="27"/>
      <c r="B20" s="1" t="s">
        <v>70</v>
      </c>
      <c r="C20" s="28">
        <v>2004</v>
      </c>
      <c r="D20" s="26">
        <v>7</v>
      </c>
      <c r="E20" s="29">
        <f>IF(G20=5,0.33,0.2)</f>
        <v>0.33</v>
      </c>
      <c r="F20" s="16" t="s">
        <v>64</v>
      </c>
      <c r="G20" s="4">
        <v>5</v>
      </c>
      <c r="H20" s="28">
        <f>C20+G20</f>
        <v>2009</v>
      </c>
      <c r="L20" s="30">
        <v>5227.8100000000004</v>
      </c>
      <c r="M20" s="3">
        <v>0</v>
      </c>
      <c r="N20" s="31">
        <f>L20-L20*E20</f>
        <v>3502.6327000000001</v>
      </c>
      <c r="O20" s="32">
        <f t="shared" si="0"/>
        <v>58.377211666666675</v>
      </c>
      <c r="P20" s="32">
        <f t="shared" si="1"/>
        <v>0</v>
      </c>
      <c r="Q20" s="3">
        <f t="shared" si="2"/>
        <v>0</v>
      </c>
      <c r="R20" s="33">
        <f t="shared" si="3"/>
        <v>0</v>
      </c>
      <c r="S20" s="34">
        <v>0.79</v>
      </c>
      <c r="T20" s="33">
        <f t="shared" si="4"/>
        <v>0</v>
      </c>
      <c r="U20" s="32">
        <f t="shared" si="5"/>
        <v>3502.6327000000001</v>
      </c>
      <c r="V20" s="33">
        <f t="shared" si="6"/>
        <v>2767.0798330000002</v>
      </c>
      <c r="W20" s="34">
        <v>1</v>
      </c>
      <c r="X20" s="33">
        <f t="shared" si="7"/>
        <v>2767.0798330000002</v>
      </c>
      <c r="Y20" s="32">
        <f t="shared" si="8"/>
        <v>2767.0798330000002</v>
      </c>
      <c r="Z20" s="33">
        <f t="shared" si="9"/>
        <v>1362.8900669999998</v>
      </c>
      <c r="AA20" s="35">
        <f t="shared" si="10"/>
        <v>2004.5</v>
      </c>
      <c r="AB20" s="3">
        <f t="shared" si="11"/>
        <v>2017.25</v>
      </c>
      <c r="AC20" s="35">
        <f>$H20+(($D20-1)/12)</f>
        <v>2009.5</v>
      </c>
      <c r="AD20" s="4">
        <f t="shared" si="12"/>
        <v>2016.25</v>
      </c>
      <c r="AE20" s="3">
        <f t="shared" si="13"/>
        <v>-8.3333333333333329E-2</v>
      </c>
    </row>
    <row r="21" spans="1:31" ht="15.75" x14ac:dyDescent="0.25">
      <c r="A21" s="27">
        <v>320</v>
      </c>
      <c r="B21" s="1" t="s">
        <v>71</v>
      </c>
      <c r="C21" s="28">
        <v>2007</v>
      </c>
      <c r="D21" s="26">
        <v>7</v>
      </c>
      <c r="E21" s="29">
        <f>IF(G21=5,0.33,0.2)</f>
        <v>0.2</v>
      </c>
      <c r="F21" s="16" t="s">
        <v>64</v>
      </c>
      <c r="G21" s="4">
        <v>7</v>
      </c>
      <c r="H21" s="28">
        <f>C21+G21</f>
        <v>2014</v>
      </c>
      <c r="K21" s="10">
        <v>232421.42</v>
      </c>
      <c r="L21" s="30">
        <v>232421.42</v>
      </c>
      <c r="M21" s="3">
        <v>0</v>
      </c>
      <c r="N21" s="31">
        <f>L21-L21*E21</f>
        <v>185937.136</v>
      </c>
      <c r="O21" s="32">
        <f t="shared" si="0"/>
        <v>2213.5373333333332</v>
      </c>
      <c r="P21" s="32">
        <f t="shared" si="1"/>
        <v>0</v>
      </c>
      <c r="Q21" s="3">
        <f t="shared" si="2"/>
        <v>0</v>
      </c>
      <c r="R21" s="33">
        <f t="shared" si="3"/>
        <v>0</v>
      </c>
      <c r="S21" s="34">
        <v>0.8</v>
      </c>
      <c r="T21" s="33">
        <f t="shared" si="4"/>
        <v>0</v>
      </c>
      <c r="U21" s="32">
        <f t="shared" si="5"/>
        <v>185937.136</v>
      </c>
      <c r="V21" s="33">
        <f t="shared" si="6"/>
        <v>148749.70879999999</v>
      </c>
      <c r="W21" s="34">
        <v>1</v>
      </c>
      <c r="X21" s="33">
        <f t="shared" si="7"/>
        <v>148749.70879999999</v>
      </c>
      <c r="Y21" s="32">
        <f t="shared" si="8"/>
        <v>148749.70879999999</v>
      </c>
      <c r="Z21" s="33">
        <f t="shared" si="9"/>
        <v>37187.427200000035</v>
      </c>
      <c r="AA21" s="35">
        <f t="shared" si="10"/>
        <v>2007.5</v>
      </c>
      <c r="AB21" s="3">
        <f t="shared" si="11"/>
        <v>2017.25</v>
      </c>
      <c r="AC21" s="35">
        <f>$H21+(($D21-1)/12)</f>
        <v>2014.5</v>
      </c>
      <c r="AD21" s="4">
        <f t="shared" si="12"/>
        <v>2016.25</v>
      </c>
      <c r="AE21" s="3">
        <f t="shared" si="13"/>
        <v>-8.3333333333333329E-2</v>
      </c>
    </row>
    <row r="22" spans="1:31" ht="15.75" x14ac:dyDescent="0.25">
      <c r="A22" s="27">
        <v>320</v>
      </c>
      <c r="B22" s="1" t="s">
        <v>72</v>
      </c>
      <c r="C22" s="28">
        <v>2012</v>
      </c>
      <c r="D22" s="26">
        <v>7</v>
      </c>
      <c r="E22" s="29">
        <f>IF(G22=5,0.33,0.2)</f>
        <v>0.2</v>
      </c>
      <c r="F22" s="16" t="s">
        <v>64</v>
      </c>
      <c r="G22" s="4">
        <v>7</v>
      </c>
      <c r="H22" s="28">
        <f>C22+G22</f>
        <v>2019</v>
      </c>
      <c r="K22" s="10">
        <v>13383.88</v>
      </c>
      <c r="L22" s="30">
        <v>13384</v>
      </c>
      <c r="M22" s="3">
        <v>0</v>
      </c>
      <c r="N22" s="31">
        <f>L22-L22*E22</f>
        <v>10707.2</v>
      </c>
      <c r="O22" s="32">
        <f t="shared" si="0"/>
        <v>127.46666666666668</v>
      </c>
      <c r="P22" s="32">
        <f t="shared" si="1"/>
        <v>1529.6000000000001</v>
      </c>
      <c r="Q22" s="3">
        <f t="shared" si="2"/>
        <v>0</v>
      </c>
      <c r="R22" s="33">
        <f t="shared" si="3"/>
        <v>1529.6000000000001</v>
      </c>
      <c r="S22" s="34">
        <v>0.8</v>
      </c>
      <c r="T22" s="33">
        <f t="shared" si="4"/>
        <v>1223.68</v>
      </c>
      <c r="U22" s="32">
        <f t="shared" si="5"/>
        <v>5736.0000000000009</v>
      </c>
      <c r="V22" s="33">
        <f t="shared" si="6"/>
        <v>4588.8000000000011</v>
      </c>
      <c r="W22" s="34">
        <v>1</v>
      </c>
      <c r="X22" s="33">
        <f t="shared" si="7"/>
        <v>4588.8000000000011</v>
      </c>
      <c r="Y22" s="32">
        <f t="shared" si="8"/>
        <v>5812.4800000000014</v>
      </c>
      <c r="Z22" s="33">
        <f t="shared" si="9"/>
        <v>5506.5599999999995</v>
      </c>
      <c r="AA22" s="35">
        <f t="shared" si="10"/>
        <v>2012.5</v>
      </c>
      <c r="AB22" s="3">
        <f t="shared" si="11"/>
        <v>2017.25</v>
      </c>
      <c r="AC22" s="35">
        <f>$H22+(($D22-1)/12)</f>
        <v>2019.5</v>
      </c>
      <c r="AD22" s="4">
        <f t="shared" si="12"/>
        <v>2016.25</v>
      </c>
      <c r="AE22" s="3">
        <f t="shared" si="13"/>
        <v>-8.3333333333333329E-2</v>
      </c>
    </row>
    <row r="23" spans="1:31" ht="15.75" x14ac:dyDescent="0.25">
      <c r="A23" s="27">
        <v>322</v>
      </c>
      <c r="B23" s="1" t="s">
        <v>71</v>
      </c>
      <c r="C23" s="28">
        <v>2010</v>
      </c>
      <c r="D23" s="26">
        <v>9</v>
      </c>
      <c r="E23" s="29">
        <v>0.33</v>
      </c>
      <c r="F23" s="16" t="s">
        <v>64</v>
      </c>
      <c r="G23" s="4">
        <v>7</v>
      </c>
      <c r="H23" s="28">
        <f>C23+G23</f>
        <v>2017</v>
      </c>
      <c r="K23" s="10">
        <v>185567.34</v>
      </c>
      <c r="L23" s="30">
        <f>+K23</f>
        <v>185567.34</v>
      </c>
      <c r="N23" s="31">
        <f>L23-L23*E23</f>
        <v>124330.11779999999</v>
      </c>
      <c r="O23" s="32">
        <f t="shared" si="0"/>
        <v>1480.1204500000001</v>
      </c>
      <c r="P23" s="32">
        <f t="shared" si="1"/>
        <v>17761.445400000001</v>
      </c>
      <c r="Q23" s="3">
        <f t="shared" si="2"/>
        <v>0</v>
      </c>
      <c r="R23" s="33">
        <f t="shared" si="3"/>
        <v>17761.445400000001</v>
      </c>
      <c r="S23" s="34">
        <v>1</v>
      </c>
      <c r="T23" s="33">
        <f t="shared" si="4"/>
        <v>17761.445400000001</v>
      </c>
      <c r="U23" s="32">
        <f t="shared" si="5"/>
        <v>99168.070149998661</v>
      </c>
      <c r="V23" s="33">
        <f t="shared" si="6"/>
        <v>99168.070149998661</v>
      </c>
      <c r="W23" s="34">
        <v>1</v>
      </c>
      <c r="X23" s="33">
        <f t="shared" si="7"/>
        <v>99168.070149998661</v>
      </c>
      <c r="Y23" s="32">
        <f t="shared" si="8"/>
        <v>116929.51554999866</v>
      </c>
      <c r="Z23" s="33">
        <f t="shared" si="9"/>
        <v>77518.547150001337</v>
      </c>
      <c r="AA23" s="35">
        <f t="shared" si="10"/>
        <v>2010.6666666666667</v>
      </c>
      <c r="AB23" s="3">
        <f t="shared" si="11"/>
        <v>2017.25</v>
      </c>
      <c r="AC23" s="35">
        <f>$H23+(($D23-1)/12)</f>
        <v>2017.6666666666667</v>
      </c>
      <c r="AD23" s="4">
        <f t="shared" si="12"/>
        <v>2016.25</v>
      </c>
      <c r="AE23" s="3">
        <f t="shared" si="13"/>
        <v>-8.3333333333333329E-2</v>
      </c>
    </row>
    <row r="24" spans="1:31" ht="15.75" x14ac:dyDescent="0.25">
      <c r="A24" s="27">
        <v>322</v>
      </c>
      <c r="B24" s="1" t="s">
        <v>73</v>
      </c>
      <c r="C24" s="28">
        <v>2015</v>
      </c>
      <c r="D24" s="26">
        <v>8</v>
      </c>
      <c r="E24" s="29">
        <v>0</v>
      </c>
      <c r="F24" s="16" t="s">
        <v>64</v>
      </c>
      <c r="G24" s="4">
        <v>5</v>
      </c>
      <c r="H24" s="28">
        <f>C24+G24</f>
        <v>2020</v>
      </c>
      <c r="K24" s="10">
        <v>185567.34</v>
      </c>
      <c r="L24" s="30">
        <v>14558</v>
      </c>
      <c r="N24" s="31">
        <f>L24-L24*E24</f>
        <v>14558</v>
      </c>
      <c r="O24" s="32">
        <f t="shared" si="0"/>
        <v>242.63333333333333</v>
      </c>
      <c r="P24" s="32">
        <f t="shared" si="1"/>
        <v>2911.6</v>
      </c>
      <c r="Q24" s="3">
        <f t="shared" si="2"/>
        <v>0</v>
      </c>
      <c r="R24" s="33">
        <f t="shared" si="3"/>
        <v>2911.6</v>
      </c>
      <c r="S24" s="34">
        <v>1</v>
      </c>
      <c r="T24" s="33">
        <f t="shared" si="4"/>
        <v>2911.6</v>
      </c>
      <c r="U24" s="32">
        <f t="shared" si="5"/>
        <v>1941.0666666668874</v>
      </c>
      <c r="V24" s="33">
        <f t="shared" si="6"/>
        <v>1941.0666666668874</v>
      </c>
      <c r="W24" s="34">
        <v>1</v>
      </c>
      <c r="X24" s="33">
        <f t="shared" si="7"/>
        <v>1941.0666666668874</v>
      </c>
      <c r="Y24" s="32">
        <f t="shared" si="8"/>
        <v>4852.6666666668871</v>
      </c>
      <c r="Z24" s="33">
        <f t="shared" si="9"/>
        <v>11161.133333333113</v>
      </c>
      <c r="AA24" s="35">
        <f t="shared" si="10"/>
        <v>2015.5833333333333</v>
      </c>
      <c r="AB24" s="3">
        <f t="shared" si="11"/>
        <v>2017.25</v>
      </c>
      <c r="AC24" s="35">
        <f>$H24+(($D24-1)/12)</f>
        <v>2020.5833333333333</v>
      </c>
      <c r="AD24" s="4">
        <f t="shared" si="12"/>
        <v>2016.25</v>
      </c>
      <c r="AE24" s="3">
        <f t="shared" si="13"/>
        <v>-8.3333333333333329E-2</v>
      </c>
    </row>
    <row r="25" spans="1:31" ht="15.75" x14ac:dyDescent="0.25">
      <c r="A25" s="27">
        <v>340</v>
      </c>
      <c r="B25" s="1" t="s">
        <v>74</v>
      </c>
      <c r="C25" s="28">
        <v>1991</v>
      </c>
      <c r="D25" s="26">
        <v>12</v>
      </c>
      <c r="E25" s="29">
        <f t="shared" ref="E25:E31" si="14">IF(G25=5,0.33,0.2)</f>
        <v>0.33</v>
      </c>
      <c r="F25" s="16" t="s">
        <v>64</v>
      </c>
      <c r="G25" s="4">
        <v>5</v>
      </c>
      <c r="H25" s="28">
        <f>C25+G25</f>
        <v>1996</v>
      </c>
      <c r="K25" s="10">
        <v>10000</v>
      </c>
      <c r="L25" s="30">
        <v>13395.2</v>
      </c>
      <c r="M25" s="3">
        <v>0</v>
      </c>
      <c r="N25" s="31">
        <f>L25-L25*E25</f>
        <v>8974.7839999999997</v>
      </c>
      <c r="O25" s="32">
        <f t="shared" si="0"/>
        <v>149.57973333333334</v>
      </c>
      <c r="P25" s="32">
        <f t="shared" si="1"/>
        <v>0</v>
      </c>
      <c r="Q25" s="3">
        <f t="shared" si="2"/>
        <v>0</v>
      </c>
      <c r="R25" s="33">
        <f t="shared" si="3"/>
        <v>0</v>
      </c>
      <c r="S25" s="34">
        <v>0.9</v>
      </c>
      <c r="T25" s="33">
        <f t="shared" si="4"/>
        <v>0</v>
      </c>
      <c r="U25" s="32">
        <f t="shared" si="5"/>
        <v>8974.7839999999997</v>
      </c>
      <c r="V25" s="33">
        <f t="shared" si="6"/>
        <v>8077.3055999999997</v>
      </c>
      <c r="W25" s="34">
        <v>1</v>
      </c>
      <c r="X25" s="33">
        <f t="shared" si="7"/>
        <v>8077.3055999999997</v>
      </c>
      <c r="Y25" s="32">
        <f t="shared" si="8"/>
        <v>8077.3055999999997</v>
      </c>
      <c r="Z25" s="33">
        <f t="shared" si="9"/>
        <v>3978.3744000000006</v>
      </c>
      <c r="AA25" s="35">
        <f t="shared" si="10"/>
        <v>1991.9166666666667</v>
      </c>
      <c r="AB25" s="3">
        <f t="shared" si="11"/>
        <v>2017.25</v>
      </c>
      <c r="AC25" s="35">
        <f>$H25+(($D25-1)/12)</f>
        <v>1996.9166666666667</v>
      </c>
      <c r="AD25" s="4">
        <f t="shared" si="12"/>
        <v>2016.25</v>
      </c>
      <c r="AE25" s="3">
        <f t="shared" si="13"/>
        <v>-8.3333333333333329E-2</v>
      </c>
    </row>
    <row r="26" spans="1:31" ht="15.75" x14ac:dyDescent="0.25">
      <c r="A26" s="27">
        <v>342</v>
      </c>
      <c r="B26" s="1" t="s">
        <v>75</v>
      </c>
      <c r="C26" s="28">
        <v>1999</v>
      </c>
      <c r="D26" s="26">
        <v>11</v>
      </c>
      <c r="E26" s="29">
        <f t="shared" si="14"/>
        <v>0.2</v>
      </c>
      <c r="F26" s="16" t="s">
        <v>64</v>
      </c>
      <c r="G26" s="4">
        <v>7</v>
      </c>
      <c r="H26" s="28">
        <f>C26+G26</f>
        <v>2006</v>
      </c>
      <c r="K26" s="10">
        <v>15000</v>
      </c>
      <c r="L26" s="30">
        <f>5970+483.57+22720+1994.22</f>
        <v>31167.79</v>
      </c>
      <c r="M26" s="3">
        <v>0</v>
      </c>
      <c r="N26" s="31">
        <f>L26-L26*E26</f>
        <v>24934.232</v>
      </c>
      <c r="O26" s="32">
        <f t="shared" si="0"/>
        <v>296.83609523809525</v>
      </c>
      <c r="P26" s="32">
        <f t="shared" si="1"/>
        <v>0</v>
      </c>
      <c r="Q26" s="3">
        <f t="shared" si="2"/>
        <v>0</v>
      </c>
      <c r="R26" s="33">
        <f t="shared" si="3"/>
        <v>0</v>
      </c>
      <c r="S26" s="34">
        <v>0.85</v>
      </c>
      <c r="T26" s="33">
        <f t="shared" si="4"/>
        <v>0</v>
      </c>
      <c r="U26" s="32">
        <f t="shared" si="5"/>
        <v>24934.232</v>
      </c>
      <c r="V26" s="33">
        <f t="shared" si="6"/>
        <v>21194.0972</v>
      </c>
      <c r="W26" s="34">
        <v>1</v>
      </c>
      <c r="X26" s="33">
        <f t="shared" si="7"/>
        <v>21194.0972</v>
      </c>
      <c r="Y26" s="32">
        <f t="shared" si="8"/>
        <v>21194.0972</v>
      </c>
      <c r="Z26" s="33">
        <f t="shared" si="9"/>
        <v>5298.5243000000009</v>
      </c>
      <c r="AA26" s="35">
        <f t="shared" si="10"/>
        <v>1999.8333333333333</v>
      </c>
      <c r="AB26" s="3">
        <f t="shared" si="11"/>
        <v>2017.25</v>
      </c>
      <c r="AC26" s="35">
        <f>$H26+(($D26-1)/12)</f>
        <v>2006.8333333333333</v>
      </c>
      <c r="AD26" s="4">
        <f t="shared" si="12"/>
        <v>2016.25</v>
      </c>
      <c r="AE26" s="3">
        <f t="shared" si="13"/>
        <v>-8.3333333333333329E-2</v>
      </c>
    </row>
    <row r="27" spans="1:31" ht="15.75" x14ac:dyDescent="0.25">
      <c r="A27" s="27">
        <v>343</v>
      </c>
      <c r="B27" s="1" t="s">
        <v>76</v>
      </c>
      <c r="C27" s="28">
        <v>2002</v>
      </c>
      <c r="D27" s="26">
        <v>2</v>
      </c>
      <c r="E27" s="29">
        <f t="shared" si="14"/>
        <v>0.2</v>
      </c>
      <c r="F27" s="16" t="s">
        <v>64</v>
      </c>
      <c r="G27" s="4">
        <v>7</v>
      </c>
      <c r="H27" s="28">
        <f>C27+G27</f>
        <v>2009</v>
      </c>
      <c r="K27" s="10">
        <v>15000</v>
      </c>
      <c r="L27" s="30">
        <v>25847.49</v>
      </c>
      <c r="M27" s="3">
        <v>0</v>
      </c>
      <c r="N27" s="31">
        <f>L27-L27*E27</f>
        <v>20677.992000000002</v>
      </c>
      <c r="O27" s="32">
        <f t="shared" si="0"/>
        <v>246.16657142857147</v>
      </c>
      <c r="P27" s="32">
        <f t="shared" si="1"/>
        <v>0</v>
      </c>
      <c r="Q27" s="3">
        <f t="shared" si="2"/>
        <v>0</v>
      </c>
      <c r="R27" s="33">
        <f t="shared" si="3"/>
        <v>0</v>
      </c>
      <c r="S27" s="34">
        <v>0.9</v>
      </c>
      <c r="T27" s="33">
        <f t="shared" si="4"/>
        <v>0</v>
      </c>
      <c r="U27" s="32">
        <f t="shared" si="5"/>
        <v>20677.992000000002</v>
      </c>
      <c r="V27" s="33">
        <f t="shared" si="6"/>
        <v>18610.192800000001</v>
      </c>
      <c r="W27" s="34">
        <v>1</v>
      </c>
      <c r="X27" s="33">
        <f t="shared" si="7"/>
        <v>18610.192800000001</v>
      </c>
      <c r="Y27" s="32">
        <f t="shared" si="8"/>
        <v>18610.192800000001</v>
      </c>
      <c r="Z27" s="33">
        <f t="shared" si="9"/>
        <v>4652.5482000000011</v>
      </c>
      <c r="AA27" s="35">
        <f t="shared" si="10"/>
        <v>2002.0833333333333</v>
      </c>
      <c r="AB27" s="3">
        <f t="shared" si="11"/>
        <v>2017.25</v>
      </c>
      <c r="AC27" s="35">
        <f>$H27+(($D27-1)/12)</f>
        <v>2009.0833333333333</v>
      </c>
      <c r="AD27" s="4">
        <f t="shared" si="12"/>
        <v>2016.25</v>
      </c>
      <c r="AE27" s="3">
        <f t="shared" si="13"/>
        <v>-8.3333333333333329E-2</v>
      </c>
    </row>
    <row r="28" spans="1:31" ht="15.75" x14ac:dyDescent="0.25">
      <c r="A28" s="27">
        <v>382</v>
      </c>
      <c r="B28" s="1" t="s">
        <v>77</v>
      </c>
      <c r="C28" s="28">
        <v>2001</v>
      </c>
      <c r="D28" s="26">
        <v>8</v>
      </c>
      <c r="E28" s="29">
        <f t="shared" si="14"/>
        <v>0.2</v>
      </c>
      <c r="F28" s="16" t="s">
        <v>64</v>
      </c>
      <c r="G28" s="4">
        <v>7</v>
      </c>
      <c r="H28" s="28">
        <f>C28+G28</f>
        <v>2008</v>
      </c>
      <c r="K28" s="10">
        <v>100000</v>
      </c>
      <c r="L28" s="30">
        <f>147872+20146+12223.88</f>
        <v>180241.88</v>
      </c>
      <c r="N28" s="31">
        <f>L28-L28*E28</f>
        <v>144193.50400000002</v>
      </c>
      <c r="O28" s="32">
        <f t="shared" si="0"/>
        <v>1716.5893333333336</v>
      </c>
      <c r="P28" s="32">
        <f t="shared" si="1"/>
        <v>0</v>
      </c>
      <c r="Q28" s="3">
        <f t="shared" si="2"/>
        <v>0</v>
      </c>
      <c r="R28" s="33">
        <f t="shared" si="3"/>
        <v>0</v>
      </c>
      <c r="S28" s="34">
        <v>0.8</v>
      </c>
      <c r="T28" s="33">
        <f t="shared" si="4"/>
        <v>0</v>
      </c>
      <c r="U28" s="32">
        <f t="shared" si="5"/>
        <v>144193.50400000002</v>
      </c>
      <c r="V28" s="33">
        <f t="shared" si="6"/>
        <v>115354.80320000002</v>
      </c>
      <c r="W28" s="34">
        <v>1</v>
      </c>
      <c r="X28" s="33">
        <f t="shared" si="7"/>
        <v>115354.80320000002</v>
      </c>
      <c r="Y28" s="32">
        <f t="shared" si="8"/>
        <v>115354.80320000002</v>
      </c>
      <c r="Z28" s="33">
        <f t="shared" si="9"/>
        <v>28838.700799999991</v>
      </c>
      <c r="AA28" s="35">
        <f t="shared" si="10"/>
        <v>2001.5833333333333</v>
      </c>
      <c r="AB28" s="3">
        <f t="shared" si="11"/>
        <v>2017.25</v>
      </c>
      <c r="AC28" s="35">
        <f>$H28+(($D28-1)/12)</f>
        <v>2008.5833333333333</v>
      </c>
      <c r="AD28" s="4">
        <f t="shared" si="12"/>
        <v>2016.25</v>
      </c>
      <c r="AE28" s="3">
        <f t="shared" si="13"/>
        <v>-8.3333333333333329E-2</v>
      </c>
    </row>
    <row r="29" spans="1:31" ht="15.75" x14ac:dyDescent="0.25">
      <c r="A29" s="27">
        <v>383</v>
      </c>
      <c r="B29" s="1" t="s">
        <v>77</v>
      </c>
      <c r="C29" s="28">
        <v>2001</v>
      </c>
      <c r="D29" s="26">
        <v>6</v>
      </c>
      <c r="E29" s="29">
        <f t="shared" si="14"/>
        <v>0.2</v>
      </c>
      <c r="F29" s="16" t="s">
        <v>64</v>
      </c>
      <c r="G29" s="4">
        <v>7</v>
      </c>
      <c r="H29" s="28">
        <f>C29+G29</f>
        <v>2008</v>
      </c>
      <c r="K29" s="10">
        <v>100000</v>
      </c>
      <c r="L29" s="30">
        <f>153663+19161.36+12335.09-10074.7</f>
        <v>175084.74999999997</v>
      </c>
      <c r="N29" s="31">
        <f>L29-L29*E29</f>
        <v>140067.79999999999</v>
      </c>
      <c r="O29" s="32">
        <f t="shared" si="0"/>
        <v>1667.4738095238092</v>
      </c>
      <c r="P29" s="32">
        <f t="shared" si="1"/>
        <v>0</v>
      </c>
      <c r="Q29" s="3">
        <f t="shared" si="2"/>
        <v>0</v>
      </c>
      <c r="R29" s="33">
        <f t="shared" si="3"/>
        <v>0</v>
      </c>
      <c r="S29" s="34">
        <v>0.8</v>
      </c>
      <c r="T29" s="33">
        <f t="shared" si="4"/>
        <v>0</v>
      </c>
      <c r="U29" s="32">
        <f t="shared" si="5"/>
        <v>140067.79999999999</v>
      </c>
      <c r="V29" s="33">
        <f t="shared" si="6"/>
        <v>112054.23999999999</v>
      </c>
      <c r="W29" s="34">
        <v>1</v>
      </c>
      <c r="X29" s="33">
        <f t="shared" si="7"/>
        <v>112054.23999999999</v>
      </c>
      <c r="Y29" s="32">
        <f t="shared" si="8"/>
        <v>112054.23999999999</v>
      </c>
      <c r="Z29" s="33">
        <f t="shared" si="9"/>
        <v>28013.559999999998</v>
      </c>
      <c r="AA29" s="35">
        <f t="shared" si="10"/>
        <v>2001.4166666666667</v>
      </c>
      <c r="AB29" s="3">
        <f t="shared" si="11"/>
        <v>2017.25</v>
      </c>
      <c r="AC29" s="35">
        <f>$H29+(($D29-1)/12)</f>
        <v>2008.4166666666667</v>
      </c>
      <c r="AD29" s="4">
        <f t="shared" si="12"/>
        <v>2016.25</v>
      </c>
      <c r="AE29" s="3">
        <f t="shared" si="13"/>
        <v>-8.3333333333333329E-2</v>
      </c>
    </row>
    <row r="30" spans="1:31" ht="15.75" x14ac:dyDescent="0.25">
      <c r="A30" s="27">
        <v>384</v>
      </c>
      <c r="B30" s="1" t="s">
        <v>77</v>
      </c>
      <c r="C30" s="28">
        <v>2000</v>
      </c>
      <c r="D30" s="26">
        <v>8</v>
      </c>
      <c r="E30" s="29">
        <f t="shared" si="14"/>
        <v>0.2</v>
      </c>
      <c r="F30" s="16" t="s">
        <v>64</v>
      </c>
      <c r="G30" s="4">
        <v>7</v>
      </c>
      <c r="H30" s="28">
        <f>C30+G30</f>
        <v>2007</v>
      </c>
      <c r="K30" s="10">
        <f>100000+12329.9</f>
        <v>112329.9</v>
      </c>
      <c r="L30" s="30">
        <f>144919+20146+11900.44</f>
        <v>176965.44</v>
      </c>
      <c r="N30" s="31">
        <f>L30-L30*E30</f>
        <v>141572.35200000001</v>
      </c>
      <c r="O30" s="32">
        <f t="shared" si="0"/>
        <v>1685.3851428571431</v>
      </c>
      <c r="P30" s="32">
        <f t="shared" si="1"/>
        <v>0</v>
      </c>
      <c r="Q30" s="3">
        <f t="shared" si="2"/>
        <v>0</v>
      </c>
      <c r="R30" s="33">
        <f t="shared" si="3"/>
        <v>0</v>
      </c>
      <c r="S30" s="34">
        <v>0.85</v>
      </c>
      <c r="T30" s="33">
        <f t="shared" si="4"/>
        <v>0</v>
      </c>
      <c r="U30" s="32">
        <f t="shared" si="5"/>
        <v>141572.35200000001</v>
      </c>
      <c r="V30" s="33">
        <f t="shared" si="6"/>
        <v>120336.49920000001</v>
      </c>
      <c r="W30" s="34">
        <v>1</v>
      </c>
      <c r="X30" s="33">
        <f t="shared" si="7"/>
        <v>120336.49920000001</v>
      </c>
      <c r="Y30" s="32">
        <f t="shared" si="8"/>
        <v>120336.49920000001</v>
      </c>
      <c r="Z30" s="33">
        <f t="shared" si="9"/>
        <v>30084.124800000005</v>
      </c>
      <c r="AA30" s="35">
        <f t="shared" si="10"/>
        <v>2000.5833333333333</v>
      </c>
      <c r="AB30" s="3">
        <f t="shared" si="11"/>
        <v>2017.25</v>
      </c>
      <c r="AC30" s="35">
        <f>$H30+(($D30-1)/12)</f>
        <v>2007.5833333333333</v>
      </c>
      <c r="AD30" s="4">
        <f t="shared" si="12"/>
        <v>2016.25</v>
      </c>
      <c r="AE30" s="3">
        <f t="shared" si="13"/>
        <v>-8.3333333333333329E-2</v>
      </c>
    </row>
    <row r="31" spans="1:31" ht="15.75" x14ac:dyDescent="0.25">
      <c r="A31" s="27" t="s">
        <v>78</v>
      </c>
      <c r="B31" s="1" t="s">
        <v>79</v>
      </c>
      <c r="C31" s="28">
        <v>2007</v>
      </c>
      <c r="D31" s="26">
        <v>5</v>
      </c>
      <c r="E31" s="29">
        <f t="shared" si="14"/>
        <v>0.33</v>
      </c>
      <c r="F31" s="16" t="s">
        <v>64</v>
      </c>
      <c r="G31" s="4">
        <v>5</v>
      </c>
      <c r="H31" s="28">
        <f>C31+G31</f>
        <v>2012</v>
      </c>
      <c r="K31" s="10">
        <v>3000</v>
      </c>
      <c r="L31" s="30">
        <v>3000</v>
      </c>
      <c r="M31" s="32"/>
      <c r="N31" s="31">
        <f>L31-L31*E31</f>
        <v>2010</v>
      </c>
      <c r="O31" s="32">
        <f t="shared" si="0"/>
        <v>33.5</v>
      </c>
      <c r="P31" s="32">
        <f t="shared" si="1"/>
        <v>0</v>
      </c>
      <c r="Q31" s="3">
        <f t="shared" si="2"/>
        <v>0</v>
      </c>
      <c r="R31" s="33">
        <f t="shared" si="3"/>
        <v>0</v>
      </c>
      <c r="S31" s="34">
        <v>1</v>
      </c>
      <c r="T31" s="33">
        <f t="shared" si="4"/>
        <v>0</v>
      </c>
      <c r="U31" s="32">
        <f t="shared" si="5"/>
        <v>2010</v>
      </c>
      <c r="V31" s="33">
        <f t="shared" si="6"/>
        <v>2010</v>
      </c>
      <c r="W31" s="34">
        <v>1</v>
      </c>
      <c r="X31" s="33">
        <f t="shared" si="7"/>
        <v>2010</v>
      </c>
      <c r="Y31" s="32">
        <f t="shared" si="8"/>
        <v>2010</v>
      </c>
      <c r="Z31" s="33">
        <f t="shared" si="9"/>
        <v>990</v>
      </c>
      <c r="AA31" s="35">
        <f t="shared" si="10"/>
        <v>2007.3333333333333</v>
      </c>
      <c r="AB31" s="3">
        <f t="shared" si="11"/>
        <v>2017.25</v>
      </c>
      <c r="AC31" s="35">
        <f>$H31+(($D31-1)/12)</f>
        <v>2012.3333333333333</v>
      </c>
      <c r="AD31" s="4">
        <f t="shared" si="12"/>
        <v>2016.25</v>
      </c>
      <c r="AE31" s="3">
        <f t="shared" si="13"/>
        <v>-8.3333333333333329E-2</v>
      </c>
    </row>
    <row r="32" spans="1:31" ht="15.75" x14ac:dyDescent="0.25">
      <c r="A32" s="36">
        <v>322</v>
      </c>
      <c r="B32" s="1" t="s">
        <v>80</v>
      </c>
      <c r="C32" s="28">
        <v>2010</v>
      </c>
      <c r="D32" s="26">
        <v>11</v>
      </c>
      <c r="E32" s="29">
        <v>0.33</v>
      </c>
      <c r="F32" s="16" t="s">
        <v>64</v>
      </c>
      <c r="G32" s="4">
        <v>5</v>
      </c>
      <c r="H32" s="26">
        <f>C32+G32</f>
        <v>2015</v>
      </c>
      <c r="K32" s="10">
        <f>90250+14257.9+1240.44+1780</f>
        <v>107528.34</v>
      </c>
      <c r="L32" s="30">
        <f>90250+14257.9+1240.44+1780</f>
        <v>107528.34</v>
      </c>
      <c r="M32" s="32"/>
      <c r="N32" s="31">
        <f>L32-L32*E32</f>
        <v>72043.987800000003</v>
      </c>
      <c r="O32" s="32">
        <f t="shared" si="0"/>
        <v>1200.7331300000001</v>
      </c>
      <c r="P32" s="32">
        <f t="shared" si="1"/>
        <v>0</v>
      </c>
      <c r="Q32" s="3">
        <f t="shared" si="2"/>
        <v>0</v>
      </c>
      <c r="R32" s="33">
        <f t="shared" si="3"/>
        <v>0</v>
      </c>
      <c r="S32" s="34">
        <v>1</v>
      </c>
      <c r="T32" s="33">
        <f t="shared" si="4"/>
        <v>0</v>
      </c>
      <c r="U32" s="32">
        <f t="shared" si="5"/>
        <v>72043.987800000003</v>
      </c>
      <c r="V32" s="33">
        <f t="shared" si="6"/>
        <v>72043.987800000003</v>
      </c>
      <c r="W32" s="34">
        <v>1</v>
      </c>
      <c r="X32" s="33">
        <f t="shared" si="7"/>
        <v>72043.987800000003</v>
      </c>
      <c r="Y32" s="32">
        <f t="shared" si="8"/>
        <v>72043.987800000003</v>
      </c>
      <c r="Z32" s="33">
        <f t="shared" si="9"/>
        <v>35484.352199999994</v>
      </c>
      <c r="AA32" s="35">
        <f t="shared" si="10"/>
        <v>2010.8333333333333</v>
      </c>
      <c r="AB32" s="3">
        <f t="shared" si="11"/>
        <v>2017.25</v>
      </c>
      <c r="AC32" s="35">
        <f>$H32+(($D32-1)/12)</f>
        <v>2015.8333333333333</v>
      </c>
      <c r="AD32" s="4">
        <f t="shared" si="12"/>
        <v>2016.25</v>
      </c>
      <c r="AE32" s="3">
        <f t="shared" si="13"/>
        <v>-8.3333333333333329E-2</v>
      </c>
    </row>
    <row r="33" spans="1:31" ht="15.75" x14ac:dyDescent="0.25">
      <c r="A33" s="36">
        <v>322</v>
      </c>
      <c r="B33" s="1" t="s">
        <v>81</v>
      </c>
      <c r="C33" s="28">
        <v>2012</v>
      </c>
      <c r="D33" s="26">
        <v>10</v>
      </c>
      <c r="E33" s="29">
        <v>0</v>
      </c>
      <c r="F33" s="16" t="s">
        <v>64</v>
      </c>
      <c r="G33" s="4">
        <v>5</v>
      </c>
      <c r="H33" s="26">
        <f>C33+G33</f>
        <v>2017</v>
      </c>
      <c r="K33" s="10">
        <v>8425.68</v>
      </c>
      <c r="L33" s="30">
        <v>10203</v>
      </c>
      <c r="M33" s="32"/>
      <c r="N33" s="31">
        <f>L33-L33*E33</f>
        <v>10203</v>
      </c>
      <c r="O33" s="32">
        <f t="shared" si="0"/>
        <v>170.04999999999998</v>
      </c>
      <c r="P33" s="32">
        <f t="shared" si="1"/>
        <v>2040.6</v>
      </c>
      <c r="Q33" s="3">
        <f t="shared" si="2"/>
        <v>0</v>
      </c>
      <c r="R33" s="33">
        <f t="shared" si="3"/>
        <v>2040.6</v>
      </c>
      <c r="S33" s="34">
        <v>1</v>
      </c>
      <c r="T33" s="33">
        <f t="shared" si="4"/>
        <v>2040.6</v>
      </c>
      <c r="U33" s="32">
        <f t="shared" si="5"/>
        <v>7142.0999999999995</v>
      </c>
      <c r="V33" s="33">
        <f t="shared" si="6"/>
        <v>7142.0999999999995</v>
      </c>
      <c r="W33" s="34">
        <v>1</v>
      </c>
      <c r="X33" s="33">
        <f t="shared" si="7"/>
        <v>7142.0999999999995</v>
      </c>
      <c r="Y33" s="32">
        <f t="shared" si="8"/>
        <v>9182.6999999999989</v>
      </c>
      <c r="Z33" s="33">
        <f t="shared" si="9"/>
        <v>2040.6000000000008</v>
      </c>
      <c r="AA33" s="35">
        <f t="shared" si="10"/>
        <v>2012.75</v>
      </c>
      <c r="AB33" s="3">
        <f t="shared" si="11"/>
        <v>2017.25</v>
      </c>
      <c r="AC33" s="35">
        <f>$H33+(($D33-1)/12)</f>
        <v>2017.75</v>
      </c>
      <c r="AD33" s="4">
        <f t="shared" si="12"/>
        <v>2016.25</v>
      </c>
      <c r="AE33" s="3">
        <f t="shared" si="13"/>
        <v>-8.3333333333333329E-2</v>
      </c>
    </row>
    <row r="34" spans="1:31" ht="15.75" x14ac:dyDescent="0.25">
      <c r="A34" s="36">
        <v>322</v>
      </c>
      <c r="B34" s="1" t="s">
        <v>82</v>
      </c>
      <c r="C34" s="28">
        <v>2012</v>
      </c>
      <c r="D34" s="26">
        <v>11</v>
      </c>
      <c r="E34" s="29">
        <v>0</v>
      </c>
      <c r="F34" s="16" t="s">
        <v>64</v>
      </c>
      <c r="G34" s="4">
        <v>5</v>
      </c>
      <c r="H34" s="26">
        <f>C34+G34</f>
        <v>2017</v>
      </c>
      <c r="K34" s="10">
        <v>8425.68</v>
      </c>
      <c r="L34" s="30">
        <v>8426</v>
      </c>
      <c r="M34" s="32"/>
      <c r="N34" s="31">
        <f>L34-L34*E34</f>
        <v>8426</v>
      </c>
      <c r="O34" s="32">
        <f t="shared" si="0"/>
        <v>140.43333333333334</v>
      </c>
      <c r="P34" s="32">
        <f t="shared" si="1"/>
        <v>1685.2</v>
      </c>
      <c r="Q34" s="3">
        <f t="shared" si="2"/>
        <v>0</v>
      </c>
      <c r="R34" s="33">
        <f t="shared" si="3"/>
        <v>1685.2</v>
      </c>
      <c r="S34" s="34">
        <v>1</v>
      </c>
      <c r="T34" s="33">
        <f t="shared" si="4"/>
        <v>1685.2</v>
      </c>
      <c r="U34" s="32">
        <f t="shared" si="5"/>
        <v>5757.7666666667947</v>
      </c>
      <c r="V34" s="33">
        <f t="shared" si="6"/>
        <v>5757.7666666667947</v>
      </c>
      <c r="W34" s="34">
        <v>1</v>
      </c>
      <c r="X34" s="33">
        <f t="shared" si="7"/>
        <v>5757.7666666667947</v>
      </c>
      <c r="Y34" s="32">
        <f t="shared" si="8"/>
        <v>7442.9666666667945</v>
      </c>
      <c r="Z34" s="33">
        <f t="shared" si="9"/>
        <v>1825.6333333332054</v>
      </c>
      <c r="AA34" s="35">
        <f t="shared" si="10"/>
        <v>2012.8333333333333</v>
      </c>
      <c r="AB34" s="3">
        <f t="shared" si="11"/>
        <v>2017.25</v>
      </c>
      <c r="AC34" s="35">
        <f>$H34+(($D34-1)/12)</f>
        <v>2017.8333333333333</v>
      </c>
      <c r="AD34" s="4">
        <f t="shared" si="12"/>
        <v>2016.25</v>
      </c>
      <c r="AE34" s="3">
        <f t="shared" si="13"/>
        <v>-8.3333333333333329E-2</v>
      </c>
    </row>
    <row r="35" spans="1:31" ht="15.75" x14ac:dyDescent="0.25">
      <c r="A35" s="36">
        <v>345</v>
      </c>
      <c r="B35" s="1" t="s">
        <v>83</v>
      </c>
      <c r="C35" s="28">
        <v>2009</v>
      </c>
      <c r="D35" s="26">
        <v>8</v>
      </c>
      <c r="E35" s="29">
        <v>0.33</v>
      </c>
      <c r="F35" s="16" t="s">
        <v>64</v>
      </c>
      <c r="G35" s="4">
        <v>5</v>
      </c>
      <c r="H35" s="26">
        <f>C35+G35</f>
        <v>2014</v>
      </c>
      <c r="K35" s="10">
        <f>22543.08+18513</f>
        <v>41056.080000000002</v>
      </c>
      <c r="L35" s="30">
        <v>41056.080000000002</v>
      </c>
      <c r="M35" s="32"/>
      <c r="N35" s="31">
        <f>L35-L35*E35</f>
        <v>27507.5736</v>
      </c>
      <c r="O35" s="32">
        <f t="shared" si="0"/>
        <v>458.45956000000001</v>
      </c>
      <c r="P35" s="32">
        <f t="shared" si="1"/>
        <v>0</v>
      </c>
      <c r="Q35" s="3">
        <f t="shared" si="2"/>
        <v>0</v>
      </c>
      <c r="R35" s="33">
        <f t="shared" si="3"/>
        <v>0</v>
      </c>
      <c r="S35" s="34">
        <v>0.85</v>
      </c>
      <c r="T35" s="33">
        <f t="shared" si="4"/>
        <v>0</v>
      </c>
      <c r="U35" s="32">
        <f t="shared" si="5"/>
        <v>27507.5736</v>
      </c>
      <c r="V35" s="33">
        <f t="shared" si="6"/>
        <v>23381.437559999998</v>
      </c>
      <c r="W35" s="34">
        <v>1</v>
      </c>
      <c r="X35" s="33">
        <f t="shared" si="7"/>
        <v>23381.437559999998</v>
      </c>
      <c r="Y35" s="32">
        <f t="shared" si="8"/>
        <v>23381.437559999998</v>
      </c>
      <c r="Z35" s="33">
        <f t="shared" si="9"/>
        <v>11516.230439999999</v>
      </c>
      <c r="AA35" s="35">
        <f t="shared" si="10"/>
        <v>2009.5833333333333</v>
      </c>
      <c r="AB35" s="3">
        <f t="shared" si="11"/>
        <v>2017.25</v>
      </c>
      <c r="AC35" s="35">
        <f>$H35+(($D35-1)/12)</f>
        <v>2014.5833333333333</v>
      </c>
      <c r="AD35" s="4">
        <f t="shared" si="12"/>
        <v>2016.25</v>
      </c>
      <c r="AE35" s="3">
        <f t="shared" si="13"/>
        <v>-8.3333333333333329E-2</v>
      </c>
    </row>
    <row r="36" spans="1:31" ht="15.75" x14ac:dyDescent="0.25">
      <c r="A36" s="36">
        <v>345</v>
      </c>
      <c r="B36" s="1" t="s">
        <v>84</v>
      </c>
      <c r="C36" s="28">
        <v>2013</v>
      </c>
      <c r="D36" s="26">
        <v>9</v>
      </c>
      <c r="E36" s="29">
        <v>0</v>
      </c>
      <c r="F36" s="16" t="s">
        <v>64</v>
      </c>
      <c r="G36" s="4">
        <v>5</v>
      </c>
      <c r="H36" s="26">
        <f>C36+G36</f>
        <v>2018</v>
      </c>
      <c r="K36" s="10">
        <f>22543.08+18513</f>
        <v>41056.080000000002</v>
      </c>
      <c r="L36" s="30">
        <v>10502</v>
      </c>
      <c r="M36" s="32"/>
      <c r="N36" s="31">
        <f>L36-L36*E36</f>
        <v>10502</v>
      </c>
      <c r="O36" s="32">
        <f t="shared" si="0"/>
        <v>175.03333333333333</v>
      </c>
      <c r="P36" s="32">
        <f t="shared" si="1"/>
        <v>2100.4</v>
      </c>
      <c r="Q36" s="3">
        <f t="shared" si="2"/>
        <v>0</v>
      </c>
      <c r="R36" s="33">
        <f t="shared" si="3"/>
        <v>2100.4</v>
      </c>
      <c r="S36" s="34">
        <v>0.85</v>
      </c>
      <c r="T36" s="33">
        <f t="shared" si="4"/>
        <v>1785.34</v>
      </c>
      <c r="U36" s="32">
        <f t="shared" si="5"/>
        <v>5426.0333333331737</v>
      </c>
      <c r="V36" s="33">
        <f t="shared" si="6"/>
        <v>4612.1283333331976</v>
      </c>
      <c r="W36" s="34">
        <v>1</v>
      </c>
      <c r="X36" s="33">
        <f t="shared" si="7"/>
        <v>4612.1283333331976</v>
      </c>
      <c r="Y36" s="32">
        <f t="shared" si="8"/>
        <v>6397.4683333331977</v>
      </c>
      <c r="Z36" s="33">
        <f t="shared" si="9"/>
        <v>3421.9016666668012</v>
      </c>
      <c r="AA36" s="35">
        <f t="shared" si="10"/>
        <v>2013.6666666666667</v>
      </c>
      <c r="AB36" s="3">
        <f t="shared" si="11"/>
        <v>2017.25</v>
      </c>
      <c r="AC36" s="35">
        <f>$H36+(($D36-1)/12)</f>
        <v>2018.6666666666667</v>
      </c>
      <c r="AD36" s="4">
        <f t="shared" si="12"/>
        <v>2016.25</v>
      </c>
      <c r="AE36" s="3">
        <f t="shared" si="13"/>
        <v>-8.3333333333333329E-2</v>
      </c>
    </row>
    <row r="37" spans="1:31" ht="15.75" x14ac:dyDescent="0.25">
      <c r="A37" s="36">
        <v>387</v>
      </c>
      <c r="B37" s="1" t="s">
        <v>85</v>
      </c>
      <c r="C37" s="28">
        <v>2007</v>
      </c>
      <c r="D37" s="26">
        <v>5</v>
      </c>
      <c r="E37" s="29">
        <v>0.33</v>
      </c>
      <c r="F37" s="16" t="s">
        <v>64</v>
      </c>
      <c r="G37" s="4">
        <v>5</v>
      </c>
      <c r="H37" s="28">
        <f>C37+G37</f>
        <v>2012</v>
      </c>
      <c r="K37" s="10">
        <v>125000</v>
      </c>
      <c r="L37" s="30">
        <v>125000</v>
      </c>
      <c r="M37" s="32"/>
      <c r="N37" s="31">
        <f>L37-L37*E37</f>
        <v>83750</v>
      </c>
      <c r="O37" s="32">
        <f t="shared" si="0"/>
        <v>1395.8333333333333</v>
      </c>
      <c r="P37" s="32">
        <f t="shared" si="1"/>
        <v>0</v>
      </c>
      <c r="Q37" s="3">
        <f t="shared" si="2"/>
        <v>0</v>
      </c>
      <c r="R37" s="33">
        <f t="shared" si="3"/>
        <v>0</v>
      </c>
      <c r="S37" s="34">
        <v>0.8</v>
      </c>
      <c r="T37" s="33">
        <f t="shared" si="4"/>
        <v>0</v>
      </c>
      <c r="U37" s="32">
        <f t="shared" si="5"/>
        <v>83750</v>
      </c>
      <c r="V37" s="33">
        <f t="shared" si="6"/>
        <v>67000</v>
      </c>
      <c r="W37" s="34">
        <v>1</v>
      </c>
      <c r="X37" s="33">
        <f t="shared" si="7"/>
        <v>67000</v>
      </c>
      <c r="Y37" s="32">
        <f t="shared" si="8"/>
        <v>67000</v>
      </c>
      <c r="Z37" s="33">
        <f t="shared" si="9"/>
        <v>33000</v>
      </c>
      <c r="AA37" s="35">
        <f t="shared" si="10"/>
        <v>2007.3333333333333</v>
      </c>
      <c r="AB37" s="3">
        <f t="shared" si="11"/>
        <v>2017.25</v>
      </c>
      <c r="AC37" s="35">
        <f>$H37+(($D37-1)/12)</f>
        <v>2012.3333333333333</v>
      </c>
      <c r="AD37" s="4">
        <f t="shared" si="12"/>
        <v>2016.25</v>
      </c>
      <c r="AE37" s="3">
        <f t="shared" si="13"/>
        <v>-8.3333333333333329E-2</v>
      </c>
    </row>
    <row r="38" spans="1:31" ht="15.75" x14ac:dyDescent="0.25">
      <c r="A38" s="36">
        <v>387</v>
      </c>
      <c r="B38" s="1" t="s">
        <v>86</v>
      </c>
      <c r="C38" s="28">
        <v>2012</v>
      </c>
      <c r="D38" s="26">
        <v>12</v>
      </c>
      <c r="E38" s="29">
        <v>0</v>
      </c>
      <c r="F38" s="16" t="s">
        <v>64</v>
      </c>
      <c r="G38" s="4">
        <v>5</v>
      </c>
      <c r="H38" s="28">
        <f>C38+G38</f>
        <v>2017</v>
      </c>
      <c r="K38" s="10">
        <v>6614.49</v>
      </c>
      <c r="L38" s="30">
        <v>6614</v>
      </c>
      <c r="M38" s="32"/>
      <c r="N38" s="31">
        <f>L38-L38*E38</f>
        <v>6614</v>
      </c>
      <c r="O38" s="32">
        <f t="shared" si="0"/>
        <v>110.23333333333333</v>
      </c>
      <c r="P38" s="32">
        <f t="shared" si="1"/>
        <v>1322.8</v>
      </c>
      <c r="Q38" s="3">
        <f t="shared" si="2"/>
        <v>0</v>
      </c>
      <c r="R38" s="33">
        <f t="shared" si="3"/>
        <v>1322.8</v>
      </c>
      <c r="S38" s="34">
        <v>0.8</v>
      </c>
      <c r="T38" s="33">
        <f t="shared" si="4"/>
        <v>1058.24</v>
      </c>
      <c r="U38" s="32">
        <f t="shared" si="5"/>
        <v>4409.333333333233</v>
      </c>
      <c r="V38" s="33">
        <f t="shared" si="6"/>
        <v>3527.4666666665867</v>
      </c>
      <c r="W38" s="34">
        <v>1</v>
      </c>
      <c r="X38" s="33">
        <f t="shared" si="7"/>
        <v>3527.4666666665867</v>
      </c>
      <c r="Y38" s="32">
        <f t="shared" si="8"/>
        <v>4585.7066666665869</v>
      </c>
      <c r="Z38" s="33">
        <f t="shared" si="9"/>
        <v>1234.6133333334139</v>
      </c>
      <c r="AA38" s="35">
        <f t="shared" si="10"/>
        <v>2012.9166666666667</v>
      </c>
      <c r="AB38" s="3">
        <f t="shared" si="11"/>
        <v>2017.25</v>
      </c>
      <c r="AC38" s="35">
        <f>$H38+(($D38-1)/12)</f>
        <v>2017.9166666666667</v>
      </c>
      <c r="AD38" s="4">
        <f t="shared" si="12"/>
        <v>2016.25</v>
      </c>
      <c r="AE38" s="3">
        <f t="shared" si="13"/>
        <v>-8.3333333333333329E-2</v>
      </c>
    </row>
    <row r="39" spans="1:31" ht="15.75" x14ac:dyDescent="0.25">
      <c r="A39" s="36">
        <v>244</v>
      </c>
      <c r="B39" s="1" t="s">
        <v>87</v>
      </c>
      <c r="C39" s="28">
        <v>2004</v>
      </c>
      <c r="D39" s="26">
        <v>4</v>
      </c>
      <c r="E39" s="29">
        <v>0.33</v>
      </c>
      <c r="F39" s="16" t="s">
        <v>64</v>
      </c>
      <c r="G39" s="4">
        <v>5</v>
      </c>
      <c r="H39" s="28">
        <f>C39+G39</f>
        <v>2009</v>
      </c>
      <c r="K39" s="10">
        <v>4000</v>
      </c>
      <c r="L39" s="30">
        <v>4000</v>
      </c>
      <c r="M39" s="32"/>
      <c r="N39" s="31">
        <f>L39-L39*E39</f>
        <v>2680</v>
      </c>
      <c r="O39" s="32">
        <f t="shared" si="0"/>
        <v>44.666666666666664</v>
      </c>
      <c r="P39" s="32">
        <f t="shared" si="1"/>
        <v>0</v>
      </c>
      <c r="Q39" s="3">
        <f t="shared" si="2"/>
        <v>0</v>
      </c>
      <c r="R39" s="33">
        <f t="shared" si="3"/>
        <v>0</v>
      </c>
      <c r="S39" s="34">
        <v>0.9</v>
      </c>
      <c r="T39" s="33">
        <f t="shared" si="4"/>
        <v>0</v>
      </c>
      <c r="U39" s="32">
        <f t="shared" si="5"/>
        <v>2680</v>
      </c>
      <c r="V39" s="33">
        <f t="shared" si="6"/>
        <v>2412</v>
      </c>
      <c r="W39" s="34">
        <v>1</v>
      </c>
      <c r="X39" s="33">
        <f t="shared" si="7"/>
        <v>2412</v>
      </c>
      <c r="Y39" s="32">
        <f t="shared" si="8"/>
        <v>2412</v>
      </c>
      <c r="Z39" s="33">
        <f t="shared" si="9"/>
        <v>1188</v>
      </c>
      <c r="AA39" s="35">
        <f t="shared" si="10"/>
        <v>2004.25</v>
      </c>
      <c r="AB39" s="3">
        <f t="shared" si="11"/>
        <v>2017.25</v>
      </c>
      <c r="AC39" s="35">
        <f>$H39+(($D39-1)/12)</f>
        <v>2009.25</v>
      </c>
      <c r="AD39" s="4">
        <f t="shared" si="12"/>
        <v>2016.25</v>
      </c>
      <c r="AE39" s="3">
        <f t="shared" si="13"/>
        <v>-8.3333333333333329E-2</v>
      </c>
    </row>
    <row r="40" spans="1:31" ht="15.75" x14ac:dyDescent="0.25">
      <c r="A40" s="36">
        <v>37</v>
      </c>
      <c r="B40" s="1" t="s">
        <v>88</v>
      </c>
      <c r="C40" s="28">
        <v>2008</v>
      </c>
      <c r="D40" s="26">
        <v>12</v>
      </c>
      <c r="E40" s="29">
        <v>0.33</v>
      </c>
      <c r="F40" s="16" t="s">
        <v>64</v>
      </c>
      <c r="G40" s="4">
        <v>5</v>
      </c>
      <c r="H40" s="28">
        <f>C40+G40</f>
        <v>2013</v>
      </c>
      <c r="K40" s="10">
        <v>10000</v>
      </c>
      <c r="L40" s="30">
        <v>10000</v>
      </c>
      <c r="M40" s="32"/>
      <c r="N40" s="31">
        <f>L40-L40*E40</f>
        <v>6700</v>
      </c>
      <c r="O40" s="32">
        <f t="shared" si="0"/>
        <v>111.66666666666667</v>
      </c>
      <c r="P40" s="32">
        <f t="shared" si="1"/>
        <v>0</v>
      </c>
      <c r="Q40" s="3">
        <f t="shared" si="2"/>
        <v>0</v>
      </c>
      <c r="R40" s="33">
        <f t="shared" si="3"/>
        <v>0</v>
      </c>
      <c r="S40" s="34">
        <v>0.9</v>
      </c>
      <c r="T40" s="33">
        <f t="shared" si="4"/>
        <v>0</v>
      </c>
      <c r="U40" s="32">
        <f t="shared" si="5"/>
        <v>6700</v>
      </c>
      <c r="V40" s="33">
        <f t="shared" si="6"/>
        <v>6030</v>
      </c>
      <c r="W40" s="34">
        <v>1</v>
      </c>
      <c r="X40" s="33">
        <f t="shared" si="7"/>
        <v>6030</v>
      </c>
      <c r="Y40" s="32">
        <f t="shared" si="8"/>
        <v>6030</v>
      </c>
      <c r="Z40" s="33">
        <f t="shared" si="9"/>
        <v>2970</v>
      </c>
      <c r="AA40" s="35">
        <f t="shared" si="10"/>
        <v>2008.9166666666667</v>
      </c>
      <c r="AB40" s="3">
        <f t="shared" si="11"/>
        <v>2017.25</v>
      </c>
      <c r="AC40" s="35">
        <f>$H40+(($D40-1)/12)</f>
        <v>2013.9166666666667</v>
      </c>
      <c r="AD40" s="4">
        <f t="shared" si="12"/>
        <v>2016.25</v>
      </c>
      <c r="AE40" s="3">
        <f t="shared" si="13"/>
        <v>-8.3333333333333329E-2</v>
      </c>
    </row>
    <row r="41" spans="1:31" ht="15.75" x14ac:dyDescent="0.25">
      <c r="A41" s="36">
        <v>346</v>
      </c>
      <c r="B41" s="1" t="s">
        <v>89</v>
      </c>
      <c r="C41" s="28">
        <v>2010</v>
      </c>
      <c r="D41" s="26">
        <v>1</v>
      </c>
      <c r="E41" s="29">
        <v>0.33</v>
      </c>
      <c r="F41" s="16" t="s">
        <v>64</v>
      </c>
      <c r="G41" s="4">
        <v>5</v>
      </c>
      <c r="H41" s="28">
        <f>C41+G41</f>
        <v>2015</v>
      </c>
      <c r="K41" s="10">
        <f>14000+1271.5</f>
        <v>15271.5</v>
      </c>
      <c r="L41" s="30">
        <f>14000+1271.5</f>
        <v>15271.5</v>
      </c>
      <c r="M41" s="32"/>
      <c r="N41" s="31">
        <f>L41-L41*E41</f>
        <v>10231.904999999999</v>
      </c>
      <c r="O41" s="32">
        <f t="shared" si="0"/>
        <v>170.53174999999999</v>
      </c>
      <c r="P41" s="32">
        <f t="shared" si="1"/>
        <v>0</v>
      </c>
      <c r="Q41" s="3">
        <f t="shared" si="2"/>
        <v>0</v>
      </c>
      <c r="R41" s="33">
        <f t="shared" si="3"/>
        <v>0</v>
      </c>
      <c r="S41" s="34">
        <v>0.95</v>
      </c>
      <c r="T41" s="33">
        <f t="shared" si="4"/>
        <v>0</v>
      </c>
      <c r="U41" s="32">
        <f t="shared" si="5"/>
        <v>10231.904999999999</v>
      </c>
      <c r="V41" s="33">
        <f t="shared" si="6"/>
        <v>9720.3097499999985</v>
      </c>
      <c r="W41" s="34">
        <v>1</v>
      </c>
      <c r="X41" s="33">
        <f t="shared" si="7"/>
        <v>9720.3097499999985</v>
      </c>
      <c r="Y41" s="32">
        <f t="shared" si="8"/>
        <v>9720.3097499999985</v>
      </c>
      <c r="Z41" s="33">
        <f t="shared" si="9"/>
        <v>4787.6152500000007</v>
      </c>
      <c r="AA41" s="35">
        <f t="shared" si="10"/>
        <v>2010</v>
      </c>
      <c r="AB41" s="3">
        <f t="shared" si="11"/>
        <v>2017.25</v>
      </c>
      <c r="AC41" s="35">
        <f>$H41+(($D41-1)/12)</f>
        <v>2015</v>
      </c>
      <c r="AD41" s="4">
        <f t="shared" si="12"/>
        <v>2016.25</v>
      </c>
      <c r="AE41" s="3">
        <f t="shared" si="13"/>
        <v>-8.3333333333333329E-2</v>
      </c>
    </row>
    <row r="42" spans="1:31" ht="15.75" x14ac:dyDescent="0.25">
      <c r="A42" s="36">
        <v>323</v>
      </c>
      <c r="B42" s="1" t="s">
        <v>90</v>
      </c>
      <c r="C42" s="28">
        <v>2011</v>
      </c>
      <c r="D42" s="26">
        <v>3</v>
      </c>
      <c r="E42" s="29">
        <v>0.33</v>
      </c>
      <c r="F42" s="16" t="s">
        <v>64</v>
      </c>
      <c r="G42" s="4">
        <v>5</v>
      </c>
      <c r="H42" s="28">
        <f>C42+G42</f>
        <v>2016</v>
      </c>
      <c r="K42" s="10">
        <v>100062.25</v>
      </c>
      <c r="L42" s="30">
        <v>90250</v>
      </c>
      <c r="M42" s="32"/>
      <c r="N42" s="31">
        <f>L42-L42*E42</f>
        <v>60467.5</v>
      </c>
      <c r="O42" s="32">
        <f t="shared" si="0"/>
        <v>1007.7916666666666</v>
      </c>
      <c r="P42" s="32">
        <f t="shared" si="1"/>
        <v>0</v>
      </c>
      <c r="Q42" s="3">
        <f t="shared" si="2"/>
        <v>0</v>
      </c>
      <c r="R42" s="33">
        <f t="shared" si="3"/>
        <v>0</v>
      </c>
      <c r="S42" s="34">
        <v>1</v>
      </c>
      <c r="T42" s="33">
        <f t="shared" si="4"/>
        <v>0</v>
      </c>
      <c r="U42" s="32">
        <f t="shared" si="5"/>
        <v>60467.5</v>
      </c>
      <c r="V42" s="33">
        <f t="shared" si="6"/>
        <v>60467.5</v>
      </c>
      <c r="W42" s="34">
        <v>1</v>
      </c>
      <c r="X42" s="33">
        <f t="shared" si="7"/>
        <v>60467.5</v>
      </c>
      <c r="Y42" s="32">
        <f t="shared" si="8"/>
        <v>60467.5</v>
      </c>
      <c r="Z42" s="33">
        <f t="shared" si="9"/>
        <v>29782.5</v>
      </c>
      <c r="AA42" s="35">
        <f t="shared" si="10"/>
        <v>2011.1666666666667</v>
      </c>
      <c r="AB42" s="3">
        <f t="shared" si="11"/>
        <v>2017.25</v>
      </c>
      <c r="AC42" s="35">
        <f>$H42+(($D42-1)/12)</f>
        <v>2016.1666666666667</v>
      </c>
      <c r="AD42" s="4">
        <f t="shared" si="12"/>
        <v>2016.25</v>
      </c>
      <c r="AE42" s="3">
        <f t="shared" si="13"/>
        <v>-8.3333333333333329E-2</v>
      </c>
    </row>
    <row r="43" spans="1:31" ht="15.75" x14ac:dyDescent="0.25">
      <c r="A43" s="36">
        <v>323</v>
      </c>
      <c r="B43" s="1" t="s">
        <v>91</v>
      </c>
      <c r="C43" s="28">
        <v>2013</v>
      </c>
      <c r="D43" s="26">
        <v>5</v>
      </c>
      <c r="E43" s="29">
        <v>0</v>
      </c>
      <c r="F43" s="16" t="s">
        <v>64</v>
      </c>
      <c r="G43" s="4">
        <v>5</v>
      </c>
      <c r="H43" s="28">
        <f>C43+G43</f>
        <v>2018</v>
      </c>
      <c r="K43" s="10">
        <v>100062.25</v>
      </c>
      <c r="L43" s="30">
        <v>8592</v>
      </c>
      <c r="M43" s="32"/>
      <c r="N43" s="31">
        <f>L43-L43*E43</f>
        <v>8592</v>
      </c>
      <c r="O43" s="32">
        <f t="shared" si="0"/>
        <v>143.20000000000002</v>
      </c>
      <c r="P43" s="32">
        <f t="shared" si="1"/>
        <v>1718.4</v>
      </c>
      <c r="Q43" s="3">
        <f t="shared" si="2"/>
        <v>0</v>
      </c>
      <c r="R43" s="33">
        <f t="shared" si="3"/>
        <v>1718.4</v>
      </c>
      <c r="S43" s="34">
        <v>1</v>
      </c>
      <c r="T43" s="33">
        <f t="shared" si="4"/>
        <v>1718.4</v>
      </c>
      <c r="U43" s="32">
        <f t="shared" si="5"/>
        <v>5012.000000000131</v>
      </c>
      <c r="V43" s="33">
        <f t="shared" si="6"/>
        <v>5012.000000000131</v>
      </c>
      <c r="W43" s="34">
        <v>1</v>
      </c>
      <c r="X43" s="33">
        <f t="shared" si="7"/>
        <v>5012.000000000131</v>
      </c>
      <c r="Y43" s="32">
        <f t="shared" si="8"/>
        <v>6730.4000000001306</v>
      </c>
      <c r="Z43" s="33">
        <f t="shared" si="9"/>
        <v>2720.7999999998692</v>
      </c>
      <c r="AA43" s="35">
        <f t="shared" si="10"/>
        <v>2013.3333333333333</v>
      </c>
      <c r="AB43" s="3">
        <f t="shared" si="11"/>
        <v>2017.25</v>
      </c>
      <c r="AC43" s="35">
        <f>$H43+(($D43-1)/12)</f>
        <v>2018.3333333333333</v>
      </c>
      <c r="AD43" s="4">
        <f t="shared" si="12"/>
        <v>2016.25</v>
      </c>
      <c r="AE43" s="3">
        <f t="shared" si="13"/>
        <v>-8.3333333333333329E-2</v>
      </c>
    </row>
    <row r="44" spans="1:31" ht="15.75" x14ac:dyDescent="0.25">
      <c r="A44" s="36">
        <v>307</v>
      </c>
      <c r="B44" s="1" t="s">
        <v>92</v>
      </c>
      <c r="C44" s="28">
        <v>2013</v>
      </c>
      <c r="D44" s="26">
        <v>8</v>
      </c>
      <c r="E44" s="29">
        <v>0.33</v>
      </c>
      <c r="F44" s="16" t="s">
        <v>64</v>
      </c>
      <c r="G44" s="4">
        <v>5</v>
      </c>
      <c r="H44" s="28">
        <f>C44+G44</f>
        <v>2018</v>
      </c>
      <c r="K44" s="10">
        <v>4723.0600000000004</v>
      </c>
      <c r="L44" s="30">
        <v>221774</v>
      </c>
      <c r="M44" s="32"/>
      <c r="N44" s="31">
        <f>L44-L44*E44</f>
        <v>148588.58000000002</v>
      </c>
      <c r="O44" s="32">
        <f t="shared" si="0"/>
        <v>2476.4763333333335</v>
      </c>
      <c r="P44" s="32">
        <f t="shared" si="1"/>
        <v>29717.716</v>
      </c>
      <c r="Q44" s="3">
        <f t="shared" si="2"/>
        <v>0</v>
      </c>
      <c r="R44" s="33">
        <f t="shared" si="3"/>
        <v>29717.716</v>
      </c>
      <c r="S44" s="34">
        <v>0.9</v>
      </c>
      <c r="T44" s="33">
        <f t="shared" si="4"/>
        <v>26745.9444</v>
      </c>
      <c r="U44" s="32">
        <f t="shared" si="5"/>
        <v>79247.242666668928</v>
      </c>
      <c r="V44" s="33">
        <f t="shared" si="6"/>
        <v>71322.518400002038</v>
      </c>
      <c r="W44" s="34">
        <v>1</v>
      </c>
      <c r="X44" s="33">
        <f t="shared" si="7"/>
        <v>71322.518400002038</v>
      </c>
      <c r="Y44" s="32">
        <f t="shared" si="8"/>
        <v>98068.462800002046</v>
      </c>
      <c r="Z44" s="33">
        <f t="shared" si="9"/>
        <v>114901.10939999796</v>
      </c>
      <c r="AA44" s="35">
        <f t="shared" si="10"/>
        <v>2013.5833333333333</v>
      </c>
      <c r="AB44" s="3">
        <f t="shared" si="11"/>
        <v>2017.25</v>
      </c>
      <c r="AC44" s="35">
        <f>$H44+(($D44-1)/12)</f>
        <v>2018.5833333333333</v>
      </c>
      <c r="AD44" s="4">
        <f t="shared" si="12"/>
        <v>2016.25</v>
      </c>
      <c r="AE44" s="3">
        <f t="shared" si="13"/>
        <v>-8.3333333333333329E-2</v>
      </c>
    </row>
    <row r="45" spans="1:31" ht="15.75" x14ac:dyDescent="0.25">
      <c r="A45" s="36">
        <v>388</v>
      </c>
      <c r="B45" s="1" t="s">
        <v>93</v>
      </c>
      <c r="C45" s="28">
        <v>2014</v>
      </c>
      <c r="D45" s="26">
        <v>12</v>
      </c>
      <c r="E45" s="29">
        <v>0.33</v>
      </c>
      <c r="F45" s="16" t="s">
        <v>64</v>
      </c>
      <c r="G45" s="4">
        <v>5</v>
      </c>
      <c r="H45" s="28">
        <f>C45+G45</f>
        <v>2019</v>
      </c>
      <c r="K45" s="10">
        <v>4723.0600000000004</v>
      </c>
      <c r="L45" s="30">
        <v>367068</v>
      </c>
      <c r="M45" s="32"/>
      <c r="N45" s="31">
        <f>L45-L45*E45</f>
        <v>245935.56</v>
      </c>
      <c r="O45" s="32">
        <f t="shared" si="0"/>
        <v>4098.9260000000004</v>
      </c>
      <c r="P45" s="32">
        <f t="shared" si="1"/>
        <v>49187.112000000008</v>
      </c>
      <c r="Q45" s="3">
        <f t="shared" si="2"/>
        <v>0</v>
      </c>
      <c r="R45" s="33">
        <f t="shared" si="3"/>
        <v>49187.112000000008</v>
      </c>
      <c r="S45" s="34">
        <v>0.8</v>
      </c>
      <c r="T45" s="33">
        <f t="shared" si="4"/>
        <v>39349.689600000012</v>
      </c>
      <c r="U45" s="32">
        <f t="shared" si="5"/>
        <v>65582.815999996281</v>
      </c>
      <c r="V45" s="33">
        <f t="shared" si="6"/>
        <v>52466.252799997026</v>
      </c>
      <c r="W45" s="34">
        <v>1</v>
      </c>
      <c r="X45" s="33">
        <f t="shared" si="7"/>
        <v>52466.252799997026</v>
      </c>
      <c r="Y45" s="32">
        <f t="shared" si="8"/>
        <v>91815.942399997031</v>
      </c>
      <c r="Z45" s="33">
        <f t="shared" si="9"/>
        <v>221513.30240000301</v>
      </c>
      <c r="AA45" s="35">
        <f t="shared" si="10"/>
        <v>2014.9166666666667</v>
      </c>
      <c r="AB45" s="3">
        <f t="shared" si="11"/>
        <v>2017.25</v>
      </c>
      <c r="AC45" s="35">
        <f>$H45+(($D45-1)/12)</f>
        <v>2019.9166666666667</v>
      </c>
      <c r="AD45" s="4">
        <f t="shared" si="12"/>
        <v>2016.25</v>
      </c>
      <c r="AE45" s="3">
        <f t="shared" si="13"/>
        <v>-8.3333333333333329E-2</v>
      </c>
    </row>
    <row r="46" spans="1:31" ht="15.75" x14ac:dyDescent="0.25">
      <c r="A46" s="36">
        <v>3800</v>
      </c>
      <c r="B46" s="1" t="s">
        <v>94</v>
      </c>
      <c r="C46" s="28">
        <v>2016</v>
      </c>
      <c r="D46" s="26">
        <v>10</v>
      </c>
      <c r="E46" s="29">
        <v>0.33</v>
      </c>
      <c r="F46" s="16" t="s">
        <v>64</v>
      </c>
      <c r="G46" s="4">
        <v>5</v>
      </c>
      <c r="H46" s="28">
        <f>C46+G46</f>
        <v>2021</v>
      </c>
      <c r="K46" s="10">
        <v>4723.0600000000004</v>
      </c>
      <c r="L46" s="30">
        <v>348719</v>
      </c>
      <c r="M46" s="32"/>
      <c r="N46" s="31">
        <f>L46-L46*E46</f>
        <v>233641.72999999998</v>
      </c>
      <c r="O46" s="32">
        <f t="shared" si="0"/>
        <v>3894.0288333333333</v>
      </c>
      <c r="P46" s="32">
        <f t="shared" si="1"/>
        <v>23364.172999999999</v>
      </c>
      <c r="Q46" s="3">
        <f t="shared" si="2"/>
        <v>0</v>
      </c>
      <c r="R46" s="33">
        <f t="shared" si="3"/>
        <v>23364.172999999999</v>
      </c>
      <c r="S46" s="34">
        <v>0.6</v>
      </c>
      <c r="T46" s="33">
        <f t="shared" si="4"/>
        <v>14018.503799999999</v>
      </c>
      <c r="U46" s="32">
        <f t="shared" si="5"/>
        <v>0</v>
      </c>
      <c r="V46" s="33">
        <f t="shared" si="6"/>
        <v>0</v>
      </c>
      <c r="W46" s="34">
        <v>1</v>
      </c>
      <c r="X46" s="33">
        <f t="shared" si="7"/>
        <v>0</v>
      </c>
      <c r="Y46" s="32">
        <f t="shared" si="8"/>
        <v>14018.503799999999</v>
      </c>
      <c r="Z46" s="33">
        <f t="shared" si="9"/>
        <v>97606.448099999994</v>
      </c>
      <c r="AA46" s="35">
        <f t="shared" si="10"/>
        <v>2016.75</v>
      </c>
      <c r="AB46" s="3">
        <f t="shared" si="11"/>
        <v>2017.25</v>
      </c>
      <c r="AC46" s="35">
        <f>$H46+(($D46-1)/12)</f>
        <v>2021.75</v>
      </c>
      <c r="AD46" s="4">
        <f t="shared" si="12"/>
        <v>2016.25</v>
      </c>
      <c r="AE46" s="3">
        <f t="shared" si="13"/>
        <v>-8.3333333333333329E-2</v>
      </c>
    </row>
    <row r="47" spans="1:31" ht="15.75" x14ac:dyDescent="0.25">
      <c r="A47" s="36">
        <v>3200</v>
      </c>
      <c r="B47" s="1" t="s">
        <v>95</v>
      </c>
      <c r="C47" s="28">
        <v>2016</v>
      </c>
      <c r="D47" s="26">
        <v>12</v>
      </c>
      <c r="E47" s="29">
        <v>0.33</v>
      </c>
      <c r="F47" s="16" t="s">
        <v>64</v>
      </c>
      <c r="G47" s="4">
        <v>5</v>
      </c>
      <c r="H47" s="28">
        <f>C47+G47</f>
        <v>2021</v>
      </c>
      <c r="K47" s="10">
        <v>4723.0600000000004</v>
      </c>
      <c r="L47" s="30">
        <v>360845</v>
      </c>
      <c r="M47" s="32"/>
      <c r="N47" s="31">
        <f>L47-L47*E47</f>
        <v>241766.15</v>
      </c>
      <c r="O47" s="32">
        <f t="shared" si="0"/>
        <v>4029.435833333333</v>
      </c>
      <c r="P47" s="32">
        <f t="shared" si="1"/>
        <v>16117.743333329667</v>
      </c>
      <c r="Q47" s="3">
        <f t="shared" si="2"/>
        <v>0</v>
      </c>
      <c r="R47" s="33">
        <f t="shared" si="3"/>
        <v>16117.743333329667</v>
      </c>
      <c r="S47" s="34">
        <v>1</v>
      </c>
      <c r="T47" s="33">
        <f t="shared" si="4"/>
        <v>16117.743333329667</v>
      </c>
      <c r="U47" s="32">
        <f t="shared" si="5"/>
        <v>0</v>
      </c>
      <c r="V47" s="33">
        <f t="shared" si="6"/>
        <v>0</v>
      </c>
      <c r="W47" s="34">
        <v>1</v>
      </c>
      <c r="X47" s="33">
        <f t="shared" si="7"/>
        <v>0</v>
      </c>
      <c r="Y47" s="32">
        <f t="shared" si="8"/>
        <v>16117.743333329667</v>
      </c>
      <c r="Z47" s="33">
        <f t="shared" si="9"/>
        <v>172363.62833333516</v>
      </c>
      <c r="AA47" s="35">
        <f t="shared" si="10"/>
        <v>2016.9166666666667</v>
      </c>
      <c r="AB47" s="3">
        <f t="shared" si="11"/>
        <v>2017.25</v>
      </c>
      <c r="AC47" s="35">
        <f>$H47+(($D47-1)/12)</f>
        <v>2021.9166666666667</v>
      </c>
      <c r="AD47" s="4">
        <f t="shared" si="12"/>
        <v>2016.25</v>
      </c>
      <c r="AE47" s="3">
        <f t="shared" si="13"/>
        <v>-8.3333333333333329E-2</v>
      </c>
    </row>
    <row r="48" spans="1:31" x14ac:dyDescent="0.25">
      <c r="A48" s="37" t="s">
        <v>96</v>
      </c>
      <c r="B48" s="37" t="s">
        <v>97</v>
      </c>
      <c r="C48" s="28">
        <v>2007</v>
      </c>
      <c r="D48" s="38">
        <v>1</v>
      </c>
      <c r="E48" s="29">
        <v>0</v>
      </c>
      <c r="F48" s="16" t="s">
        <v>64</v>
      </c>
      <c r="G48" s="4">
        <v>10</v>
      </c>
      <c r="H48" s="28">
        <f>C48+G48</f>
        <v>2017</v>
      </c>
      <c r="K48" s="10">
        <v>4181.1000000000004</v>
      </c>
      <c r="L48" s="39">
        <v>4181.1000000000004</v>
      </c>
      <c r="N48" s="31">
        <f>L48-L48*E48</f>
        <v>4181.1000000000004</v>
      </c>
      <c r="O48" s="32">
        <f t="shared" si="0"/>
        <v>34.842500000000001</v>
      </c>
      <c r="P48" s="32">
        <f t="shared" si="1"/>
        <v>313.58249999999998</v>
      </c>
      <c r="Q48" s="3">
        <f t="shared" si="2"/>
        <v>0</v>
      </c>
      <c r="R48" s="33">
        <f t="shared" si="3"/>
        <v>313.58249999999998</v>
      </c>
      <c r="S48" s="34">
        <v>0.5946140035906643</v>
      </c>
      <c r="T48" s="33">
        <f t="shared" si="4"/>
        <v>186.46054578096948</v>
      </c>
      <c r="U48" s="32">
        <f t="shared" si="5"/>
        <v>3867.5175000000004</v>
      </c>
      <c r="V48" s="33">
        <f t="shared" si="6"/>
        <v>2299.6800646319571</v>
      </c>
      <c r="W48" s="34">
        <v>1</v>
      </c>
      <c r="X48" s="33">
        <f t="shared" si="7"/>
        <v>2299.6800646319571</v>
      </c>
      <c r="Y48" s="32">
        <f t="shared" si="8"/>
        <v>2486.1406104129264</v>
      </c>
      <c r="Z48" s="33">
        <f t="shared" si="9"/>
        <v>93.230272890485139</v>
      </c>
      <c r="AA48" s="35">
        <f t="shared" si="10"/>
        <v>2007</v>
      </c>
      <c r="AB48" s="3">
        <f t="shared" si="11"/>
        <v>2017.25</v>
      </c>
      <c r="AC48" s="35">
        <f>$H48+(($D48-1)/12)</f>
        <v>2017</v>
      </c>
      <c r="AD48" s="4">
        <f t="shared" si="12"/>
        <v>2016.25</v>
      </c>
      <c r="AE48" s="3">
        <f t="shared" si="13"/>
        <v>-8.3333333333333329E-2</v>
      </c>
    </row>
    <row r="49" spans="1:31" x14ac:dyDescent="0.25">
      <c r="A49" s="37">
        <v>183</v>
      </c>
      <c r="B49" s="37" t="s">
        <v>98</v>
      </c>
      <c r="C49" s="28">
        <v>2007</v>
      </c>
      <c r="D49" s="38">
        <v>1</v>
      </c>
      <c r="E49" s="29">
        <v>0</v>
      </c>
      <c r="F49" s="16" t="s">
        <v>64</v>
      </c>
      <c r="G49" s="4">
        <v>10</v>
      </c>
      <c r="H49" s="28">
        <f>C49+G49</f>
        <v>2017</v>
      </c>
      <c r="K49" s="10">
        <v>4995.6000000000004</v>
      </c>
      <c r="L49" s="39">
        <v>4995.6000000000004</v>
      </c>
      <c r="N49" s="31">
        <f>L49-L49*E49</f>
        <v>4995.6000000000004</v>
      </c>
      <c r="O49" s="32">
        <f t="shared" si="0"/>
        <v>41.63</v>
      </c>
      <c r="P49" s="32">
        <f t="shared" si="1"/>
        <v>374.67</v>
      </c>
      <c r="Q49" s="3">
        <f t="shared" si="2"/>
        <v>0</v>
      </c>
      <c r="R49" s="33">
        <f t="shared" si="3"/>
        <v>374.67</v>
      </c>
      <c r="S49" s="34">
        <v>0.5946140035906643</v>
      </c>
      <c r="T49" s="33">
        <f t="shared" si="4"/>
        <v>222.78402872531422</v>
      </c>
      <c r="U49" s="32">
        <f t="shared" si="5"/>
        <v>4620.93</v>
      </c>
      <c r="V49" s="33">
        <f t="shared" si="6"/>
        <v>2747.6696876122087</v>
      </c>
      <c r="W49" s="34">
        <v>1</v>
      </c>
      <c r="X49" s="33">
        <f t="shared" si="7"/>
        <v>2747.6696876122087</v>
      </c>
      <c r="Y49" s="32">
        <f t="shared" si="8"/>
        <v>2970.453716337523</v>
      </c>
      <c r="Z49" s="33">
        <f t="shared" si="9"/>
        <v>111.39201436265671</v>
      </c>
      <c r="AA49" s="35">
        <f t="shared" si="10"/>
        <v>2007</v>
      </c>
      <c r="AB49" s="3">
        <f t="shared" si="11"/>
        <v>2017.25</v>
      </c>
      <c r="AC49" s="35">
        <f>$H49+(($D49-1)/12)</f>
        <v>2017</v>
      </c>
      <c r="AD49" s="4">
        <f t="shared" si="12"/>
        <v>2016.25</v>
      </c>
      <c r="AE49" s="3">
        <f t="shared" si="13"/>
        <v>-8.3333333333333329E-2</v>
      </c>
    </row>
    <row r="50" spans="1:31" x14ac:dyDescent="0.25">
      <c r="A50" s="37">
        <v>122</v>
      </c>
      <c r="B50" s="37" t="s">
        <v>99</v>
      </c>
      <c r="C50" s="28">
        <v>2007</v>
      </c>
      <c r="D50" s="38">
        <v>1</v>
      </c>
      <c r="E50" s="29">
        <v>0</v>
      </c>
      <c r="F50" s="16" t="s">
        <v>64</v>
      </c>
      <c r="G50" s="4">
        <v>10</v>
      </c>
      <c r="H50" s="28">
        <f>C50+G50</f>
        <v>2017</v>
      </c>
      <c r="K50" s="10">
        <v>1242.29</v>
      </c>
      <c r="L50" s="39">
        <v>1242.29</v>
      </c>
      <c r="N50" s="31">
        <f>L50-L50*E50</f>
        <v>1242.29</v>
      </c>
      <c r="O50" s="32">
        <f t="shared" si="0"/>
        <v>10.352416666666667</v>
      </c>
      <c r="P50" s="32">
        <f t="shared" si="1"/>
        <v>93.171750000000003</v>
      </c>
      <c r="Q50" s="3">
        <f t="shared" si="2"/>
        <v>0</v>
      </c>
      <c r="R50" s="33">
        <f t="shared" si="3"/>
        <v>93.171750000000003</v>
      </c>
      <c r="S50" s="34">
        <v>0.5946140035906643</v>
      </c>
      <c r="T50" s="33">
        <f t="shared" si="4"/>
        <v>55.401227289048478</v>
      </c>
      <c r="U50" s="32">
        <f t="shared" si="5"/>
        <v>1149.11825</v>
      </c>
      <c r="V50" s="33">
        <f t="shared" si="6"/>
        <v>683.28180323159791</v>
      </c>
      <c r="W50" s="34">
        <v>1</v>
      </c>
      <c r="X50" s="33">
        <f t="shared" si="7"/>
        <v>683.28180323159791</v>
      </c>
      <c r="Y50" s="32">
        <f t="shared" si="8"/>
        <v>738.68303052064641</v>
      </c>
      <c r="Z50" s="33">
        <f t="shared" si="9"/>
        <v>27.70061364452414</v>
      </c>
      <c r="AA50" s="35">
        <f t="shared" si="10"/>
        <v>2007</v>
      </c>
      <c r="AB50" s="3">
        <f t="shared" si="11"/>
        <v>2017.25</v>
      </c>
      <c r="AC50" s="35">
        <f>$H50+(($D50-1)/12)</f>
        <v>2017</v>
      </c>
      <c r="AD50" s="4">
        <f t="shared" si="12"/>
        <v>2016.25</v>
      </c>
      <c r="AE50" s="3">
        <f t="shared" si="13"/>
        <v>-8.3333333333333329E-2</v>
      </c>
    </row>
    <row r="51" spans="1:31" x14ac:dyDescent="0.25">
      <c r="A51" s="37">
        <v>123</v>
      </c>
      <c r="B51" s="37" t="s">
        <v>100</v>
      </c>
      <c r="C51" s="28">
        <v>2007</v>
      </c>
      <c r="D51" s="38">
        <v>1</v>
      </c>
      <c r="E51" s="29">
        <v>0</v>
      </c>
      <c r="F51" s="16" t="s">
        <v>64</v>
      </c>
      <c r="G51" s="4">
        <v>10</v>
      </c>
      <c r="H51" s="28">
        <f>C51+G51</f>
        <v>2017</v>
      </c>
      <c r="K51" s="10">
        <v>2742.2</v>
      </c>
      <c r="L51" s="39">
        <v>2742.2000000000003</v>
      </c>
      <c r="N51" s="31">
        <f>L51-L51*E51</f>
        <v>2742.2000000000003</v>
      </c>
      <c r="O51" s="32">
        <f t="shared" si="0"/>
        <v>22.85166666666667</v>
      </c>
      <c r="P51" s="32">
        <f t="shared" si="1"/>
        <v>205.66500000000002</v>
      </c>
      <c r="Q51" s="3">
        <f t="shared" si="2"/>
        <v>0</v>
      </c>
      <c r="R51" s="33">
        <f t="shared" si="3"/>
        <v>205.66500000000002</v>
      </c>
      <c r="S51" s="34">
        <v>0.5946140035906643</v>
      </c>
      <c r="T51" s="33">
        <f t="shared" si="4"/>
        <v>122.29128904847398</v>
      </c>
      <c r="U51" s="32">
        <f t="shared" si="5"/>
        <v>2536.5350000000003</v>
      </c>
      <c r="V51" s="33">
        <f t="shared" si="6"/>
        <v>1508.2592315978459</v>
      </c>
      <c r="W51" s="34">
        <v>1</v>
      </c>
      <c r="X51" s="33">
        <f t="shared" si="7"/>
        <v>1508.2592315978459</v>
      </c>
      <c r="Y51" s="32">
        <f t="shared" si="8"/>
        <v>1630.5505206463199</v>
      </c>
      <c r="Z51" s="33">
        <f t="shared" si="9"/>
        <v>61.145644524237014</v>
      </c>
      <c r="AA51" s="35">
        <f t="shared" si="10"/>
        <v>2007</v>
      </c>
      <c r="AB51" s="3">
        <f t="shared" si="11"/>
        <v>2017.25</v>
      </c>
      <c r="AC51" s="35">
        <f>$H51+(($D51-1)/12)</f>
        <v>2017</v>
      </c>
      <c r="AD51" s="4">
        <f t="shared" si="12"/>
        <v>2016.25</v>
      </c>
      <c r="AE51" s="3">
        <f t="shared" si="13"/>
        <v>-8.3333333333333329E-2</v>
      </c>
    </row>
    <row r="52" spans="1:31" x14ac:dyDescent="0.25">
      <c r="A52" s="37">
        <v>124</v>
      </c>
      <c r="B52" s="37" t="s">
        <v>101</v>
      </c>
      <c r="C52" s="28">
        <v>2007</v>
      </c>
      <c r="D52" s="38">
        <v>1</v>
      </c>
      <c r="E52" s="29">
        <v>0</v>
      </c>
      <c r="F52" s="16" t="s">
        <v>64</v>
      </c>
      <c r="G52" s="4">
        <v>10</v>
      </c>
      <c r="H52" s="28">
        <f>C52+G52</f>
        <v>2017</v>
      </c>
      <c r="K52" s="10">
        <v>3475.2</v>
      </c>
      <c r="L52" s="39">
        <v>3475.2000000000003</v>
      </c>
      <c r="N52" s="31">
        <f>L52-L52*E52</f>
        <v>3475.2000000000003</v>
      </c>
      <c r="O52" s="32">
        <f t="shared" si="0"/>
        <v>28.960000000000004</v>
      </c>
      <c r="P52" s="32">
        <f t="shared" si="1"/>
        <v>260.64000000000004</v>
      </c>
      <c r="Q52" s="3">
        <f t="shared" si="2"/>
        <v>0</v>
      </c>
      <c r="R52" s="33">
        <f t="shared" si="3"/>
        <v>260.64000000000004</v>
      </c>
      <c r="S52" s="34">
        <v>0.5946140035906643</v>
      </c>
      <c r="T52" s="33">
        <f t="shared" si="4"/>
        <v>154.98019389587077</v>
      </c>
      <c r="U52" s="32">
        <f t="shared" si="5"/>
        <v>3214.5600000000004</v>
      </c>
      <c r="V52" s="33">
        <f t="shared" si="6"/>
        <v>1911.422391382406</v>
      </c>
      <c r="W52" s="34">
        <v>1</v>
      </c>
      <c r="X52" s="33">
        <f t="shared" si="7"/>
        <v>1911.422391382406</v>
      </c>
      <c r="Y52" s="32">
        <f t="shared" si="8"/>
        <v>2066.4025852782765</v>
      </c>
      <c r="Z52" s="33">
        <f t="shared" si="9"/>
        <v>77.490096947935285</v>
      </c>
      <c r="AA52" s="35">
        <f t="shared" si="10"/>
        <v>2007</v>
      </c>
      <c r="AB52" s="3">
        <f t="shared" si="11"/>
        <v>2017.25</v>
      </c>
      <c r="AC52" s="35">
        <f>$H52+(($D52-1)/12)</f>
        <v>2017</v>
      </c>
      <c r="AD52" s="4">
        <f t="shared" si="12"/>
        <v>2016.25</v>
      </c>
      <c r="AE52" s="3">
        <f t="shared" si="13"/>
        <v>-8.3333333333333329E-2</v>
      </c>
    </row>
    <row r="53" spans="1:31" x14ac:dyDescent="0.25">
      <c r="A53" s="37">
        <v>125</v>
      </c>
      <c r="B53" s="37" t="s">
        <v>102</v>
      </c>
      <c r="C53" s="28">
        <v>2007</v>
      </c>
      <c r="D53" s="38">
        <v>1</v>
      </c>
      <c r="E53" s="29">
        <v>0</v>
      </c>
      <c r="F53" s="16" t="s">
        <v>64</v>
      </c>
      <c r="G53" s="4">
        <v>10</v>
      </c>
      <c r="H53" s="28">
        <f>C53+G53</f>
        <v>2017</v>
      </c>
      <c r="K53" s="10">
        <v>4756.4799999999996</v>
      </c>
      <c r="L53" s="39">
        <v>4756.4799999999996</v>
      </c>
      <c r="N53" s="31">
        <f>L53-L53*E53</f>
        <v>4756.4799999999996</v>
      </c>
      <c r="O53" s="32">
        <f t="shared" si="0"/>
        <v>39.637333333333331</v>
      </c>
      <c r="P53" s="32">
        <f t="shared" si="1"/>
        <v>356.73599999999999</v>
      </c>
      <c r="Q53" s="3">
        <f t="shared" si="2"/>
        <v>0</v>
      </c>
      <c r="R53" s="33">
        <f t="shared" si="3"/>
        <v>356.73599999999999</v>
      </c>
      <c r="S53" s="34">
        <v>1</v>
      </c>
      <c r="T53" s="33">
        <f t="shared" si="4"/>
        <v>356.73599999999999</v>
      </c>
      <c r="U53" s="32">
        <f t="shared" si="5"/>
        <v>4399.7439999999997</v>
      </c>
      <c r="V53" s="33">
        <f t="shared" si="6"/>
        <v>4399.7439999999997</v>
      </c>
      <c r="W53" s="34">
        <v>1</v>
      </c>
      <c r="X53" s="33">
        <f t="shared" si="7"/>
        <v>4399.7439999999997</v>
      </c>
      <c r="Y53" s="32">
        <f t="shared" si="8"/>
        <v>4756.4799999999996</v>
      </c>
      <c r="Z53" s="33">
        <f t="shared" si="9"/>
        <v>178.36799999999994</v>
      </c>
      <c r="AA53" s="35">
        <f t="shared" si="10"/>
        <v>2007</v>
      </c>
      <c r="AB53" s="3">
        <f t="shared" si="11"/>
        <v>2017.25</v>
      </c>
      <c r="AC53" s="35">
        <f>$H53+(($D53-1)/12)</f>
        <v>2017</v>
      </c>
      <c r="AD53" s="4">
        <f t="shared" si="12"/>
        <v>2016.25</v>
      </c>
      <c r="AE53" s="3">
        <f t="shared" si="13"/>
        <v>-8.3333333333333329E-2</v>
      </c>
    </row>
    <row r="54" spans="1:31" x14ac:dyDescent="0.25">
      <c r="A54" s="37">
        <v>126</v>
      </c>
      <c r="B54" s="37" t="s">
        <v>103</v>
      </c>
      <c r="C54" s="28">
        <v>2007</v>
      </c>
      <c r="D54" s="38">
        <v>1</v>
      </c>
      <c r="E54" s="29">
        <v>0</v>
      </c>
      <c r="F54" s="16" t="s">
        <v>64</v>
      </c>
      <c r="G54" s="4">
        <v>10</v>
      </c>
      <c r="H54" s="28">
        <f>C54+G54</f>
        <v>2017</v>
      </c>
      <c r="K54" s="10">
        <v>16915.080000000002</v>
      </c>
      <c r="L54" s="39">
        <v>16915.080000000002</v>
      </c>
      <c r="N54" s="31">
        <f>L54-L54*E54</f>
        <v>16915.080000000002</v>
      </c>
      <c r="O54" s="32">
        <f t="shared" si="0"/>
        <v>140.95900000000003</v>
      </c>
      <c r="P54" s="32">
        <f t="shared" si="1"/>
        <v>1268.6310000000003</v>
      </c>
      <c r="Q54" s="3">
        <f t="shared" si="2"/>
        <v>0</v>
      </c>
      <c r="R54" s="33">
        <f t="shared" si="3"/>
        <v>1268.6310000000003</v>
      </c>
      <c r="S54" s="34">
        <v>1</v>
      </c>
      <c r="T54" s="33">
        <f t="shared" si="4"/>
        <v>1268.6310000000003</v>
      </c>
      <c r="U54" s="32">
        <f t="shared" si="5"/>
        <v>15646.449000000001</v>
      </c>
      <c r="V54" s="33">
        <f t="shared" si="6"/>
        <v>15646.449000000001</v>
      </c>
      <c r="W54" s="34">
        <v>1</v>
      </c>
      <c r="X54" s="33">
        <f t="shared" si="7"/>
        <v>15646.449000000001</v>
      </c>
      <c r="Y54" s="32">
        <f t="shared" si="8"/>
        <v>16915.080000000002</v>
      </c>
      <c r="Z54" s="33">
        <f t="shared" si="9"/>
        <v>634.31550000000061</v>
      </c>
      <c r="AA54" s="35">
        <f t="shared" si="10"/>
        <v>2007</v>
      </c>
      <c r="AB54" s="3">
        <f t="shared" si="11"/>
        <v>2017.25</v>
      </c>
      <c r="AC54" s="35">
        <f>$H54+(($D54-1)/12)</f>
        <v>2017</v>
      </c>
      <c r="AD54" s="4">
        <f t="shared" si="12"/>
        <v>2016.25</v>
      </c>
      <c r="AE54" s="3">
        <f t="shared" si="13"/>
        <v>-8.3333333333333329E-2</v>
      </c>
    </row>
    <row r="55" spans="1:31" x14ac:dyDescent="0.25">
      <c r="A55" s="37">
        <v>127</v>
      </c>
      <c r="B55" s="37" t="s">
        <v>104</v>
      </c>
      <c r="C55" s="28">
        <v>2007</v>
      </c>
      <c r="D55" s="38">
        <v>1</v>
      </c>
      <c r="E55" s="29">
        <v>0</v>
      </c>
      <c r="F55" s="16" t="s">
        <v>64</v>
      </c>
      <c r="G55" s="4">
        <v>10</v>
      </c>
      <c r="H55" s="28">
        <f>C55+G55</f>
        <v>2017</v>
      </c>
      <c r="K55" s="10">
        <v>10357.51</v>
      </c>
      <c r="L55" s="39">
        <v>10357.51</v>
      </c>
      <c r="N55" s="31">
        <f>L55-L55*E55</f>
        <v>10357.51</v>
      </c>
      <c r="O55" s="32">
        <f t="shared" si="0"/>
        <v>86.312583333333336</v>
      </c>
      <c r="P55" s="32">
        <f t="shared" si="1"/>
        <v>776.81325000000004</v>
      </c>
      <c r="Q55" s="3">
        <f t="shared" si="2"/>
        <v>0</v>
      </c>
      <c r="R55" s="33">
        <f t="shared" si="3"/>
        <v>776.81325000000004</v>
      </c>
      <c r="S55" s="34">
        <v>1</v>
      </c>
      <c r="T55" s="33">
        <f t="shared" si="4"/>
        <v>776.81325000000004</v>
      </c>
      <c r="U55" s="32">
        <f t="shared" si="5"/>
        <v>9580.696750000001</v>
      </c>
      <c r="V55" s="33">
        <f t="shared" si="6"/>
        <v>9580.696750000001</v>
      </c>
      <c r="W55" s="34">
        <v>1</v>
      </c>
      <c r="X55" s="33">
        <f t="shared" si="7"/>
        <v>9580.696750000001</v>
      </c>
      <c r="Y55" s="32">
        <f t="shared" si="8"/>
        <v>10357.51</v>
      </c>
      <c r="Z55" s="33">
        <f t="shared" si="9"/>
        <v>388.40662499999962</v>
      </c>
      <c r="AA55" s="35">
        <f t="shared" si="10"/>
        <v>2007</v>
      </c>
      <c r="AB55" s="3">
        <f t="shared" si="11"/>
        <v>2017.25</v>
      </c>
      <c r="AC55" s="35">
        <f>$H55+(($D55-1)/12)</f>
        <v>2017</v>
      </c>
      <c r="AD55" s="4">
        <f t="shared" si="12"/>
        <v>2016.25</v>
      </c>
      <c r="AE55" s="3">
        <f t="shared" si="13"/>
        <v>-8.3333333333333329E-2</v>
      </c>
    </row>
    <row r="56" spans="1:31" x14ac:dyDescent="0.25">
      <c r="A56" s="37">
        <v>128</v>
      </c>
      <c r="B56" s="37" t="s">
        <v>105</v>
      </c>
      <c r="C56" s="28">
        <v>2007</v>
      </c>
      <c r="D56" s="38">
        <v>1</v>
      </c>
      <c r="E56" s="29">
        <v>0</v>
      </c>
      <c r="F56" s="16" t="s">
        <v>64</v>
      </c>
      <c r="G56" s="4">
        <v>10</v>
      </c>
      <c r="H56" s="28">
        <f>C56+G56</f>
        <v>2017</v>
      </c>
      <c r="K56" s="10">
        <v>17935.29</v>
      </c>
      <c r="L56" s="39">
        <v>17935.29</v>
      </c>
      <c r="N56" s="31">
        <f>L56-L56*E56</f>
        <v>17935.29</v>
      </c>
      <c r="O56" s="32">
        <f t="shared" si="0"/>
        <v>149.46074999999999</v>
      </c>
      <c r="P56" s="32">
        <f t="shared" si="1"/>
        <v>1345.1467499999999</v>
      </c>
      <c r="Q56" s="3">
        <f t="shared" si="2"/>
        <v>0</v>
      </c>
      <c r="R56" s="33">
        <f t="shared" si="3"/>
        <v>1345.1467499999999</v>
      </c>
      <c r="S56" s="34">
        <v>0.5946140035906643</v>
      </c>
      <c r="T56" s="33">
        <f t="shared" si="4"/>
        <v>799.84309443447034</v>
      </c>
      <c r="U56" s="32">
        <f t="shared" si="5"/>
        <v>16590.143250000001</v>
      </c>
      <c r="V56" s="33">
        <f t="shared" si="6"/>
        <v>9864.7314980251358</v>
      </c>
      <c r="W56" s="34">
        <v>1</v>
      </c>
      <c r="X56" s="33">
        <f t="shared" si="7"/>
        <v>9864.7314980251358</v>
      </c>
      <c r="Y56" s="32">
        <f t="shared" si="8"/>
        <v>10664.574592459607</v>
      </c>
      <c r="Z56" s="33">
        <f t="shared" si="9"/>
        <v>399.92154721723546</v>
      </c>
      <c r="AA56" s="35">
        <f t="shared" si="10"/>
        <v>2007</v>
      </c>
      <c r="AB56" s="3">
        <f t="shared" si="11"/>
        <v>2017.25</v>
      </c>
      <c r="AC56" s="35">
        <f>$H56+(($D56-1)/12)</f>
        <v>2017</v>
      </c>
      <c r="AD56" s="4">
        <f t="shared" si="12"/>
        <v>2016.25</v>
      </c>
      <c r="AE56" s="3">
        <f t="shared" si="13"/>
        <v>-8.3333333333333329E-2</v>
      </c>
    </row>
    <row r="57" spans="1:31" x14ac:dyDescent="0.25">
      <c r="A57" s="37">
        <v>129</v>
      </c>
      <c r="B57" s="37" t="s">
        <v>106</v>
      </c>
      <c r="C57" s="28">
        <v>2007</v>
      </c>
      <c r="D57" s="38">
        <v>1</v>
      </c>
      <c r="E57" s="29">
        <v>0</v>
      </c>
      <c r="F57" s="16" t="s">
        <v>64</v>
      </c>
      <c r="G57" s="4">
        <v>10</v>
      </c>
      <c r="H57" s="28">
        <f>C57+G57</f>
        <v>2017</v>
      </c>
      <c r="K57" s="10">
        <v>6400</v>
      </c>
      <c r="L57" s="39">
        <v>6400</v>
      </c>
      <c r="N57" s="31">
        <f>L57-L57*E57</f>
        <v>6400</v>
      </c>
      <c r="O57" s="32">
        <f t="shared" si="0"/>
        <v>53.333333333333336</v>
      </c>
      <c r="P57" s="32">
        <f t="shared" si="1"/>
        <v>480</v>
      </c>
      <c r="Q57" s="3">
        <f t="shared" si="2"/>
        <v>0</v>
      </c>
      <c r="R57" s="33">
        <f t="shared" si="3"/>
        <v>480</v>
      </c>
      <c r="S57" s="34">
        <v>0.5946140035906643</v>
      </c>
      <c r="T57" s="33">
        <f t="shared" si="4"/>
        <v>285.41472172351888</v>
      </c>
      <c r="U57" s="32">
        <f t="shared" si="5"/>
        <v>5920</v>
      </c>
      <c r="V57" s="33">
        <f t="shared" si="6"/>
        <v>3520.1149012567325</v>
      </c>
      <c r="W57" s="34">
        <v>1</v>
      </c>
      <c r="X57" s="33">
        <f t="shared" si="7"/>
        <v>3520.1149012567325</v>
      </c>
      <c r="Y57" s="32">
        <f t="shared" si="8"/>
        <v>3805.5296229802516</v>
      </c>
      <c r="Z57" s="33">
        <f t="shared" si="9"/>
        <v>142.70736086175953</v>
      </c>
      <c r="AA57" s="35">
        <f t="shared" si="10"/>
        <v>2007</v>
      </c>
      <c r="AB57" s="3">
        <f t="shared" si="11"/>
        <v>2017.25</v>
      </c>
      <c r="AC57" s="35">
        <f>$H57+(($D57-1)/12)</f>
        <v>2017</v>
      </c>
      <c r="AD57" s="4">
        <f t="shared" si="12"/>
        <v>2016.25</v>
      </c>
      <c r="AE57" s="3">
        <f t="shared" si="13"/>
        <v>-8.3333333333333329E-2</v>
      </c>
    </row>
    <row r="58" spans="1:31" x14ac:dyDescent="0.25">
      <c r="A58" s="37">
        <v>133</v>
      </c>
      <c r="B58" s="37" t="s">
        <v>107</v>
      </c>
      <c r="C58" s="28">
        <v>2007</v>
      </c>
      <c r="D58" s="38">
        <v>1</v>
      </c>
      <c r="E58" s="29">
        <v>0</v>
      </c>
      <c r="F58" s="16" t="s">
        <v>64</v>
      </c>
      <c r="G58" s="4">
        <v>10</v>
      </c>
      <c r="H58" s="28">
        <f>C58+G58</f>
        <v>2017</v>
      </c>
      <c r="K58" s="10">
        <v>3094</v>
      </c>
      <c r="L58" s="39">
        <v>3094</v>
      </c>
      <c r="N58" s="31">
        <f>L58-L58*E58</f>
        <v>3094</v>
      </c>
      <c r="O58" s="32">
        <f t="shared" si="0"/>
        <v>25.783333333333331</v>
      </c>
      <c r="P58" s="32">
        <f t="shared" si="1"/>
        <v>232.04999999999998</v>
      </c>
      <c r="Q58" s="3">
        <f t="shared" si="2"/>
        <v>0</v>
      </c>
      <c r="R58" s="33">
        <f t="shared" si="3"/>
        <v>232.04999999999998</v>
      </c>
      <c r="S58" s="34">
        <v>0.5946140035906643</v>
      </c>
      <c r="T58" s="33">
        <f t="shared" si="4"/>
        <v>137.98017953321363</v>
      </c>
      <c r="U58" s="32">
        <f t="shared" si="5"/>
        <v>2861.95</v>
      </c>
      <c r="V58" s="33">
        <f t="shared" si="6"/>
        <v>1701.7555475763015</v>
      </c>
      <c r="W58" s="34">
        <v>1</v>
      </c>
      <c r="X58" s="33">
        <f t="shared" si="7"/>
        <v>1701.7555475763015</v>
      </c>
      <c r="Y58" s="32">
        <f t="shared" si="8"/>
        <v>1839.7357271095152</v>
      </c>
      <c r="Z58" s="33">
        <f t="shared" si="9"/>
        <v>68.99008976660707</v>
      </c>
      <c r="AA58" s="35">
        <f t="shared" si="10"/>
        <v>2007</v>
      </c>
      <c r="AB58" s="3">
        <f t="shared" si="11"/>
        <v>2017.25</v>
      </c>
      <c r="AC58" s="35">
        <f>$H58+(($D58-1)/12)</f>
        <v>2017</v>
      </c>
      <c r="AD58" s="4">
        <f t="shared" si="12"/>
        <v>2016.25</v>
      </c>
      <c r="AE58" s="3">
        <f t="shared" si="13"/>
        <v>-8.3333333333333329E-2</v>
      </c>
    </row>
    <row r="59" spans="1:31" x14ac:dyDescent="0.25">
      <c r="A59" s="37">
        <v>189</v>
      </c>
      <c r="B59" s="37" t="s">
        <v>108</v>
      </c>
      <c r="C59" s="28">
        <v>2007</v>
      </c>
      <c r="D59" s="38">
        <v>1</v>
      </c>
      <c r="E59" s="29">
        <v>0</v>
      </c>
      <c r="F59" s="16" t="s">
        <v>64</v>
      </c>
      <c r="G59" s="4">
        <v>10</v>
      </c>
      <c r="H59" s="28">
        <f>C59+G59</f>
        <v>2017</v>
      </c>
      <c r="K59" s="10">
        <v>5173</v>
      </c>
      <c r="L59" s="39">
        <v>5173</v>
      </c>
      <c r="N59" s="31">
        <f>L59-L59*E59</f>
        <v>5173</v>
      </c>
      <c r="O59" s="32">
        <f t="shared" si="0"/>
        <v>43.108333333333327</v>
      </c>
      <c r="P59" s="32">
        <f t="shared" si="1"/>
        <v>387.97499999999997</v>
      </c>
      <c r="Q59" s="3">
        <f t="shared" si="2"/>
        <v>0</v>
      </c>
      <c r="R59" s="33">
        <f t="shared" si="3"/>
        <v>387.97499999999997</v>
      </c>
      <c r="S59" s="34">
        <v>1</v>
      </c>
      <c r="T59" s="33">
        <f t="shared" si="4"/>
        <v>387.97499999999997</v>
      </c>
      <c r="U59" s="32">
        <f t="shared" si="5"/>
        <v>4785.0249999999996</v>
      </c>
      <c r="V59" s="33">
        <f t="shared" si="6"/>
        <v>4785.0249999999996</v>
      </c>
      <c r="W59" s="34">
        <v>1</v>
      </c>
      <c r="X59" s="33">
        <f t="shared" si="7"/>
        <v>4785.0249999999996</v>
      </c>
      <c r="Y59" s="32">
        <f t="shared" si="8"/>
        <v>5173</v>
      </c>
      <c r="Z59" s="33">
        <f t="shared" si="9"/>
        <v>193.98750000000018</v>
      </c>
      <c r="AA59" s="35">
        <f t="shared" si="10"/>
        <v>2007</v>
      </c>
      <c r="AB59" s="3">
        <f t="shared" si="11"/>
        <v>2017.25</v>
      </c>
      <c r="AC59" s="35">
        <f>$H59+(($D59-1)/12)</f>
        <v>2017</v>
      </c>
      <c r="AD59" s="4">
        <f t="shared" si="12"/>
        <v>2016.25</v>
      </c>
      <c r="AE59" s="3">
        <f t="shared" si="13"/>
        <v>-8.3333333333333329E-2</v>
      </c>
    </row>
    <row r="60" spans="1:31" x14ac:dyDescent="0.25">
      <c r="A60" s="37">
        <v>190</v>
      </c>
      <c r="B60" s="37" t="s">
        <v>109</v>
      </c>
      <c r="C60" s="28">
        <v>2007</v>
      </c>
      <c r="D60" s="38">
        <v>1</v>
      </c>
      <c r="E60" s="29">
        <v>0</v>
      </c>
      <c r="F60" s="16" t="s">
        <v>64</v>
      </c>
      <c r="G60" s="4">
        <v>10</v>
      </c>
      <c r="H60" s="28">
        <f>C60+G60</f>
        <v>2017</v>
      </c>
      <c r="K60" s="10">
        <v>14307.27</v>
      </c>
      <c r="L60" s="39">
        <v>14307.27</v>
      </c>
      <c r="N60" s="31">
        <f>L60-L60*E60</f>
        <v>14307.27</v>
      </c>
      <c r="O60" s="32">
        <f t="shared" si="0"/>
        <v>119.22725000000001</v>
      </c>
      <c r="P60" s="32">
        <f t="shared" si="1"/>
        <v>1073.0452500000001</v>
      </c>
      <c r="Q60" s="3">
        <f t="shared" si="2"/>
        <v>0</v>
      </c>
      <c r="R60" s="33">
        <f t="shared" si="3"/>
        <v>1073.0452500000001</v>
      </c>
      <c r="S60" s="34">
        <v>1</v>
      </c>
      <c r="T60" s="33">
        <f t="shared" si="4"/>
        <v>1073.0452500000001</v>
      </c>
      <c r="U60" s="32">
        <f t="shared" si="5"/>
        <v>13234.224750000001</v>
      </c>
      <c r="V60" s="33">
        <f t="shared" si="6"/>
        <v>13234.224750000001</v>
      </c>
      <c r="W60" s="34">
        <v>1</v>
      </c>
      <c r="X60" s="33">
        <f t="shared" si="7"/>
        <v>13234.224750000001</v>
      </c>
      <c r="Y60" s="32">
        <f t="shared" si="8"/>
        <v>14307.27</v>
      </c>
      <c r="Z60" s="33">
        <f t="shared" si="9"/>
        <v>536.52262499999961</v>
      </c>
      <c r="AA60" s="35">
        <f t="shared" si="10"/>
        <v>2007</v>
      </c>
      <c r="AB60" s="3">
        <f t="shared" si="11"/>
        <v>2017.25</v>
      </c>
      <c r="AC60" s="35">
        <f>$H60+(($D60-1)/12)</f>
        <v>2017</v>
      </c>
      <c r="AD60" s="4">
        <f t="shared" si="12"/>
        <v>2016.25</v>
      </c>
      <c r="AE60" s="3">
        <f t="shared" si="13"/>
        <v>-8.3333333333333329E-2</v>
      </c>
    </row>
    <row r="61" spans="1:31" x14ac:dyDescent="0.25">
      <c r="A61" s="37">
        <v>191</v>
      </c>
      <c r="B61" s="37" t="s">
        <v>110</v>
      </c>
      <c r="C61" s="28">
        <v>2007</v>
      </c>
      <c r="D61" s="38">
        <v>1</v>
      </c>
      <c r="E61" s="29">
        <v>0</v>
      </c>
      <c r="F61" s="16" t="s">
        <v>64</v>
      </c>
      <c r="G61" s="4">
        <v>10</v>
      </c>
      <c r="H61" s="28">
        <f>C61+G61</f>
        <v>2017</v>
      </c>
      <c r="K61" s="10">
        <v>2079</v>
      </c>
      <c r="L61" s="39">
        <v>2079</v>
      </c>
      <c r="N61" s="31">
        <f>L61-L61*E61</f>
        <v>2079</v>
      </c>
      <c r="O61" s="32">
        <f t="shared" si="0"/>
        <v>17.324999999999999</v>
      </c>
      <c r="P61" s="32">
        <f t="shared" si="1"/>
        <v>155.92499999999998</v>
      </c>
      <c r="Q61" s="3">
        <f t="shared" si="2"/>
        <v>0</v>
      </c>
      <c r="R61" s="33">
        <f t="shared" si="3"/>
        <v>155.92499999999998</v>
      </c>
      <c r="S61" s="34">
        <v>1</v>
      </c>
      <c r="T61" s="33">
        <f t="shared" si="4"/>
        <v>155.92499999999998</v>
      </c>
      <c r="U61" s="32">
        <f t="shared" si="5"/>
        <v>1923.075</v>
      </c>
      <c r="V61" s="33">
        <f t="shared" si="6"/>
        <v>1923.075</v>
      </c>
      <c r="W61" s="34">
        <v>1</v>
      </c>
      <c r="X61" s="33">
        <f t="shared" si="7"/>
        <v>1923.075</v>
      </c>
      <c r="Y61" s="32">
        <f t="shared" si="8"/>
        <v>2079</v>
      </c>
      <c r="Z61" s="33">
        <f t="shared" si="9"/>
        <v>77.962499999999977</v>
      </c>
      <c r="AA61" s="35">
        <f t="shared" si="10"/>
        <v>2007</v>
      </c>
      <c r="AB61" s="3">
        <f t="shared" si="11"/>
        <v>2017.25</v>
      </c>
      <c r="AC61" s="35">
        <f>$H61+(($D61-1)/12)</f>
        <v>2017</v>
      </c>
      <c r="AD61" s="4">
        <f t="shared" si="12"/>
        <v>2016.25</v>
      </c>
      <c r="AE61" s="3">
        <f t="shared" si="13"/>
        <v>-8.3333333333333329E-2</v>
      </c>
    </row>
    <row r="62" spans="1:31" x14ac:dyDescent="0.25">
      <c r="A62" s="37">
        <v>207</v>
      </c>
      <c r="B62" s="37" t="s">
        <v>111</v>
      </c>
      <c r="C62" s="28">
        <v>2008</v>
      </c>
      <c r="D62" s="38">
        <v>1</v>
      </c>
      <c r="E62" s="29">
        <v>0</v>
      </c>
      <c r="F62" s="16" t="s">
        <v>64</v>
      </c>
      <c r="G62" s="4">
        <v>10</v>
      </c>
      <c r="H62" s="28">
        <f>C62+G62</f>
        <v>2018</v>
      </c>
      <c r="K62" s="10">
        <v>5720</v>
      </c>
      <c r="L62" s="39">
        <v>5720</v>
      </c>
      <c r="N62" s="31">
        <f>L62-L62*E62</f>
        <v>5720</v>
      </c>
      <c r="O62" s="32">
        <f t="shared" si="0"/>
        <v>47.666666666666664</v>
      </c>
      <c r="P62" s="32">
        <f t="shared" si="1"/>
        <v>572</v>
      </c>
      <c r="Q62" s="3">
        <f t="shared" si="2"/>
        <v>0</v>
      </c>
      <c r="R62" s="33">
        <f t="shared" si="3"/>
        <v>572</v>
      </c>
      <c r="S62" s="34">
        <v>0.5946140035906643</v>
      </c>
      <c r="T62" s="33">
        <f t="shared" si="4"/>
        <v>340.11921005386</v>
      </c>
      <c r="U62" s="32">
        <f t="shared" si="5"/>
        <v>4719</v>
      </c>
      <c r="V62" s="33">
        <f t="shared" si="6"/>
        <v>2805.9834829443448</v>
      </c>
      <c r="W62" s="34">
        <v>1</v>
      </c>
      <c r="X62" s="33">
        <f t="shared" si="7"/>
        <v>2805.9834829443448</v>
      </c>
      <c r="Y62" s="32">
        <f t="shared" si="8"/>
        <v>3146.1026929982049</v>
      </c>
      <c r="Z62" s="33">
        <f t="shared" si="9"/>
        <v>425.14901256732492</v>
      </c>
      <c r="AA62" s="35">
        <f t="shared" si="10"/>
        <v>2008</v>
      </c>
      <c r="AB62" s="3">
        <f t="shared" si="11"/>
        <v>2017.25</v>
      </c>
      <c r="AC62" s="35">
        <f>$H62+(($D62-1)/12)</f>
        <v>2018</v>
      </c>
      <c r="AD62" s="4">
        <f t="shared" si="12"/>
        <v>2016.25</v>
      </c>
      <c r="AE62" s="3">
        <f t="shared" si="13"/>
        <v>-8.3333333333333329E-2</v>
      </c>
    </row>
    <row r="63" spans="1:31" x14ac:dyDescent="0.25">
      <c r="A63" s="37">
        <v>208</v>
      </c>
      <c r="B63" s="37" t="s">
        <v>112</v>
      </c>
      <c r="C63" s="28">
        <v>2008</v>
      </c>
      <c r="D63" s="38">
        <v>1</v>
      </c>
      <c r="E63" s="29">
        <v>0</v>
      </c>
      <c r="F63" s="16" t="s">
        <v>64</v>
      </c>
      <c r="G63" s="4">
        <v>10</v>
      </c>
      <c r="H63" s="28">
        <f>C63+G63</f>
        <v>2018</v>
      </c>
      <c r="K63" s="10">
        <v>4650</v>
      </c>
      <c r="L63" s="39">
        <v>4650</v>
      </c>
      <c r="N63" s="31">
        <f>L63-L63*E63</f>
        <v>4650</v>
      </c>
      <c r="O63" s="32">
        <f t="shared" si="0"/>
        <v>38.75</v>
      </c>
      <c r="P63" s="32">
        <f t="shared" si="1"/>
        <v>465</v>
      </c>
      <c r="Q63" s="3">
        <f t="shared" si="2"/>
        <v>0</v>
      </c>
      <c r="R63" s="33">
        <f t="shared" si="3"/>
        <v>465</v>
      </c>
      <c r="S63" s="34">
        <v>0.5946140035906643</v>
      </c>
      <c r="T63" s="33">
        <f t="shared" si="4"/>
        <v>276.49551166965892</v>
      </c>
      <c r="U63" s="32">
        <f t="shared" si="5"/>
        <v>3836.25</v>
      </c>
      <c r="V63" s="33">
        <f t="shared" si="6"/>
        <v>2281.087971274686</v>
      </c>
      <c r="W63" s="34">
        <v>1</v>
      </c>
      <c r="X63" s="33">
        <f t="shared" si="7"/>
        <v>2281.087971274686</v>
      </c>
      <c r="Y63" s="32">
        <f t="shared" si="8"/>
        <v>2557.5834829443447</v>
      </c>
      <c r="Z63" s="33">
        <f t="shared" si="9"/>
        <v>345.61938958707356</v>
      </c>
      <c r="AA63" s="35">
        <f t="shared" si="10"/>
        <v>2008</v>
      </c>
      <c r="AB63" s="3">
        <f t="shared" si="11"/>
        <v>2017.25</v>
      </c>
      <c r="AC63" s="35">
        <f>$H63+(($D63-1)/12)</f>
        <v>2018</v>
      </c>
      <c r="AD63" s="4">
        <f t="shared" si="12"/>
        <v>2016.25</v>
      </c>
      <c r="AE63" s="3">
        <f t="shared" si="13"/>
        <v>-8.3333333333333329E-2</v>
      </c>
    </row>
    <row r="64" spans="1:31" x14ac:dyDescent="0.25">
      <c r="A64" s="37">
        <v>209</v>
      </c>
      <c r="B64" s="37" t="s">
        <v>113</v>
      </c>
      <c r="C64" s="28">
        <v>2008</v>
      </c>
      <c r="D64" s="38">
        <v>1</v>
      </c>
      <c r="E64" s="29">
        <v>0</v>
      </c>
      <c r="F64" s="16" t="s">
        <v>64</v>
      </c>
      <c r="G64" s="4">
        <v>10</v>
      </c>
      <c r="H64" s="28">
        <f>C64+G64</f>
        <v>2018</v>
      </c>
      <c r="K64" s="10">
        <v>4590</v>
      </c>
      <c r="L64" s="39">
        <v>4590</v>
      </c>
      <c r="N64" s="31">
        <f>L64-L64*E64</f>
        <v>4590</v>
      </c>
      <c r="O64" s="32">
        <f t="shared" si="0"/>
        <v>38.25</v>
      </c>
      <c r="P64" s="32">
        <f t="shared" si="1"/>
        <v>459</v>
      </c>
      <c r="Q64" s="3">
        <f t="shared" si="2"/>
        <v>0</v>
      </c>
      <c r="R64" s="33">
        <f t="shared" si="3"/>
        <v>459</v>
      </c>
      <c r="S64" s="34">
        <v>0.5946140035906643</v>
      </c>
      <c r="T64" s="33">
        <f t="shared" si="4"/>
        <v>272.92782764811489</v>
      </c>
      <c r="U64" s="32">
        <f t="shared" si="5"/>
        <v>3786.75</v>
      </c>
      <c r="V64" s="33">
        <f t="shared" si="6"/>
        <v>2251.6545780969482</v>
      </c>
      <c r="W64" s="34">
        <v>1</v>
      </c>
      <c r="X64" s="33">
        <f t="shared" si="7"/>
        <v>2251.6545780969482</v>
      </c>
      <c r="Y64" s="32">
        <f t="shared" si="8"/>
        <v>2524.5824057450632</v>
      </c>
      <c r="Z64" s="33">
        <f t="shared" si="9"/>
        <v>341.15978456014341</v>
      </c>
      <c r="AA64" s="35">
        <f t="shared" si="10"/>
        <v>2008</v>
      </c>
      <c r="AB64" s="3">
        <f t="shared" si="11"/>
        <v>2017.25</v>
      </c>
      <c r="AC64" s="35">
        <f>$H64+(($D64-1)/12)</f>
        <v>2018</v>
      </c>
      <c r="AD64" s="4">
        <f t="shared" si="12"/>
        <v>2016.25</v>
      </c>
      <c r="AE64" s="3">
        <f t="shared" si="13"/>
        <v>-8.3333333333333329E-2</v>
      </c>
    </row>
    <row r="65" spans="1:31" x14ac:dyDescent="0.25">
      <c r="A65" s="37">
        <v>210</v>
      </c>
      <c r="B65" s="37" t="s">
        <v>114</v>
      </c>
      <c r="C65" s="28">
        <v>2008</v>
      </c>
      <c r="D65" s="38">
        <v>1</v>
      </c>
      <c r="E65" s="29">
        <v>0</v>
      </c>
      <c r="F65" s="16" t="s">
        <v>64</v>
      </c>
      <c r="G65" s="4">
        <v>10</v>
      </c>
      <c r="H65" s="28">
        <f>C65+G65</f>
        <v>2018</v>
      </c>
      <c r="K65" s="10">
        <v>8602</v>
      </c>
      <c r="L65" s="39">
        <v>8602</v>
      </c>
      <c r="N65" s="31">
        <f>L65-L65*E65</f>
        <v>8602</v>
      </c>
      <c r="O65" s="32">
        <f t="shared" si="0"/>
        <v>71.683333333333337</v>
      </c>
      <c r="P65" s="32">
        <f t="shared" si="1"/>
        <v>860.2</v>
      </c>
      <c r="Q65" s="3">
        <f t="shared" si="2"/>
        <v>0</v>
      </c>
      <c r="R65" s="33">
        <f t="shared" si="3"/>
        <v>860.2</v>
      </c>
      <c r="S65" s="34">
        <v>0.5946140035906643</v>
      </c>
      <c r="T65" s="33">
        <f t="shared" si="4"/>
        <v>511.48696588868944</v>
      </c>
      <c r="U65" s="32">
        <f t="shared" si="5"/>
        <v>7096.6500000000005</v>
      </c>
      <c r="V65" s="33">
        <f t="shared" si="6"/>
        <v>4219.7674685816883</v>
      </c>
      <c r="W65" s="34">
        <v>1</v>
      </c>
      <c r="X65" s="33">
        <f t="shared" si="7"/>
        <v>4219.7674685816883</v>
      </c>
      <c r="Y65" s="32">
        <f t="shared" si="8"/>
        <v>4731.2544344703774</v>
      </c>
      <c r="Z65" s="33">
        <f t="shared" si="9"/>
        <v>639.35870736086144</v>
      </c>
      <c r="AA65" s="35">
        <f t="shared" si="10"/>
        <v>2008</v>
      </c>
      <c r="AB65" s="3">
        <f t="shared" si="11"/>
        <v>2017.25</v>
      </c>
      <c r="AC65" s="35">
        <f>$H65+(($D65-1)/12)</f>
        <v>2018</v>
      </c>
      <c r="AD65" s="4">
        <f t="shared" si="12"/>
        <v>2016.25</v>
      </c>
      <c r="AE65" s="3">
        <f t="shared" si="13"/>
        <v>-8.3333333333333329E-2</v>
      </c>
    </row>
    <row r="66" spans="1:31" x14ac:dyDescent="0.25">
      <c r="A66" s="37">
        <v>211</v>
      </c>
      <c r="B66" s="37" t="s">
        <v>115</v>
      </c>
      <c r="C66" s="28">
        <v>2008</v>
      </c>
      <c r="D66" s="38">
        <v>1</v>
      </c>
      <c r="E66" s="29">
        <v>0</v>
      </c>
      <c r="F66" s="16" t="s">
        <v>64</v>
      </c>
      <c r="G66" s="4">
        <v>10</v>
      </c>
      <c r="H66" s="28">
        <f>C66+G66</f>
        <v>2018</v>
      </c>
      <c r="K66" s="10">
        <v>10780</v>
      </c>
      <c r="L66" s="39">
        <v>10780</v>
      </c>
      <c r="N66" s="31">
        <f>L66-L66*E66</f>
        <v>10780</v>
      </c>
      <c r="O66" s="32">
        <f t="shared" si="0"/>
        <v>89.833333333333329</v>
      </c>
      <c r="P66" s="32">
        <f t="shared" si="1"/>
        <v>1078</v>
      </c>
      <c r="Q66" s="3">
        <f t="shared" si="2"/>
        <v>0</v>
      </c>
      <c r="R66" s="33">
        <f t="shared" si="3"/>
        <v>1078</v>
      </c>
      <c r="S66" s="34">
        <v>1</v>
      </c>
      <c r="T66" s="33">
        <f t="shared" si="4"/>
        <v>1078</v>
      </c>
      <c r="U66" s="32">
        <f t="shared" si="5"/>
        <v>8893.5</v>
      </c>
      <c r="V66" s="33">
        <f t="shared" si="6"/>
        <v>8893.5</v>
      </c>
      <c r="W66" s="34">
        <v>1</v>
      </c>
      <c r="X66" s="33">
        <f t="shared" si="7"/>
        <v>8893.5</v>
      </c>
      <c r="Y66" s="32">
        <f t="shared" si="8"/>
        <v>9971.5</v>
      </c>
      <c r="Z66" s="33">
        <f t="shared" si="9"/>
        <v>1347.5</v>
      </c>
      <c r="AA66" s="35">
        <f t="shared" si="10"/>
        <v>2008</v>
      </c>
      <c r="AB66" s="3">
        <f t="shared" si="11"/>
        <v>2017.25</v>
      </c>
      <c r="AC66" s="35">
        <f>$H66+(($D66-1)/12)</f>
        <v>2018</v>
      </c>
      <c r="AD66" s="4">
        <f t="shared" si="12"/>
        <v>2016.25</v>
      </c>
      <c r="AE66" s="3">
        <f t="shared" si="13"/>
        <v>-8.3333333333333329E-2</v>
      </c>
    </row>
    <row r="67" spans="1:31" x14ac:dyDescent="0.25">
      <c r="A67" s="37">
        <v>213</v>
      </c>
      <c r="B67" s="37" t="s">
        <v>116</v>
      </c>
      <c r="C67" s="28">
        <v>2008</v>
      </c>
      <c r="D67" s="38">
        <v>1</v>
      </c>
      <c r="E67" s="29">
        <v>0</v>
      </c>
      <c r="F67" s="16" t="s">
        <v>64</v>
      </c>
      <c r="G67" s="4">
        <v>10</v>
      </c>
      <c r="H67" s="28">
        <f>C67+G67</f>
        <v>2018</v>
      </c>
      <c r="K67" s="10">
        <v>6180</v>
      </c>
      <c r="L67" s="39">
        <v>6180</v>
      </c>
      <c r="N67" s="31">
        <f>L67-L67*E67</f>
        <v>6180</v>
      </c>
      <c r="O67" s="32">
        <f t="shared" si="0"/>
        <v>51.5</v>
      </c>
      <c r="P67" s="32">
        <f t="shared" si="1"/>
        <v>618</v>
      </c>
      <c r="Q67" s="3">
        <f t="shared" si="2"/>
        <v>0</v>
      </c>
      <c r="R67" s="33">
        <f t="shared" si="3"/>
        <v>618</v>
      </c>
      <c r="S67" s="34">
        <v>1</v>
      </c>
      <c r="T67" s="33">
        <f t="shared" si="4"/>
        <v>618</v>
      </c>
      <c r="U67" s="32">
        <f t="shared" si="5"/>
        <v>5098.5</v>
      </c>
      <c r="V67" s="33">
        <f t="shared" si="6"/>
        <v>5098.5</v>
      </c>
      <c r="W67" s="34">
        <v>1</v>
      </c>
      <c r="X67" s="33">
        <f t="shared" si="7"/>
        <v>5098.5</v>
      </c>
      <c r="Y67" s="32">
        <f t="shared" si="8"/>
        <v>5716.5</v>
      </c>
      <c r="Z67" s="33">
        <f t="shared" si="9"/>
        <v>772.5</v>
      </c>
      <c r="AA67" s="35">
        <f t="shared" si="10"/>
        <v>2008</v>
      </c>
      <c r="AB67" s="3">
        <f t="shared" si="11"/>
        <v>2017.25</v>
      </c>
      <c r="AC67" s="35">
        <f>$H67+(($D67-1)/12)</f>
        <v>2018</v>
      </c>
      <c r="AD67" s="4">
        <f t="shared" si="12"/>
        <v>2016.25</v>
      </c>
      <c r="AE67" s="3">
        <f t="shared" si="13"/>
        <v>-8.3333333333333329E-2</v>
      </c>
    </row>
    <row r="68" spans="1:31" x14ac:dyDescent="0.25">
      <c r="A68" s="37">
        <v>214</v>
      </c>
      <c r="B68" s="37" t="s">
        <v>117</v>
      </c>
      <c r="C68" s="28">
        <v>2008</v>
      </c>
      <c r="D68" s="38">
        <v>1</v>
      </c>
      <c r="E68" s="29">
        <v>0</v>
      </c>
      <c r="F68" s="16" t="s">
        <v>64</v>
      </c>
      <c r="G68" s="4">
        <v>10</v>
      </c>
      <c r="H68" s="28">
        <f>C68+G68</f>
        <v>2018</v>
      </c>
      <c r="K68" s="10">
        <v>1776</v>
      </c>
      <c r="L68" s="39">
        <v>1776</v>
      </c>
      <c r="N68" s="31">
        <f>L68-L68*E68</f>
        <v>1776</v>
      </c>
      <c r="O68" s="32">
        <f t="shared" si="0"/>
        <v>14.799999999999999</v>
      </c>
      <c r="P68" s="32">
        <f t="shared" si="1"/>
        <v>177.6</v>
      </c>
      <c r="Q68" s="3">
        <f t="shared" si="2"/>
        <v>0</v>
      </c>
      <c r="R68" s="33">
        <f t="shared" si="3"/>
        <v>177.6</v>
      </c>
      <c r="S68" s="34">
        <v>0.5946140035906643</v>
      </c>
      <c r="T68" s="33">
        <f t="shared" si="4"/>
        <v>105.60344703770197</v>
      </c>
      <c r="U68" s="32">
        <f t="shared" si="5"/>
        <v>1465.1999999999998</v>
      </c>
      <c r="V68" s="33">
        <f t="shared" si="6"/>
        <v>871.22843806104117</v>
      </c>
      <c r="W68" s="34">
        <v>1</v>
      </c>
      <c r="X68" s="33">
        <f t="shared" si="7"/>
        <v>871.22843806104117</v>
      </c>
      <c r="Y68" s="32">
        <f t="shared" si="8"/>
        <v>976.8318850987431</v>
      </c>
      <c r="Z68" s="33">
        <f t="shared" si="9"/>
        <v>132.00430879712758</v>
      </c>
      <c r="AA68" s="35">
        <f t="shared" si="10"/>
        <v>2008</v>
      </c>
      <c r="AB68" s="3">
        <f t="shared" si="11"/>
        <v>2017.25</v>
      </c>
      <c r="AC68" s="35">
        <f>$H68+(($D68-1)/12)</f>
        <v>2018</v>
      </c>
      <c r="AD68" s="4">
        <f t="shared" si="12"/>
        <v>2016.25</v>
      </c>
      <c r="AE68" s="3">
        <f t="shared" si="13"/>
        <v>-8.3333333333333329E-2</v>
      </c>
    </row>
    <row r="69" spans="1:31" x14ac:dyDescent="0.25">
      <c r="A69" s="37">
        <v>216</v>
      </c>
      <c r="B69" s="37" t="s">
        <v>118</v>
      </c>
      <c r="C69" s="28">
        <v>2008</v>
      </c>
      <c r="D69" s="38">
        <v>1</v>
      </c>
      <c r="E69" s="29">
        <v>0</v>
      </c>
      <c r="F69" s="16" t="s">
        <v>64</v>
      </c>
      <c r="G69" s="4">
        <v>10</v>
      </c>
      <c r="H69" s="28">
        <f>C69+G69</f>
        <v>2018</v>
      </c>
      <c r="K69" s="10">
        <v>22436.76</v>
      </c>
      <c r="L69" s="39">
        <v>22436.760000000002</v>
      </c>
      <c r="N69" s="31">
        <f>L69-L69*E69</f>
        <v>22436.760000000002</v>
      </c>
      <c r="O69" s="32">
        <f t="shared" si="0"/>
        <v>186.97300000000004</v>
      </c>
      <c r="P69" s="32">
        <f t="shared" si="1"/>
        <v>2243.6760000000004</v>
      </c>
      <c r="Q69" s="3">
        <f t="shared" si="2"/>
        <v>0</v>
      </c>
      <c r="R69" s="33">
        <f t="shared" si="3"/>
        <v>2243.6760000000004</v>
      </c>
      <c r="S69" s="34">
        <v>1</v>
      </c>
      <c r="T69" s="33">
        <f t="shared" si="4"/>
        <v>2243.6760000000004</v>
      </c>
      <c r="U69" s="32">
        <f t="shared" si="5"/>
        <v>18510.327000000005</v>
      </c>
      <c r="V69" s="33">
        <f t="shared" si="6"/>
        <v>18510.327000000005</v>
      </c>
      <c r="W69" s="34">
        <v>1</v>
      </c>
      <c r="X69" s="33">
        <f t="shared" si="7"/>
        <v>18510.327000000005</v>
      </c>
      <c r="Y69" s="32">
        <f t="shared" si="8"/>
        <v>20754.003000000004</v>
      </c>
      <c r="Z69" s="33">
        <f t="shared" si="9"/>
        <v>2804.5949999999975</v>
      </c>
      <c r="AA69" s="35">
        <f t="shared" si="10"/>
        <v>2008</v>
      </c>
      <c r="AB69" s="3">
        <f t="shared" si="11"/>
        <v>2017.25</v>
      </c>
      <c r="AC69" s="35">
        <f>$H69+(($D69-1)/12)</f>
        <v>2018</v>
      </c>
      <c r="AD69" s="4">
        <f t="shared" si="12"/>
        <v>2016.25</v>
      </c>
      <c r="AE69" s="3">
        <f t="shared" si="13"/>
        <v>-8.3333333333333329E-2</v>
      </c>
    </row>
    <row r="70" spans="1:31" x14ac:dyDescent="0.25">
      <c r="A70" s="37">
        <v>220</v>
      </c>
      <c r="B70" s="37" t="s">
        <v>119</v>
      </c>
      <c r="C70" s="28">
        <v>2008</v>
      </c>
      <c r="D70" s="38">
        <v>1</v>
      </c>
      <c r="E70" s="29">
        <v>0</v>
      </c>
      <c r="F70" s="16" t="s">
        <v>64</v>
      </c>
      <c r="G70" s="4">
        <v>10</v>
      </c>
      <c r="H70" s="28">
        <f>C70+G70</f>
        <v>2018</v>
      </c>
      <c r="K70" s="10">
        <v>36770.769999999997</v>
      </c>
      <c r="L70" s="39">
        <v>36770.769999999997</v>
      </c>
      <c r="N70" s="31">
        <f>L70-L70*E70</f>
        <v>36770.769999999997</v>
      </c>
      <c r="O70" s="32">
        <f t="shared" si="0"/>
        <v>306.4230833333333</v>
      </c>
      <c r="P70" s="32">
        <f t="shared" si="1"/>
        <v>3677.0769999999993</v>
      </c>
      <c r="Q70" s="3">
        <f t="shared" si="2"/>
        <v>0</v>
      </c>
      <c r="R70" s="33">
        <f t="shared" si="3"/>
        <v>3677.0769999999993</v>
      </c>
      <c r="S70" s="34">
        <v>1</v>
      </c>
      <c r="T70" s="33">
        <f t="shared" si="4"/>
        <v>3677.0769999999993</v>
      </c>
      <c r="U70" s="32">
        <f t="shared" si="5"/>
        <v>30335.885249999996</v>
      </c>
      <c r="V70" s="33">
        <f t="shared" si="6"/>
        <v>30335.885249999996</v>
      </c>
      <c r="W70" s="34">
        <v>1</v>
      </c>
      <c r="X70" s="33">
        <f t="shared" si="7"/>
        <v>30335.885249999996</v>
      </c>
      <c r="Y70" s="32">
        <f t="shared" si="8"/>
        <v>34012.962249999997</v>
      </c>
      <c r="Z70" s="33">
        <f t="shared" si="9"/>
        <v>4596.3462500000005</v>
      </c>
      <c r="AA70" s="35">
        <f t="shared" si="10"/>
        <v>2008</v>
      </c>
      <c r="AB70" s="3">
        <f t="shared" si="11"/>
        <v>2017.25</v>
      </c>
      <c r="AC70" s="35">
        <f>$H70+(($D70-1)/12)</f>
        <v>2018</v>
      </c>
      <c r="AD70" s="4">
        <f t="shared" si="12"/>
        <v>2016.25</v>
      </c>
      <c r="AE70" s="3">
        <f t="shared" si="13"/>
        <v>-8.3333333333333329E-2</v>
      </c>
    </row>
    <row r="71" spans="1:31" x14ac:dyDescent="0.25">
      <c r="A71" s="40">
        <v>675</v>
      </c>
      <c r="B71" s="3" t="s">
        <v>120</v>
      </c>
      <c r="C71" s="28">
        <v>2009</v>
      </c>
      <c r="D71" s="38">
        <v>4</v>
      </c>
      <c r="E71" s="29">
        <v>0</v>
      </c>
      <c r="F71" s="41" t="s">
        <v>64</v>
      </c>
      <c r="G71" s="4">
        <v>10</v>
      </c>
      <c r="H71" s="28">
        <f>C71+G71</f>
        <v>2019</v>
      </c>
      <c r="K71" s="10">
        <v>19660.57</v>
      </c>
      <c r="L71" s="39">
        <v>19660.57</v>
      </c>
      <c r="N71" s="11">
        <f>L71-L71*E71</f>
        <v>19660.57</v>
      </c>
      <c r="O71" s="3">
        <f t="shared" si="0"/>
        <v>163.83808333333334</v>
      </c>
      <c r="P71" s="32">
        <f t="shared" si="1"/>
        <v>1966.0570000000002</v>
      </c>
      <c r="Q71" s="3">
        <f t="shared" si="2"/>
        <v>0</v>
      </c>
      <c r="R71" s="33">
        <f t="shared" si="3"/>
        <v>1966.0570000000002</v>
      </c>
      <c r="S71" s="34">
        <v>1</v>
      </c>
      <c r="T71" s="33">
        <f t="shared" si="4"/>
        <v>1966.0570000000002</v>
      </c>
      <c r="U71" s="32">
        <f t="shared" si="5"/>
        <v>13762.399000000001</v>
      </c>
      <c r="V71" s="33">
        <f t="shared" si="6"/>
        <v>13762.399000000001</v>
      </c>
      <c r="W71" s="34">
        <v>1</v>
      </c>
      <c r="X71" s="33">
        <f t="shared" si="7"/>
        <v>13762.399000000001</v>
      </c>
      <c r="Y71" s="32">
        <f t="shared" si="8"/>
        <v>15728.456000000002</v>
      </c>
      <c r="Z71" s="33">
        <f t="shared" si="9"/>
        <v>4915.1424999999981</v>
      </c>
      <c r="AA71" s="35">
        <f t="shared" si="10"/>
        <v>2009.25</v>
      </c>
      <c r="AB71" s="3">
        <f t="shared" si="11"/>
        <v>2017.25</v>
      </c>
      <c r="AC71" s="35">
        <f>$H71+(($D71-1)/12)</f>
        <v>2019.25</v>
      </c>
      <c r="AD71" s="4">
        <f t="shared" si="12"/>
        <v>2016.25</v>
      </c>
      <c r="AE71" s="3">
        <f t="shared" si="13"/>
        <v>-8.3333333333333329E-2</v>
      </c>
    </row>
    <row r="72" spans="1:31" x14ac:dyDescent="0.25">
      <c r="A72" s="40" t="s">
        <v>121</v>
      </c>
      <c r="B72" s="3" t="s">
        <v>122</v>
      </c>
      <c r="C72" s="28">
        <v>2009</v>
      </c>
      <c r="D72" s="38">
        <v>4</v>
      </c>
      <c r="E72" s="29">
        <v>0</v>
      </c>
      <c r="F72" s="41" t="s">
        <v>64</v>
      </c>
      <c r="G72" s="4">
        <v>10</v>
      </c>
      <c r="H72" s="28">
        <f>C72+G72</f>
        <v>2019</v>
      </c>
      <c r="K72" s="10">
        <v>16770.240000000002</v>
      </c>
      <c r="L72" s="39">
        <v>16770.240000000002</v>
      </c>
      <c r="N72" s="11">
        <f>L72-L72*E72</f>
        <v>16770.240000000002</v>
      </c>
      <c r="O72" s="3">
        <f t="shared" si="0"/>
        <v>139.75200000000001</v>
      </c>
      <c r="P72" s="32">
        <f t="shared" si="1"/>
        <v>1677.0240000000001</v>
      </c>
      <c r="Q72" s="3">
        <f t="shared" si="2"/>
        <v>0</v>
      </c>
      <c r="R72" s="33">
        <f t="shared" si="3"/>
        <v>1677.0240000000001</v>
      </c>
      <c r="S72" s="34">
        <v>1</v>
      </c>
      <c r="T72" s="33">
        <f t="shared" si="4"/>
        <v>1677.0240000000001</v>
      </c>
      <c r="U72" s="32">
        <f t="shared" si="5"/>
        <v>11739.168000000001</v>
      </c>
      <c r="V72" s="33">
        <f t="shared" si="6"/>
        <v>11739.168000000001</v>
      </c>
      <c r="W72" s="34">
        <v>1</v>
      </c>
      <c r="X72" s="33">
        <f t="shared" si="7"/>
        <v>11739.168000000001</v>
      </c>
      <c r="Y72" s="32">
        <f t="shared" si="8"/>
        <v>13416.192000000001</v>
      </c>
      <c r="Z72" s="33">
        <f t="shared" si="9"/>
        <v>4192.5600000000004</v>
      </c>
      <c r="AA72" s="35">
        <f t="shared" si="10"/>
        <v>2009.25</v>
      </c>
      <c r="AB72" s="3">
        <f t="shared" si="11"/>
        <v>2017.25</v>
      </c>
      <c r="AC72" s="35">
        <f>$H72+(($D72-1)/12)</f>
        <v>2019.25</v>
      </c>
      <c r="AD72" s="4">
        <f t="shared" si="12"/>
        <v>2016.25</v>
      </c>
      <c r="AE72" s="3">
        <f t="shared" si="13"/>
        <v>-8.3333333333333329E-2</v>
      </c>
    </row>
    <row r="73" spans="1:31" x14ac:dyDescent="0.25">
      <c r="A73" s="40" t="s">
        <v>123</v>
      </c>
      <c r="B73" s="3" t="s">
        <v>124</v>
      </c>
      <c r="C73" s="28">
        <v>2009</v>
      </c>
      <c r="D73" s="38">
        <v>4</v>
      </c>
      <c r="E73" s="29">
        <v>0</v>
      </c>
      <c r="F73" s="41" t="s">
        <v>64</v>
      </c>
      <c r="G73" s="4">
        <v>10</v>
      </c>
      <c r="H73" s="28">
        <f>C73+G73</f>
        <v>2019</v>
      </c>
      <c r="K73" s="10">
        <v>4181.03</v>
      </c>
      <c r="L73" s="39">
        <v>4181.03</v>
      </c>
      <c r="N73" s="11">
        <f>L73-L73*E73</f>
        <v>4181.03</v>
      </c>
      <c r="O73" s="3">
        <f t="shared" si="0"/>
        <v>34.841916666666663</v>
      </c>
      <c r="P73" s="32">
        <f t="shared" si="1"/>
        <v>418.10299999999995</v>
      </c>
      <c r="Q73" s="3">
        <f t="shared" si="2"/>
        <v>0</v>
      </c>
      <c r="R73" s="33">
        <f t="shared" si="3"/>
        <v>418.10299999999995</v>
      </c>
      <c r="S73" s="34">
        <v>1</v>
      </c>
      <c r="T73" s="33">
        <f t="shared" si="4"/>
        <v>418.10299999999995</v>
      </c>
      <c r="U73" s="32">
        <f t="shared" si="5"/>
        <v>2926.7209999999995</v>
      </c>
      <c r="V73" s="33">
        <f t="shared" si="6"/>
        <v>2926.7209999999995</v>
      </c>
      <c r="W73" s="34">
        <v>1</v>
      </c>
      <c r="X73" s="33">
        <f t="shared" si="7"/>
        <v>2926.7209999999995</v>
      </c>
      <c r="Y73" s="32">
        <f t="shared" si="8"/>
        <v>3344.8239999999996</v>
      </c>
      <c r="Z73" s="33">
        <f t="shared" si="9"/>
        <v>1045.2575000000002</v>
      </c>
      <c r="AA73" s="35">
        <f t="shared" si="10"/>
        <v>2009.25</v>
      </c>
      <c r="AB73" s="3">
        <f t="shared" si="11"/>
        <v>2017.25</v>
      </c>
      <c r="AC73" s="35">
        <f>$H73+(($D73-1)/12)</f>
        <v>2019.25</v>
      </c>
      <c r="AD73" s="4">
        <f t="shared" si="12"/>
        <v>2016.25</v>
      </c>
      <c r="AE73" s="3">
        <f t="shared" si="13"/>
        <v>-8.3333333333333329E-2</v>
      </c>
    </row>
    <row r="74" spans="1:31" x14ac:dyDescent="0.25">
      <c r="A74" s="40" t="s">
        <v>125</v>
      </c>
      <c r="B74" s="3" t="s">
        <v>126</v>
      </c>
      <c r="C74" s="28">
        <v>2009</v>
      </c>
      <c r="D74" s="38">
        <v>6</v>
      </c>
      <c r="E74" s="29">
        <v>0</v>
      </c>
      <c r="F74" s="41" t="s">
        <v>64</v>
      </c>
      <c r="G74" s="4">
        <v>10</v>
      </c>
      <c r="H74" s="28">
        <f>C74+G74</f>
        <v>2019</v>
      </c>
      <c r="K74" s="10">
        <v>1245</v>
      </c>
      <c r="L74" s="39">
        <v>1245</v>
      </c>
      <c r="N74" s="11">
        <f>L74-L74*E74</f>
        <v>1245</v>
      </c>
      <c r="O74" s="3">
        <f t="shared" si="0"/>
        <v>10.375</v>
      </c>
      <c r="P74" s="32">
        <f t="shared" si="1"/>
        <v>124.5</v>
      </c>
      <c r="Q74" s="3">
        <f t="shared" si="2"/>
        <v>0</v>
      </c>
      <c r="R74" s="33">
        <f t="shared" si="3"/>
        <v>124.5</v>
      </c>
      <c r="S74" s="34">
        <v>1</v>
      </c>
      <c r="T74" s="33">
        <f t="shared" si="4"/>
        <v>124.5</v>
      </c>
      <c r="U74" s="32">
        <f t="shared" si="5"/>
        <v>850.74999999999056</v>
      </c>
      <c r="V74" s="33">
        <f t="shared" si="6"/>
        <v>850.74999999999056</v>
      </c>
      <c r="W74" s="34">
        <v>1</v>
      </c>
      <c r="X74" s="33">
        <f t="shared" si="7"/>
        <v>850.74999999999056</v>
      </c>
      <c r="Y74" s="32">
        <f t="shared" si="8"/>
        <v>975.24999999999056</v>
      </c>
      <c r="Z74" s="33">
        <f t="shared" si="9"/>
        <v>332.00000000000944</v>
      </c>
      <c r="AA74" s="35">
        <f t="shared" si="10"/>
        <v>2009.4166666666667</v>
      </c>
      <c r="AB74" s="3">
        <f t="shared" si="11"/>
        <v>2017.25</v>
      </c>
      <c r="AC74" s="35">
        <f>$H74+(($D74-1)/12)</f>
        <v>2019.4166666666667</v>
      </c>
      <c r="AD74" s="4">
        <f t="shared" si="12"/>
        <v>2016.25</v>
      </c>
      <c r="AE74" s="3">
        <f t="shared" si="13"/>
        <v>-8.3333333333333329E-2</v>
      </c>
    </row>
    <row r="75" spans="1:31" x14ac:dyDescent="0.25">
      <c r="A75" s="40" t="s">
        <v>127</v>
      </c>
      <c r="B75" s="3" t="s">
        <v>128</v>
      </c>
      <c r="C75" s="28">
        <v>2009</v>
      </c>
      <c r="D75" s="38">
        <v>6</v>
      </c>
      <c r="E75" s="29">
        <v>0</v>
      </c>
      <c r="F75" s="41" t="s">
        <v>64</v>
      </c>
      <c r="G75" s="4">
        <v>10</v>
      </c>
      <c r="H75" s="28">
        <f>C75+G75</f>
        <v>2019</v>
      </c>
      <c r="K75" s="10">
        <v>4180</v>
      </c>
      <c r="L75" s="39">
        <v>4180</v>
      </c>
      <c r="N75" s="11">
        <f>L75-L75*E75</f>
        <v>4180</v>
      </c>
      <c r="O75" s="3">
        <f t="shared" si="0"/>
        <v>34.833333333333336</v>
      </c>
      <c r="P75" s="32">
        <f t="shared" si="1"/>
        <v>418</v>
      </c>
      <c r="Q75" s="3">
        <f t="shared" si="2"/>
        <v>0</v>
      </c>
      <c r="R75" s="33">
        <f t="shared" si="3"/>
        <v>418</v>
      </c>
      <c r="S75" s="34">
        <v>1</v>
      </c>
      <c r="T75" s="33">
        <f t="shared" si="4"/>
        <v>418</v>
      </c>
      <c r="U75" s="32">
        <f t="shared" si="5"/>
        <v>2856.3333333333017</v>
      </c>
      <c r="V75" s="33">
        <f t="shared" si="6"/>
        <v>2856.3333333333017</v>
      </c>
      <c r="W75" s="34">
        <v>1</v>
      </c>
      <c r="X75" s="33">
        <f t="shared" si="7"/>
        <v>2856.3333333333017</v>
      </c>
      <c r="Y75" s="32">
        <f t="shared" si="8"/>
        <v>3274.3333333333017</v>
      </c>
      <c r="Z75" s="33">
        <f t="shared" si="9"/>
        <v>1114.6666666666983</v>
      </c>
      <c r="AA75" s="35">
        <f t="shared" si="10"/>
        <v>2009.4166666666667</v>
      </c>
      <c r="AB75" s="3">
        <f t="shared" si="11"/>
        <v>2017.25</v>
      </c>
      <c r="AC75" s="35">
        <f>$H75+(($D75-1)/12)</f>
        <v>2019.4166666666667</v>
      </c>
      <c r="AD75" s="4">
        <f t="shared" si="12"/>
        <v>2016.25</v>
      </c>
      <c r="AE75" s="3">
        <f t="shared" si="13"/>
        <v>-8.3333333333333329E-2</v>
      </c>
    </row>
    <row r="76" spans="1:31" x14ac:dyDescent="0.25">
      <c r="A76" s="40" t="s">
        <v>129</v>
      </c>
      <c r="B76" s="3" t="s">
        <v>130</v>
      </c>
      <c r="C76" s="28">
        <v>2009</v>
      </c>
      <c r="D76" s="38">
        <v>6</v>
      </c>
      <c r="E76" s="29">
        <v>0</v>
      </c>
      <c r="F76" s="41" t="s">
        <v>64</v>
      </c>
      <c r="G76" s="4">
        <v>10</v>
      </c>
      <c r="H76" s="28">
        <f>C76+G76</f>
        <v>2019</v>
      </c>
      <c r="K76" s="10">
        <v>415</v>
      </c>
      <c r="L76" s="39">
        <v>415</v>
      </c>
      <c r="N76" s="11">
        <f>L76-L76*E76</f>
        <v>415</v>
      </c>
      <c r="O76" s="3">
        <f t="shared" si="0"/>
        <v>3.4583333333333335</v>
      </c>
      <c r="P76" s="32">
        <f t="shared" si="1"/>
        <v>41.5</v>
      </c>
      <c r="Q76" s="3">
        <f t="shared" si="2"/>
        <v>0</v>
      </c>
      <c r="R76" s="33">
        <f t="shared" si="3"/>
        <v>41.5</v>
      </c>
      <c r="S76" s="34">
        <v>1</v>
      </c>
      <c r="T76" s="33">
        <f t="shared" si="4"/>
        <v>41.5</v>
      </c>
      <c r="U76" s="32">
        <f t="shared" si="5"/>
        <v>283.58333333333019</v>
      </c>
      <c r="V76" s="33">
        <f t="shared" si="6"/>
        <v>283.58333333333019</v>
      </c>
      <c r="W76" s="34">
        <v>1</v>
      </c>
      <c r="X76" s="33">
        <f t="shared" si="7"/>
        <v>283.58333333333019</v>
      </c>
      <c r="Y76" s="32">
        <f t="shared" si="8"/>
        <v>325.08333333333019</v>
      </c>
      <c r="Z76" s="33">
        <f t="shared" si="9"/>
        <v>110.66666666666981</v>
      </c>
      <c r="AA76" s="35">
        <f t="shared" si="10"/>
        <v>2009.4166666666667</v>
      </c>
      <c r="AB76" s="3">
        <f t="shared" si="11"/>
        <v>2017.25</v>
      </c>
      <c r="AC76" s="35">
        <f>$H76+(($D76-1)/12)</f>
        <v>2019.4166666666667</v>
      </c>
      <c r="AD76" s="4">
        <f t="shared" si="12"/>
        <v>2016.25</v>
      </c>
      <c r="AE76" s="3">
        <f t="shared" si="13"/>
        <v>-8.3333333333333329E-2</v>
      </c>
    </row>
    <row r="77" spans="1:31" x14ac:dyDescent="0.25">
      <c r="A77" s="40" t="s">
        <v>131</v>
      </c>
      <c r="B77" s="3" t="s">
        <v>132</v>
      </c>
      <c r="C77" s="28">
        <v>2009</v>
      </c>
      <c r="D77" s="38">
        <v>8</v>
      </c>
      <c r="E77" s="29">
        <v>0</v>
      </c>
      <c r="F77" s="41" t="s">
        <v>64</v>
      </c>
      <c r="G77" s="4">
        <v>10</v>
      </c>
      <c r="H77" s="28">
        <f>C77+G77</f>
        <v>2019</v>
      </c>
      <c r="K77" s="10">
        <v>8469.6</v>
      </c>
      <c r="L77" s="39">
        <v>8496.6</v>
      </c>
      <c r="N77" s="11">
        <f>L77-L77*E77</f>
        <v>8496.6</v>
      </c>
      <c r="O77" s="3">
        <f t="shared" ref="O77:O140" si="15">N77/G77/12</f>
        <v>70.805000000000007</v>
      </c>
      <c r="P77" s="32">
        <f t="shared" ref="P77:P140" si="16">IF(M77&gt;0,0,IF(OR(AA77&gt;AB77,AC77&lt;AD77),0,IF(AND(AC77&gt;=AD77,AC77&lt;=AB77),O77*((AC77-AD77)*12),IF(AND(AD77&lt;=AA77,AB77&gt;=AA77),((AB77-AA77)*12)*O77,IF(AC77&gt;AB77,12*O77,0)))))</f>
        <v>849.66000000000008</v>
      </c>
      <c r="Q77" s="3">
        <f t="shared" ref="Q77:Q140" si="17">IF(M77=0,0,IF(AND(AE77&gt;=AD77,AE77&lt;=AC77),((AE77-AD77)*12)*O77,0))</f>
        <v>0</v>
      </c>
      <c r="R77" s="33">
        <f t="shared" ref="R77:R140" si="18">IF(Q77&gt;0,Q77,P77)</f>
        <v>849.66000000000008</v>
      </c>
      <c r="S77" s="34">
        <v>1</v>
      </c>
      <c r="T77" s="33">
        <f t="shared" ref="T77:T140" si="19">S77*R77</f>
        <v>849.66000000000008</v>
      </c>
      <c r="U77" s="32">
        <f t="shared" ref="U77:U140" si="20">IF(AA77&gt;AB77,0,IF(AC77&lt;AD77,N77,IF(AND(AC77&gt;=AD77,AC77&lt;=AB77),(N77-R77),IF(AND(AD77&lt;=AA77,AB77&gt;=AA77),0,IF(AC77&gt;AB77,((AD77-AA77)*12)*O77,0)))))</f>
        <v>5664.4000000000651</v>
      </c>
      <c r="V77" s="33">
        <f t="shared" ref="V77:V140" si="21">U77*S77</f>
        <v>5664.4000000000651</v>
      </c>
      <c r="W77" s="34">
        <v>1</v>
      </c>
      <c r="X77" s="33">
        <f t="shared" ref="X77:X140" si="22">V77*W77</f>
        <v>5664.4000000000651</v>
      </c>
      <c r="Y77" s="32">
        <f t="shared" ref="Y77:Y140" si="23">IF(M77&gt;0,0,X77+T77*W77)*W77</f>
        <v>6514.060000000065</v>
      </c>
      <c r="Z77" s="33">
        <f t="shared" ref="Z77:Z140" si="24">IF(M77&gt;0,(L77-X77)/2,IF(AA77&gt;=AD77,(((L77*S77)*W77)-Y77)/2,((((L77*S77)*W77)-X77)+(((L77*S77)*W77)-Y77))/2))</f>
        <v>2407.3699999999353</v>
      </c>
      <c r="AA77" s="35">
        <f t="shared" ref="AA77:AA140" si="25">$C77+(($D77-1)/12)</f>
        <v>2009.5833333333333</v>
      </c>
      <c r="AB77" s="3">
        <f t="shared" ref="AB77:AB140" si="26">($N$5+1)-($N$2/12)</f>
        <v>2017.25</v>
      </c>
      <c r="AC77" s="35">
        <f>$H77+(($D77-1)/12)</f>
        <v>2019.5833333333333</v>
      </c>
      <c r="AD77" s="4">
        <f t="shared" ref="AD77:AD140" si="27">$N$4+($N$3/12)</f>
        <v>2016.25</v>
      </c>
      <c r="AE77" s="3">
        <f t="shared" ref="AE77:AE140" si="28">$I77+(($J77-1)/12)</f>
        <v>-8.3333333333333329E-2</v>
      </c>
    </row>
    <row r="78" spans="1:31" x14ac:dyDescent="0.25">
      <c r="A78" s="40" t="s">
        <v>133</v>
      </c>
      <c r="B78" s="3" t="s">
        <v>134</v>
      </c>
      <c r="C78" s="28">
        <v>2009</v>
      </c>
      <c r="D78" s="38">
        <v>8</v>
      </c>
      <c r="E78" s="29">
        <v>0</v>
      </c>
      <c r="F78" s="41" t="s">
        <v>64</v>
      </c>
      <c r="G78" s="4">
        <v>10</v>
      </c>
      <c r="H78" s="28">
        <f>C78+G78</f>
        <v>2019</v>
      </c>
      <c r="K78" s="10">
        <v>2439.1</v>
      </c>
      <c r="L78" s="39">
        <v>2439.1</v>
      </c>
      <c r="N78" s="11">
        <f>L78-L78*E78</f>
        <v>2439.1</v>
      </c>
      <c r="O78" s="3">
        <f t="shared" si="15"/>
        <v>20.325833333333332</v>
      </c>
      <c r="P78" s="32">
        <f t="shared" si="16"/>
        <v>243.90999999999997</v>
      </c>
      <c r="Q78" s="3">
        <f t="shared" si="17"/>
        <v>0</v>
      </c>
      <c r="R78" s="33">
        <f t="shared" si="18"/>
        <v>243.90999999999997</v>
      </c>
      <c r="S78" s="34">
        <v>1</v>
      </c>
      <c r="T78" s="33">
        <f t="shared" si="19"/>
        <v>243.90999999999997</v>
      </c>
      <c r="U78" s="32">
        <f t="shared" si="20"/>
        <v>1626.066666666685</v>
      </c>
      <c r="V78" s="33">
        <f t="shared" si="21"/>
        <v>1626.066666666685</v>
      </c>
      <c r="W78" s="34">
        <v>1</v>
      </c>
      <c r="X78" s="33">
        <f t="shared" si="22"/>
        <v>1626.066666666685</v>
      </c>
      <c r="Y78" s="32">
        <f t="shared" si="23"/>
        <v>1869.9766666666851</v>
      </c>
      <c r="Z78" s="33">
        <f t="shared" si="24"/>
        <v>691.07833333331484</v>
      </c>
      <c r="AA78" s="35">
        <f t="shared" si="25"/>
        <v>2009.5833333333333</v>
      </c>
      <c r="AB78" s="3">
        <f t="shared" si="26"/>
        <v>2017.25</v>
      </c>
      <c r="AC78" s="35">
        <f>$H78+(($D78-1)/12)</f>
        <v>2019.5833333333333</v>
      </c>
      <c r="AD78" s="4">
        <f t="shared" si="27"/>
        <v>2016.25</v>
      </c>
      <c r="AE78" s="3">
        <f t="shared" si="28"/>
        <v>-8.3333333333333329E-2</v>
      </c>
    </row>
    <row r="79" spans="1:31" x14ac:dyDescent="0.25">
      <c r="A79" s="40" t="s">
        <v>135</v>
      </c>
      <c r="B79" s="3" t="s">
        <v>136</v>
      </c>
      <c r="C79" s="28">
        <v>2009</v>
      </c>
      <c r="D79" s="38">
        <v>8</v>
      </c>
      <c r="E79" s="29">
        <v>0</v>
      </c>
      <c r="F79" s="41" t="s">
        <v>64</v>
      </c>
      <c r="G79" s="4">
        <v>10</v>
      </c>
      <c r="H79" s="28">
        <f>C79+G79</f>
        <v>2019</v>
      </c>
      <c r="K79" s="10">
        <v>3847.98</v>
      </c>
      <c r="L79" s="39">
        <v>3847.98</v>
      </c>
      <c r="N79" s="11">
        <f>L79-L79*E79</f>
        <v>3847.98</v>
      </c>
      <c r="O79" s="3">
        <f t="shared" si="15"/>
        <v>32.066499999999998</v>
      </c>
      <c r="P79" s="32">
        <f t="shared" si="16"/>
        <v>384.798</v>
      </c>
      <c r="Q79" s="3">
        <f t="shared" si="17"/>
        <v>0</v>
      </c>
      <c r="R79" s="33">
        <f t="shared" si="18"/>
        <v>384.798</v>
      </c>
      <c r="S79" s="34">
        <v>1</v>
      </c>
      <c r="T79" s="33">
        <f t="shared" si="19"/>
        <v>384.798</v>
      </c>
      <c r="U79" s="32">
        <f t="shared" si="20"/>
        <v>2565.3200000000288</v>
      </c>
      <c r="V79" s="33">
        <f t="shared" si="21"/>
        <v>2565.3200000000288</v>
      </c>
      <c r="W79" s="34">
        <v>1</v>
      </c>
      <c r="X79" s="33">
        <f t="shared" si="22"/>
        <v>2565.3200000000288</v>
      </c>
      <c r="Y79" s="32">
        <f t="shared" si="23"/>
        <v>2950.1180000000286</v>
      </c>
      <c r="Z79" s="33">
        <f t="shared" si="24"/>
        <v>1090.2609999999713</v>
      </c>
      <c r="AA79" s="35">
        <f t="shared" si="25"/>
        <v>2009.5833333333333</v>
      </c>
      <c r="AB79" s="3">
        <f t="shared" si="26"/>
        <v>2017.25</v>
      </c>
      <c r="AC79" s="35">
        <f>$H79+(($D79-1)/12)</f>
        <v>2019.5833333333333</v>
      </c>
      <c r="AD79" s="4">
        <f t="shared" si="27"/>
        <v>2016.25</v>
      </c>
      <c r="AE79" s="3">
        <f t="shared" si="28"/>
        <v>-8.3333333333333329E-2</v>
      </c>
    </row>
    <row r="80" spans="1:31" x14ac:dyDescent="0.25">
      <c r="A80" s="40" t="s">
        <v>137</v>
      </c>
      <c r="B80" s="3" t="s">
        <v>138</v>
      </c>
      <c r="C80" s="28">
        <v>2009</v>
      </c>
      <c r="D80" s="38">
        <v>9</v>
      </c>
      <c r="E80" s="29">
        <v>0</v>
      </c>
      <c r="F80" s="41" t="s">
        <v>64</v>
      </c>
      <c r="G80" s="4">
        <v>10</v>
      </c>
      <c r="H80" s="28">
        <f>C80+G80</f>
        <v>2019</v>
      </c>
      <c r="K80" s="10">
        <v>8172</v>
      </c>
      <c r="L80" s="39">
        <v>8172</v>
      </c>
      <c r="N80" s="11">
        <f>L80-L80*E80</f>
        <v>8172</v>
      </c>
      <c r="O80" s="3">
        <f t="shared" si="15"/>
        <v>68.100000000000009</v>
      </c>
      <c r="P80" s="32">
        <f t="shared" si="16"/>
        <v>817.2</v>
      </c>
      <c r="Q80" s="3">
        <f t="shared" si="17"/>
        <v>0</v>
      </c>
      <c r="R80" s="33">
        <f t="shared" si="18"/>
        <v>817.2</v>
      </c>
      <c r="S80" s="34">
        <v>1</v>
      </c>
      <c r="T80" s="33">
        <f t="shared" si="19"/>
        <v>817.2</v>
      </c>
      <c r="U80" s="32">
        <f t="shared" si="20"/>
        <v>5379.8999999999387</v>
      </c>
      <c r="V80" s="33">
        <f t="shared" si="21"/>
        <v>5379.8999999999387</v>
      </c>
      <c r="W80" s="34">
        <v>1</v>
      </c>
      <c r="X80" s="33">
        <f t="shared" si="22"/>
        <v>5379.8999999999387</v>
      </c>
      <c r="Y80" s="32">
        <f t="shared" si="23"/>
        <v>6197.0999999999385</v>
      </c>
      <c r="Z80" s="33">
        <f t="shared" si="24"/>
        <v>2383.5000000000614</v>
      </c>
      <c r="AA80" s="35">
        <f t="shared" si="25"/>
        <v>2009.6666666666667</v>
      </c>
      <c r="AB80" s="3">
        <f t="shared" si="26"/>
        <v>2017.25</v>
      </c>
      <c r="AC80" s="35">
        <f>$H80+(($D80-1)/12)</f>
        <v>2019.6666666666667</v>
      </c>
      <c r="AD80" s="4">
        <f t="shared" si="27"/>
        <v>2016.25</v>
      </c>
      <c r="AE80" s="3">
        <f t="shared" si="28"/>
        <v>-8.3333333333333329E-2</v>
      </c>
    </row>
    <row r="81" spans="1:31" x14ac:dyDescent="0.25">
      <c r="A81" s="40" t="s">
        <v>139</v>
      </c>
      <c r="B81" s="3" t="s">
        <v>140</v>
      </c>
      <c r="C81" s="28">
        <v>2010</v>
      </c>
      <c r="D81" s="38">
        <v>5</v>
      </c>
      <c r="E81" s="29">
        <v>0</v>
      </c>
      <c r="F81" s="41" t="s">
        <v>64</v>
      </c>
      <c r="G81" s="4">
        <v>10</v>
      </c>
      <c r="H81" s="28">
        <f>C81+G81</f>
        <v>2020</v>
      </c>
      <c r="K81" s="10">
        <v>4325</v>
      </c>
      <c r="L81" s="39">
        <v>4325</v>
      </c>
      <c r="N81" s="11">
        <f>L81-L81*E81</f>
        <v>4325</v>
      </c>
      <c r="O81" s="3">
        <f t="shared" si="15"/>
        <v>36.041666666666664</v>
      </c>
      <c r="P81" s="32">
        <f t="shared" si="16"/>
        <v>432.5</v>
      </c>
      <c r="Q81" s="3">
        <f t="shared" si="17"/>
        <v>0</v>
      </c>
      <c r="R81" s="33">
        <f t="shared" si="18"/>
        <v>432.5</v>
      </c>
      <c r="S81" s="34">
        <v>1</v>
      </c>
      <c r="T81" s="33">
        <f t="shared" si="19"/>
        <v>432.5</v>
      </c>
      <c r="U81" s="32">
        <f t="shared" si="20"/>
        <v>2558.9583333333658</v>
      </c>
      <c r="V81" s="33">
        <f t="shared" si="21"/>
        <v>2558.9583333333658</v>
      </c>
      <c r="W81" s="34">
        <v>1</v>
      </c>
      <c r="X81" s="33">
        <f t="shared" si="22"/>
        <v>2558.9583333333658</v>
      </c>
      <c r="Y81" s="32">
        <f t="shared" si="23"/>
        <v>2991.4583333333658</v>
      </c>
      <c r="Z81" s="33">
        <f t="shared" si="24"/>
        <v>1549.7916666666342</v>
      </c>
      <c r="AA81" s="35">
        <f t="shared" si="25"/>
        <v>2010.3333333333333</v>
      </c>
      <c r="AB81" s="3">
        <f t="shared" si="26"/>
        <v>2017.25</v>
      </c>
      <c r="AC81" s="35">
        <f>$H81+(($D81-1)/12)</f>
        <v>2020.3333333333333</v>
      </c>
      <c r="AD81" s="4">
        <f t="shared" si="27"/>
        <v>2016.25</v>
      </c>
      <c r="AE81" s="3">
        <f t="shared" si="28"/>
        <v>-8.3333333333333329E-2</v>
      </c>
    </row>
    <row r="82" spans="1:31" x14ac:dyDescent="0.25">
      <c r="A82" s="40" t="s">
        <v>141</v>
      </c>
      <c r="B82" s="3" t="s">
        <v>142</v>
      </c>
      <c r="C82" s="28">
        <v>2010</v>
      </c>
      <c r="D82" s="38">
        <v>5</v>
      </c>
      <c r="E82" s="29">
        <v>0</v>
      </c>
      <c r="F82" s="41" t="s">
        <v>64</v>
      </c>
      <c r="G82" s="4">
        <v>10</v>
      </c>
      <c r="H82" s="28">
        <f>C82+G82</f>
        <v>2020</v>
      </c>
      <c r="K82" s="10">
        <v>10603.44</v>
      </c>
      <c r="L82" s="39">
        <v>10603.44</v>
      </c>
      <c r="N82" s="11">
        <f>L82-L82*E82</f>
        <v>10603.44</v>
      </c>
      <c r="O82" s="3">
        <f t="shared" si="15"/>
        <v>88.362000000000009</v>
      </c>
      <c r="P82" s="32">
        <f t="shared" si="16"/>
        <v>1060.3440000000001</v>
      </c>
      <c r="Q82" s="3">
        <f t="shared" si="17"/>
        <v>0</v>
      </c>
      <c r="R82" s="33">
        <f t="shared" si="18"/>
        <v>1060.3440000000001</v>
      </c>
      <c r="S82" s="34">
        <v>1</v>
      </c>
      <c r="T82" s="33">
        <f t="shared" si="19"/>
        <v>1060.3440000000001</v>
      </c>
      <c r="U82" s="32">
        <f t="shared" si="20"/>
        <v>6273.7020000000812</v>
      </c>
      <c r="V82" s="33">
        <f t="shared" si="21"/>
        <v>6273.7020000000812</v>
      </c>
      <c r="W82" s="34">
        <v>1</v>
      </c>
      <c r="X82" s="33">
        <f t="shared" si="22"/>
        <v>6273.7020000000812</v>
      </c>
      <c r="Y82" s="32">
        <f t="shared" si="23"/>
        <v>7334.0460000000812</v>
      </c>
      <c r="Z82" s="33">
        <f t="shared" si="24"/>
        <v>3799.5659999999193</v>
      </c>
      <c r="AA82" s="35">
        <f t="shared" si="25"/>
        <v>2010.3333333333333</v>
      </c>
      <c r="AB82" s="3">
        <f t="shared" si="26"/>
        <v>2017.25</v>
      </c>
      <c r="AC82" s="35">
        <f>$H82+(($D82-1)/12)</f>
        <v>2020.3333333333333</v>
      </c>
      <c r="AD82" s="4">
        <f t="shared" si="27"/>
        <v>2016.25</v>
      </c>
      <c r="AE82" s="3">
        <f t="shared" si="28"/>
        <v>-8.3333333333333329E-2</v>
      </c>
    </row>
    <row r="83" spans="1:31" x14ac:dyDescent="0.25">
      <c r="A83" s="40" t="s">
        <v>143</v>
      </c>
      <c r="B83" s="3" t="s">
        <v>144</v>
      </c>
      <c r="C83" s="28">
        <v>2010</v>
      </c>
      <c r="D83" s="38">
        <v>5</v>
      </c>
      <c r="E83" s="29">
        <v>0</v>
      </c>
      <c r="F83" s="41" t="s">
        <v>64</v>
      </c>
      <c r="G83" s="4">
        <v>10</v>
      </c>
      <c r="H83" s="28">
        <f>C83+G83</f>
        <v>2020</v>
      </c>
      <c r="K83" s="10">
        <v>4900</v>
      </c>
      <c r="L83" s="39">
        <v>4900</v>
      </c>
      <c r="N83" s="11">
        <f>L83-L83*E83</f>
        <v>4900</v>
      </c>
      <c r="O83" s="3">
        <f t="shared" si="15"/>
        <v>40.833333333333336</v>
      </c>
      <c r="P83" s="32">
        <f t="shared" si="16"/>
        <v>490</v>
      </c>
      <c r="Q83" s="3">
        <f t="shared" si="17"/>
        <v>0</v>
      </c>
      <c r="R83" s="33">
        <f t="shared" si="18"/>
        <v>490</v>
      </c>
      <c r="S83" s="34">
        <v>1</v>
      </c>
      <c r="T83" s="33">
        <f t="shared" si="19"/>
        <v>490</v>
      </c>
      <c r="U83" s="32">
        <f t="shared" si="20"/>
        <v>2899.1666666667038</v>
      </c>
      <c r="V83" s="33">
        <f t="shared" si="21"/>
        <v>2899.1666666667038</v>
      </c>
      <c r="W83" s="34">
        <v>1</v>
      </c>
      <c r="X83" s="33">
        <f t="shared" si="22"/>
        <v>2899.1666666667038</v>
      </c>
      <c r="Y83" s="32">
        <f t="shared" si="23"/>
        <v>3389.1666666667038</v>
      </c>
      <c r="Z83" s="33">
        <f t="shared" si="24"/>
        <v>1755.8333333332962</v>
      </c>
      <c r="AA83" s="35">
        <f t="shared" si="25"/>
        <v>2010.3333333333333</v>
      </c>
      <c r="AB83" s="3">
        <f t="shared" si="26"/>
        <v>2017.25</v>
      </c>
      <c r="AC83" s="35">
        <f>$H83+(($D83-1)/12)</f>
        <v>2020.3333333333333</v>
      </c>
      <c r="AD83" s="4">
        <f t="shared" si="27"/>
        <v>2016.25</v>
      </c>
      <c r="AE83" s="3">
        <f t="shared" si="28"/>
        <v>-8.3333333333333329E-2</v>
      </c>
    </row>
    <row r="84" spans="1:31" x14ac:dyDescent="0.25">
      <c r="A84" s="40" t="s">
        <v>145</v>
      </c>
      <c r="B84" s="3" t="s">
        <v>146</v>
      </c>
      <c r="C84" s="28">
        <v>2010</v>
      </c>
      <c r="D84" s="38">
        <v>12</v>
      </c>
      <c r="E84" s="29">
        <v>0</v>
      </c>
      <c r="F84" s="41" t="s">
        <v>64</v>
      </c>
      <c r="G84" s="4">
        <v>10</v>
      </c>
      <c r="H84" s="28">
        <f>C84+G84</f>
        <v>2020</v>
      </c>
      <c r="K84" s="10">
        <v>4440</v>
      </c>
      <c r="L84" s="39">
        <v>4440</v>
      </c>
      <c r="N84" s="11">
        <f>L84-L84*E84</f>
        <v>4440</v>
      </c>
      <c r="O84" s="3">
        <f t="shared" si="15"/>
        <v>37</v>
      </c>
      <c r="P84" s="32">
        <f t="shared" si="16"/>
        <v>444</v>
      </c>
      <c r="Q84" s="3">
        <f t="shared" si="17"/>
        <v>0</v>
      </c>
      <c r="R84" s="33">
        <f t="shared" si="18"/>
        <v>444</v>
      </c>
      <c r="S84" s="34">
        <v>1</v>
      </c>
      <c r="T84" s="33">
        <f t="shared" si="19"/>
        <v>444</v>
      </c>
      <c r="U84" s="32">
        <f t="shared" si="20"/>
        <v>2367.9999999999663</v>
      </c>
      <c r="V84" s="33">
        <f t="shared" si="21"/>
        <v>2367.9999999999663</v>
      </c>
      <c r="W84" s="34">
        <v>1</v>
      </c>
      <c r="X84" s="33">
        <f t="shared" si="22"/>
        <v>2367.9999999999663</v>
      </c>
      <c r="Y84" s="32">
        <f t="shared" si="23"/>
        <v>2811.9999999999663</v>
      </c>
      <c r="Z84" s="33">
        <f t="shared" si="24"/>
        <v>1850.0000000000337</v>
      </c>
      <c r="AA84" s="35">
        <f t="shared" si="25"/>
        <v>2010.9166666666667</v>
      </c>
      <c r="AB84" s="3">
        <f t="shared" si="26"/>
        <v>2017.25</v>
      </c>
      <c r="AC84" s="35">
        <f>$H84+(($D84-1)/12)</f>
        <v>2020.9166666666667</v>
      </c>
      <c r="AD84" s="4">
        <f t="shared" si="27"/>
        <v>2016.25</v>
      </c>
      <c r="AE84" s="3">
        <f t="shared" si="28"/>
        <v>-8.3333333333333329E-2</v>
      </c>
    </row>
    <row r="85" spans="1:31" x14ac:dyDescent="0.25">
      <c r="A85" s="40" t="s">
        <v>147</v>
      </c>
      <c r="B85" s="3" t="s">
        <v>148</v>
      </c>
      <c r="C85" s="28">
        <v>2010</v>
      </c>
      <c r="D85" s="38">
        <v>8</v>
      </c>
      <c r="E85" s="29">
        <v>0</v>
      </c>
      <c r="F85" s="41" t="s">
        <v>64</v>
      </c>
      <c r="G85" s="4">
        <v>10</v>
      </c>
      <c r="H85" s="28">
        <f>C85+G85</f>
        <v>2020</v>
      </c>
      <c r="K85" s="10">
        <f>36720+3438.24+2800</f>
        <v>42958.239999999998</v>
      </c>
      <c r="L85" s="39">
        <f>36720+2800+3438.24</f>
        <v>42958.239999999998</v>
      </c>
      <c r="N85" s="11">
        <f>L85-L85*E85</f>
        <v>42958.239999999998</v>
      </c>
      <c r="O85" s="3">
        <f t="shared" si="15"/>
        <v>357.9853333333333</v>
      </c>
      <c r="P85" s="32">
        <f t="shared" si="16"/>
        <v>4295.8239999999996</v>
      </c>
      <c r="Q85" s="3">
        <f t="shared" si="17"/>
        <v>0</v>
      </c>
      <c r="R85" s="33">
        <f t="shared" si="18"/>
        <v>4295.8239999999996</v>
      </c>
      <c r="S85" s="34">
        <v>1</v>
      </c>
      <c r="T85" s="33">
        <f t="shared" si="19"/>
        <v>4295.8239999999996</v>
      </c>
      <c r="U85" s="32">
        <f t="shared" si="20"/>
        <v>24343.002666666991</v>
      </c>
      <c r="V85" s="33">
        <f t="shared" si="21"/>
        <v>24343.002666666991</v>
      </c>
      <c r="W85" s="34">
        <v>1</v>
      </c>
      <c r="X85" s="33">
        <f t="shared" si="22"/>
        <v>24343.002666666991</v>
      </c>
      <c r="Y85" s="32">
        <f t="shared" si="23"/>
        <v>28638.826666666992</v>
      </c>
      <c r="Z85" s="33">
        <f t="shared" si="24"/>
        <v>16467.325333333007</v>
      </c>
      <c r="AA85" s="35">
        <f t="shared" si="25"/>
        <v>2010.5833333333333</v>
      </c>
      <c r="AB85" s="3">
        <f t="shared" si="26"/>
        <v>2017.25</v>
      </c>
      <c r="AC85" s="35">
        <f>$H85+(($D85-1)/12)</f>
        <v>2020.5833333333333</v>
      </c>
      <c r="AD85" s="4">
        <f t="shared" si="27"/>
        <v>2016.25</v>
      </c>
      <c r="AE85" s="3">
        <f t="shared" si="28"/>
        <v>-8.3333333333333329E-2</v>
      </c>
    </row>
    <row r="86" spans="1:31" x14ac:dyDescent="0.25">
      <c r="A86" s="40" t="s">
        <v>149</v>
      </c>
      <c r="B86" s="3" t="s">
        <v>150</v>
      </c>
      <c r="C86" s="28">
        <v>2010</v>
      </c>
      <c r="D86" s="38">
        <v>8</v>
      </c>
      <c r="E86" s="29">
        <v>0</v>
      </c>
      <c r="F86" s="41" t="s">
        <v>64</v>
      </c>
      <c r="G86" s="4">
        <v>10</v>
      </c>
      <c r="H86" s="28">
        <f>C86+G86</f>
        <v>2020</v>
      </c>
      <c r="K86" s="42">
        <f>33189+2180.36+3077.13</f>
        <v>38446.49</v>
      </c>
      <c r="L86" s="39">
        <f>33189+2180.36+3077.13</f>
        <v>38446.49</v>
      </c>
      <c r="N86" s="11">
        <f>L86-L86*E86</f>
        <v>38446.49</v>
      </c>
      <c r="O86" s="3">
        <f t="shared" si="15"/>
        <v>320.38741666666664</v>
      </c>
      <c r="P86" s="32">
        <f t="shared" si="16"/>
        <v>3844.6489999999994</v>
      </c>
      <c r="Q86" s="3">
        <f t="shared" si="17"/>
        <v>0</v>
      </c>
      <c r="R86" s="33">
        <f t="shared" si="18"/>
        <v>3844.6489999999994</v>
      </c>
      <c r="S86" s="34">
        <v>1</v>
      </c>
      <c r="T86" s="33">
        <f t="shared" si="19"/>
        <v>3844.6489999999994</v>
      </c>
      <c r="U86" s="32">
        <f t="shared" si="20"/>
        <v>21786.344333333622</v>
      </c>
      <c r="V86" s="33">
        <f t="shared" si="21"/>
        <v>21786.344333333622</v>
      </c>
      <c r="W86" s="34">
        <v>1</v>
      </c>
      <c r="X86" s="33">
        <f t="shared" si="22"/>
        <v>21786.344333333622</v>
      </c>
      <c r="Y86" s="32">
        <f t="shared" si="23"/>
        <v>25630.993333333623</v>
      </c>
      <c r="Z86" s="33">
        <f t="shared" si="24"/>
        <v>14737.821166666376</v>
      </c>
      <c r="AA86" s="35">
        <f t="shared" si="25"/>
        <v>2010.5833333333333</v>
      </c>
      <c r="AB86" s="3">
        <f t="shared" si="26"/>
        <v>2017.25</v>
      </c>
      <c r="AC86" s="35">
        <f>$H86+(($D86-1)/12)</f>
        <v>2020.5833333333333</v>
      </c>
      <c r="AD86" s="4">
        <f t="shared" si="27"/>
        <v>2016.25</v>
      </c>
      <c r="AE86" s="3">
        <f t="shared" si="28"/>
        <v>-8.3333333333333329E-2</v>
      </c>
    </row>
    <row r="87" spans="1:31" x14ac:dyDescent="0.25">
      <c r="A87" s="40" t="s">
        <v>149</v>
      </c>
      <c r="B87" s="3" t="s">
        <v>148</v>
      </c>
      <c r="C87" s="28">
        <v>2010</v>
      </c>
      <c r="D87" s="38">
        <v>8</v>
      </c>
      <c r="E87" s="29">
        <v>0</v>
      </c>
      <c r="F87" s="41" t="s">
        <v>64</v>
      </c>
      <c r="G87" s="4">
        <v>10</v>
      </c>
      <c r="H87" s="28">
        <f>C87+G87</f>
        <v>2020</v>
      </c>
      <c r="K87" s="42">
        <f>2550+167.44+236.31</f>
        <v>2953.75</v>
      </c>
      <c r="L87" s="39">
        <f>2550+167.44+236.31</f>
        <v>2953.75</v>
      </c>
      <c r="N87" s="11">
        <f>L87-L87*E87</f>
        <v>2953.75</v>
      </c>
      <c r="O87" s="3">
        <f t="shared" si="15"/>
        <v>24.614583333333332</v>
      </c>
      <c r="P87" s="32">
        <f t="shared" si="16"/>
        <v>295.375</v>
      </c>
      <c r="Q87" s="3">
        <f t="shared" si="17"/>
        <v>0</v>
      </c>
      <c r="R87" s="33">
        <f t="shared" si="18"/>
        <v>295.375</v>
      </c>
      <c r="S87" s="34">
        <v>1</v>
      </c>
      <c r="T87" s="33">
        <f t="shared" si="19"/>
        <v>295.375</v>
      </c>
      <c r="U87" s="32">
        <f t="shared" si="20"/>
        <v>1673.791666666689</v>
      </c>
      <c r="V87" s="33">
        <f t="shared" si="21"/>
        <v>1673.791666666689</v>
      </c>
      <c r="W87" s="34">
        <v>1</v>
      </c>
      <c r="X87" s="33">
        <f t="shared" si="22"/>
        <v>1673.791666666689</v>
      </c>
      <c r="Y87" s="32">
        <f t="shared" si="23"/>
        <v>1969.166666666689</v>
      </c>
      <c r="Z87" s="33">
        <f t="shared" si="24"/>
        <v>1132.270833333311</v>
      </c>
      <c r="AA87" s="35">
        <f t="shared" si="25"/>
        <v>2010.5833333333333</v>
      </c>
      <c r="AB87" s="3">
        <f t="shared" si="26"/>
        <v>2017.25</v>
      </c>
      <c r="AC87" s="35">
        <f>$H87+(($D87-1)/12)</f>
        <v>2020.5833333333333</v>
      </c>
      <c r="AD87" s="4">
        <f t="shared" si="27"/>
        <v>2016.25</v>
      </c>
      <c r="AE87" s="3">
        <f t="shared" si="28"/>
        <v>-8.3333333333333329E-2</v>
      </c>
    </row>
    <row r="88" spans="1:31" x14ac:dyDescent="0.25">
      <c r="A88" s="40" t="s">
        <v>149</v>
      </c>
      <c r="B88" s="3" t="s">
        <v>151</v>
      </c>
      <c r="C88" s="28">
        <v>2010</v>
      </c>
      <c r="D88" s="38">
        <v>8</v>
      </c>
      <c r="E88" s="29">
        <v>0</v>
      </c>
      <c r="F88" s="41" t="s">
        <v>64</v>
      </c>
      <c r="G88" s="4">
        <v>10</v>
      </c>
      <c r="H88" s="28">
        <f>C88+G88</f>
        <v>2020</v>
      </c>
      <c r="K88" s="42">
        <f>6882+452.2+638.19</f>
        <v>7972.3899999999994</v>
      </c>
      <c r="L88" s="39">
        <f>6882+452.2+638.19</f>
        <v>7972.3899999999994</v>
      </c>
      <c r="N88" s="11">
        <f>L88-L88*E88</f>
        <v>7972.3899999999994</v>
      </c>
      <c r="O88" s="3">
        <f t="shared" si="15"/>
        <v>66.436583333333331</v>
      </c>
      <c r="P88" s="32">
        <f t="shared" si="16"/>
        <v>797.23900000000003</v>
      </c>
      <c r="Q88" s="3">
        <f t="shared" si="17"/>
        <v>0</v>
      </c>
      <c r="R88" s="33">
        <f t="shared" si="18"/>
        <v>797.23900000000003</v>
      </c>
      <c r="S88" s="34">
        <v>1</v>
      </c>
      <c r="T88" s="33">
        <f t="shared" si="19"/>
        <v>797.23900000000003</v>
      </c>
      <c r="U88" s="32">
        <f t="shared" si="20"/>
        <v>4517.6876666667267</v>
      </c>
      <c r="V88" s="33">
        <f t="shared" si="21"/>
        <v>4517.6876666667267</v>
      </c>
      <c r="W88" s="34">
        <v>1</v>
      </c>
      <c r="X88" s="33">
        <f t="shared" si="22"/>
        <v>4517.6876666667267</v>
      </c>
      <c r="Y88" s="32">
        <f t="shared" si="23"/>
        <v>5314.9266666667263</v>
      </c>
      <c r="Z88" s="33">
        <f t="shared" si="24"/>
        <v>3056.0828333332729</v>
      </c>
      <c r="AA88" s="35">
        <f t="shared" si="25"/>
        <v>2010.5833333333333</v>
      </c>
      <c r="AB88" s="3">
        <f t="shared" si="26"/>
        <v>2017.25</v>
      </c>
      <c r="AC88" s="35">
        <f>$H88+(($D88-1)/12)</f>
        <v>2020.5833333333333</v>
      </c>
      <c r="AD88" s="4">
        <f t="shared" si="27"/>
        <v>2016.25</v>
      </c>
      <c r="AE88" s="3">
        <f t="shared" si="28"/>
        <v>-8.3333333333333329E-2</v>
      </c>
    </row>
    <row r="89" spans="1:31" x14ac:dyDescent="0.25">
      <c r="A89" s="40" t="s">
        <v>152</v>
      </c>
      <c r="B89" s="3" t="s">
        <v>153</v>
      </c>
      <c r="C89" s="28">
        <v>2010</v>
      </c>
      <c r="D89" s="38">
        <v>9</v>
      </c>
      <c r="E89" s="29">
        <v>0</v>
      </c>
      <c r="F89" s="41" t="s">
        <v>64</v>
      </c>
      <c r="G89" s="4">
        <v>10</v>
      </c>
      <c r="H89" s="28">
        <f>C89+G89</f>
        <v>2020</v>
      </c>
      <c r="K89" s="10">
        <v>4650</v>
      </c>
      <c r="L89" s="39">
        <v>4650</v>
      </c>
      <c r="N89" s="11">
        <f>L89-L89*E89</f>
        <v>4650</v>
      </c>
      <c r="O89" s="3">
        <f t="shared" si="15"/>
        <v>38.75</v>
      </c>
      <c r="P89" s="32">
        <f t="shared" si="16"/>
        <v>465</v>
      </c>
      <c r="Q89" s="3">
        <f t="shared" si="17"/>
        <v>0</v>
      </c>
      <c r="R89" s="33">
        <f t="shared" si="18"/>
        <v>465</v>
      </c>
      <c r="S89" s="34">
        <v>1</v>
      </c>
      <c r="T89" s="33">
        <f t="shared" si="19"/>
        <v>465</v>
      </c>
      <c r="U89" s="32">
        <f t="shared" si="20"/>
        <v>2596.2499999999645</v>
      </c>
      <c r="V89" s="33">
        <f t="shared" si="21"/>
        <v>2596.2499999999645</v>
      </c>
      <c r="W89" s="34">
        <v>1</v>
      </c>
      <c r="X89" s="33">
        <f t="shared" si="22"/>
        <v>2596.2499999999645</v>
      </c>
      <c r="Y89" s="32">
        <f t="shared" si="23"/>
        <v>3061.2499999999645</v>
      </c>
      <c r="Z89" s="33">
        <f t="shared" si="24"/>
        <v>1821.2500000000355</v>
      </c>
      <c r="AA89" s="35">
        <f t="shared" si="25"/>
        <v>2010.6666666666667</v>
      </c>
      <c r="AB89" s="3">
        <f t="shared" si="26"/>
        <v>2017.25</v>
      </c>
      <c r="AC89" s="35">
        <f>$H89+(($D89-1)/12)</f>
        <v>2020.6666666666667</v>
      </c>
      <c r="AD89" s="4">
        <f t="shared" si="27"/>
        <v>2016.25</v>
      </c>
      <c r="AE89" s="3">
        <f t="shared" si="28"/>
        <v>-8.3333333333333329E-2</v>
      </c>
    </row>
    <row r="90" spans="1:31" x14ac:dyDescent="0.25">
      <c r="A90" s="43" t="s">
        <v>154</v>
      </c>
      <c r="B90" s="3" t="s">
        <v>155</v>
      </c>
      <c r="C90" s="44">
        <v>2011</v>
      </c>
      <c r="D90" s="38">
        <v>6</v>
      </c>
      <c r="E90" s="29">
        <v>0</v>
      </c>
      <c r="F90" s="41" t="s">
        <v>64</v>
      </c>
      <c r="G90" s="4">
        <v>10</v>
      </c>
      <c r="H90" s="28">
        <f>C90+G90</f>
        <v>2021</v>
      </c>
      <c r="K90" s="10">
        <f>1625+141.38</f>
        <v>1766.38</v>
      </c>
      <c r="L90" s="11">
        <f>1625+141.38</f>
        <v>1766.38</v>
      </c>
      <c r="N90" s="11">
        <f>L90-L90*E90</f>
        <v>1766.38</v>
      </c>
      <c r="O90" s="3">
        <f t="shared" si="15"/>
        <v>14.719833333333334</v>
      </c>
      <c r="P90" s="32">
        <f t="shared" si="16"/>
        <v>176.63800000000001</v>
      </c>
      <c r="Q90" s="3">
        <f t="shared" si="17"/>
        <v>0</v>
      </c>
      <c r="R90" s="33">
        <f t="shared" si="18"/>
        <v>176.63800000000001</v>
      </c>
      <c r="S90" s="34">
        <v>1</v>
      </c>
      <c r="T90" s="33">
        <f t="shared" si="19"/>
        <v>176.63800000000001</v>
      </c>
      <c r="U90" s="32">
        <f t="shared" si="20"/>
        <v>853.75033333331999</v>
      </c>
      <c r="V90" s="33">
        <f t="shared" si="21"/>
        <v>853.75033333331999</v>
      </c>
      <c r="W90" s="34">
        <v>1</v>
      </c>
      <c r="X90" s="33">
        <f t="shared" si="22"/>
        <v>853.75033333331999</v>
      </c>
      <c r="Y90" s="32">
        <f t="shared" si="23"/>
        <v>1030.3883333333199</v>
      </c>
      <c r="Z90" s="33">
        <f t="shared" si="24"/>
        <v>824.31066666668016</v>
      </c>
      <c r="AA90" s="4">
        <f t="shared" si="25"/>
        <v>2011.4166666666667</v>
      </c>
      <c r="AB90" s="3">
        <f t="shared" si="26"/>
        <v>2017.25</v>
      </c>
      <c r="AC90" s="35">
        <f>$H90+(($D90-1)/12)</f>
        <v>2021.4166666666667</v>
      </c>
      <c r="AD90" s="4">
        <f t="shared" si="27"/>
        <v>2016.25</v>
      </c>
      <c r="AE90" s="3">
        <f t="shared" si="28"/>
        <v>-8.3333333333333329E-2</v>
      </c>
    </row>
    <row r="91" spans="1:31" x14ac:dyDescent="0.25">
      <c r="A91" s="43" t="s">
        <v>156</v>
      </c>
      <c r="B91" s="3" t="s">
        <v>157</v>
      </c>
      <c r="C91" s="44">
        <v>2011</v>
      </c>
      <c r="D91" s="38">
        <v>6</v>
      </c>
      <c r="E91" s="29">
        <v>0</v>
      </c>
      <c r="F91" s="41" t="s">
        <v>64</v>
      </c>
      <c r="G91" s="4">
        <v>10</v>
      </c>
      <c r="H91" s="28">
        <f>C91+G91</f>
        <v>2021</v>
      </c>
      <c r="K91" s="10">
        <f>1625+141.38</f>
        <v>1766.38</v>
      </c>
      <c r="L91" s="11">
        <f>1625+141.38</f>
        <v>1766.38</v>
      </c>
      <c r="N91" s="11">
        <f>L91-L91*E91</f>
        <v>1766.38</v>
      </c>
      <c r="O91" s="3">
        <f t="shared" si="15"/>
        <v>14.719833333333334</v>
      </c>
      <c r="P91" s="32">
        <f t="shared" si="16"/>
        <v>176.63800000000001</v>
      </c>
      <c r="Q91" s="3">
        <f t="shared" si="17"/>
        <v>0</v>
      </c>
      <c r="R91" s="33">
        <f t="shared" si="18"/>
        <v>176.63800000000001</v>
      </c>
      <c r="S91" s="34">
        <v>1</v>
      </c>
      <c r="T91" s="33">
        <f t="shared" si="19"/>
        <v>176.63800000000001</v>
      </c>
      <c r="U91" s="32">
        <f t="shared" si="20"/>
        <v>853.75033333331999</v>
      </c>
      <c r="V91" s="33">
        <f t="shared" si="21"/>
        <v>853.75033333331999</v>
      </c>
      <c r="W91" s="34">
        <v>1</v>
      </c>
      <c r="X91" s="33">
        <f t="shared" si="22"/>
        <v>853.75033333331999</v>
      </c>
      <c r="Y91" s="32">
        <f t="shared" si="23"/>
        <v>1030.3883333333199</v>
      </c>
      <c r="Z91" s="33">
        <f t="shared" si="24"/>
        <v>824.31066666668016</v>
      </c>
      <c r="AA91" s="4">
        <f t="shared" si="25"/>
        <v>2011.4166666666667</v>
      </c>
      <c r="AB91" s="3">
        <f t="shared" si="26"/>
        <v>2017.25</v>
      </c>
      <c r="AC91" s="35">
        <f>$H91+(($D91-1)/12)</f>
        <v>2021.4166666666667</v>
      </c>
      <c r="AD91" s="4">
        <f t="shared" si="27"/>
        <v>2016.25</v>
      </c>
      <c r="AE91" s="3">
        <f t="shared" si="28"/>
        <v>-8.3333333333333329E-2</v>
      </c>
    </row>
    <row r="92" spans="1:31" x14ac:dyDescent="0.25">
      <c r="A92" s="43" t="s">
        <v>158</v>
      </c>
      <c r="B92" s="3" t="s">
        <v>159</v>
      </c>
      <c r="C92" s="44">
        <v>2011</v>
      </c>
      <c r="D92" s="38">
        <v>6</v>
      </c>
      <c r="E92" s="29">
        <v>0</v>
      </c>
      <c r="F92" s="41" t="s">
        <v>64</v>
      </c>
      <c r="G92" s="4">
        <v>10</v>
      </c>
      <c r="H92" s="28">
        <f>C92+G92</f>
        <v>2021</v>
      </c>
      <c r="K92" s="10">
        <f>1455+126.59</f>
        <v>1581.59</v>
      </c>
      <c r="L92" s="11">
        <f>1455+126.59</f>
        <v>1581.59</v>
      </c>
      <c r="N92" s="11">
        <f>L92-L92*E92</f>
        <v>1581.59</v>
      </c>
      <c r="O92" s="3">
        <f t="shared" si="15"/>
        <v>13.179916666666665</v>
      </c>
      <c r="P92" s="32">
        <f t="shared" si="16"/>
        <v>158.15899999999999</v>
      </c>
      <c r="Q92" s="3">
        <f t="shared" si="17"/>
        <v>0</v>
      </c>
      <c r="R92" s="33">
        <f t="shared" si="18"/>
        <v>158.15899999999999</v>
      </c>
      <c r="S92" s="34">
        <v>1</v>
      </c>
      <c r="T92" s="33">
        <f t="shared" si="19"/>
        <v>158.15899999999999</v>
      </c>
      <c r="U92" s="32">
        <f t="shared" si="20"/>
        <v>764.4351666666546</v>
      </c>
      <c r="V92" s="33">
        <f t="shared" si="21"/>
        <v>764.4351666666546</v>
      </c>
      <c r="W92" s="34">
        <v>1</v>
      </c>
      <c r="X92" s="33">
        <f t="shared" si="22"/>
        <v>764.4351666666546</v>
      </c>
      <c r="Y92" s="32">
        <f t="shared" si="23"/>
        <v>922.59416666665459</v>
      </c>
      <c r="Z92" s="33">
        <f t="shared" si="24"/>
        <v>738.07533333334527</v>
      </c>
      <c r="AA92" s="4">
        <f t="shared" si="25"/>
        <v>2011.4166666666667</v>
      </c>
      <c r="AB92" s="3">
        <f t="shared" si="26"/>
        <v>2017.25</v>
      </c>
      <c r="AC92" s="35">
        <f>$H92+(($D92-1)/12)</f>
        <v>2021.4166666666667</v>
      </c>
      <c r="AD92" s="4">
        <f t="shared" si="27"/>
        <v>2016.25</v>
      </c>
      <c r="AE92" s="3">
        <f t="shared" si="28"/>
        <v>-8.3333333333333329E-2</v>
      </c>
    </row>
    <row r="93" spans="1:31" x14ac:dyDescent="0.25">
      <c r="A93" s="43" t="s">
        <v>160</v>
      </c>
      <c r="B93" s="3" t="s">
        <v>161</v>
      </c>
      <c r="C93" s="44">
        <v>2011</v>
      </c>
      <c r="D93" s="38">
        <v>5</v>
      </c>
      <c r="E93" s="29">
        <v>0</v>
      </c>
      <c r="F93" s="41" t="s">
        <v>64</v>
      </c>
      <c r="G93" s="4">
        <v>10</v>
      </c>
      <c r="H93" s="28">
        <f>C93+G93</f>
        <v>2021</v>
      </c>
      <c r="K93" s="10">
        <f>1880+177.3+157.94</f>
        <v>2215.2400000000002</v>
      </c>
      <c r="L93" s="11">
        <f>1880+177.3+157.94</f>
        <v>2215.2400000000002</v>
      </c>
      <c r="N93" s="11">
        <f>L93-L93*E93</f>
        <v>2215.2400000000002</v>
      </c>
      <c r="O93" s="3">
        <f t="shared" si="15"/>
        <v>18.460333333333335</v>
      </c>
      <c r="P93" s="32">
        <f t="shared" si="16"/>
        <v>221.524</v>
      </c>
      <c r="Q93" s="3">
        <f t="shared" si="17"/>
        <v>0</v>
      </c>
      <c r="R93" s="33">
        <f t="shared" si="18"/>
        <v>221.524</v>
      </c>
      <c r="S93" s="34">
        <v>1</v>
      </c>
      <c r="T93" s="33">
        <f t="shared" si="19"/>
        <v>221.524</v>
      </c>
      <c r="U93" s="32">
        <f t="shared" si="20"/>
        <v>1089.1596666666835</v>
      </c>
      <c r="V93" s="33">
        <f t="shared" si="21"/>
        <v>1089.1596666666835</v>
      </c>
      <c r="W93" s="34">
        <v>1</v>
      </c>
      <c r="X93" s="33">
        <f t="shared" si="22"/>
        <v>1089.1596666666835</v>
      </c>
      <c r="Y93" s="32">
        <f t="shared" si="23"/>
        <v>1310.6836666666836</v>
      </c>
      <c r="Z93" s="33">
        <f t="shared" si="24"/>
        <v>1015.3183333333167</v>
      </c>
      <c r="AA93" s="4">
        <f t="shared" si="25"/>
        <v>2011.3333333333333</v>
      </c>
      <c r="AB93" s="3">
        <f t="shared" si="26"/>
        <v>2017.25</v>
      </c>
      <c r="AC93" s="35">
        <f>$H93+(($D93-1)/12)</f>
        <v>2021.3333333333333</v>
      </c>
      <c r="AD93" s="4">
        <f t="shared" si="27"/>
        <v>2016.25</v>
      </c>
      <c r="AE93" s="3">
        <f t="shared" si="28"/>
        <v>-8.3333333333333329E-2</v>
      </c>
    </row>
    <row r="94" spans="1:31" x14ac:dyDescent="0.25">
      <c r="A94" s="43" t="s">
        <v>162</v>
      </c>
      <c r="B94" s="3" t="s">
        <v>163</v>
      </c>
      <c r="C94" s="44">
        <v>2011</v>
      </c>
      <c r="D94" s="38">
        <v>7</v>
      </c>
      <c r="E94" s="29">
        <v>0</v>
      </c>
      <c r="F94" s="41" t="s">
        <v>64</v>
      </c>
      <c r="G94" s="4">
        <v>10</v>
      </c>
      <c r="H94" s="28">
        <f>C94+G94</f>
        <v>2021</v>
      </c>
      <c r="K94" s="10">
        <f>1485+129.2</f>
        <v>1614.2</v>
      </c>
      <c r="L94" s="11">
        <f>1485+129.2</f>
        <v>1614.2</v>
      </c>
      <c r="N94" s="11">
        <f>L94-L94*E94</f>
        <v>1614.2</v>
      </c>
      <c r="O94" s="3">
        <f t="shared" si="15"/>
        <v>13.451666666666668</v>
      </c>
      <c r="P94" s="32">
        <f t="shared" si="16"/>
        <v>161.42000000000002</v>
      </c>
      <c r="Q94" s="3">
        <f t="shared" si="17"/>
        <v>0</v>
      </c>
      <c r="R94" s="33">
        <f t="shared" si="18"/>
        <v>161.42000000000002</v>
      </c>
      <c r="S94" s="34">
        <v>1</v>
      </c>
      <c r="T94" s="33">
        <f t="shared" si="19"/>
        <v>161.42000000000002</v>
      </c>
      <c r="U94" s="32">
        <f t="shared" si="20"/>
        <v>766.74500000000012</v>
      </c>
      <c r="V94" s="33">
        <f t="shared" si="21"/>
        <v>766.74500000000012</v>
      </c>
      <c r="W94" s="34">
        <v>1</v>
      </c>
      <c r="X94" s="33">
        <f t="shared" si="22"/>
        <v>766.74500000000012</v>
      </c>
      <c r="Y94" s="32">
        <f t="shared" si="23"/>
        <v>928.16500000000019</v>
      </c>
      <c r="Z94" s="33">
        <f t="shared" si="24"/>
        <v>766.74499999999989</v>
      </c>
      <c r="AA94" s="4">
        <f t="shared" si="25"/>
        <v>2011.5</v>
      </c>
      <c r="AB94" s="3">
        <f t="shared" si="26"/>
        <v>2017.25</v>
      </c>
      <c r="AC94" s="35">
        <f>$H94+(($D94-1)/12)</f>
        <v>2021.5</v>
      </c>
      <c r="AD94" s="4">
        <f t="shared" si="27"/>
        <v>2016.25</v>
      </c>
      <c r="AE94" s="3">
        <f t="shared" si="28"/>
        <v>-8.3333333333333329E-2</v>
      </c>
    </row>
    <row r="95" spans="1:31" x14ac:dyDescent="0.25">
      <c r="A95" s="43" t="s">
        <v>164</v>
      </c>
      <c r="B95" s="3" t="s">
        <v>165</v>
      </c>
      <c r="C95" s="44">
        <v>2011</v>
      </c>
      <c r="D95" s="38">
        <v>11</v>
      </c>
      <c r="E95" s="29">
        <v>0</v>
      </c>
      <c r="F95" s="41" t="s">
        <v>64</v>
      </c>
      <c r="G95" s="4">
        <v>10</v>
      </c>
      <c r="H95" s="28">
        <f>C95+G95</f>
        <v>2021</v>
      </c>
      <c r="K95" s="10">
        <v>5025</v>
      </c>
      <c r="L95" s="11">
        <f>1485+129.2</f>
        <v>1614.2</v>
      </c>
      <c r="N95" s="11">
        <f>L95-L95*E95</f>
        <v>1614.2</v>
      </c>
      <c r="O95" s="3">
        <f t="shared" si="15"/>
        <v>13.451666666666668</v>
      </c>
      <c r="P95" s="32">
        <f t="shared" si="16"/>
        <v>161.42000000000002</v>
      </c>
      <c r="Q95" s="3">
        <f t="shared" si="17"/>
        <v>0</v>
      </c>
      <c r="R95" s="33">
        <f t="shared" si="18"/>
        <v>161.42000000000002</v>
      </c>
      <c r="S95" s="34">
        <v>1</v>
      </c>
      <c r="T95" s="33">
        <f t="shared" si="19"/>
        <v>161.42000000000002</v>
      </c>
      <c r="U95" s="32">
        <f t="shared" si="20"/>
        <v>712.93833333334567</v>
      </c>
      <c r="V95" s="33">
        <f t="shared" si="21"/>
        <v>712.93833333334567</v>
      </c>
      <c r="W95" s="34">
        <v>1</v>
      </c>
      <c r="X95" s="33">
        <f t="shared" si="22"/>
        <v>712.93833333334567</v>
      </c>
      <c r="Y95" s="32">
        <f t="shared" si="23"/>
        <v>874.35833333334563</v>
      </c>
      <c r="Z95" s="33">
        <f t="shared" si="24"/>
        <v>820.55166666665446</v>
      </c>
      <c r="AA95" s="4">
        <f t="shared" si="25"/>
        <v>2011.8333333333333</v>
      </c>
      <c r="AB95" s="3">
        <f t="shared" si="26"/>
        <v>2017.25</v>
      </c>
      <c r="AC95" s="35">
        <f>$H95+(($D95-1)/12)</f>
        <v>2021.8333333333333</v>
      </c>
      <c r="AD95" s="4">
        <f t="shared" si="27"/>
        <v>2016.25</v>
      </c>
      <c r="AE95" s="3">
        <f t="shared" si="28"/>
        <v>-8.3333333333333329E-2</v>
      </c>
    </row>
    <row r="96" spans="1:31" x14ac:dyDescent="0.25">
      <c r="A96" s="43" t="s">
        <v>166</v>
      </c>
      <c r="B96" s="3" t="s">
        <v>165</v>
      </c>
      <c r="C96" s="44">
        <v>2011</v>
      </c>
      <c r="D96" s="38">
        <v>11</v>
      </c>
      <c r="E96" s="29">
        <v>0</v>
      </c>
      <c r="F96" s="41" t="s">
        <v>64</v>
      </c>
      <c r="G96" s="4">
        <v>10</v>
      </c>
      <c r="H96" s="28">
        <f>C96+G96</f>
        <v>2021</v>
      </c>
      <c r="K96" s="10">
        <v>5025</v>
      </c>
      <c r="L96" s="11">
        <f>1485+129.2</f>
        <v>1614.2</v>
      </c>
      <c r="N96" s="11">
        <f>L96-L96*E96</f>
        <v>1614.2</v>
      </c>
      <c r="O96" s="3">
        <f t="shared" si="15"/>
        <v>13.451666666666668</v>
      </c>
      <c r="P96" s="32">
        <f t="shared" si="16"/>
        <v>161.42000000000002</v>
      </c>
      <c r="Q96" s="3">
        <f t="shared" si="17"/>
        <v>0</v>
      </c>
      <c r="R96" s="33">
        <f t="shared" si="18"/>
        <v>161.42000000000002</v>
      </c>
      <c r="S96" s="34">
        <v>1</v>
      </c>
      <c r="T96" s="33">
        <f t="shared" si="19"/>
        <v>161.42000000000002</v>
      </c>
      <c r="U96" s="32">
        <f t="shared" si="20"/>
        <v>712.93833333334567</v>
      </c>
      <c r="V96" s="33">
        <f t="shared" si="21"/>
        <v>712.93833333334567</v>
      </c>
      <c r="W96" s="34">
        <v>1</v>
      </c>
      <c r="X96" s="33">
        <f t="shared" si="22"/>
        <v>712.93833333334567</v>
      </c>
      <c r="Y96" s="32">
        <f t="shared" si="23"/>
        <v>874.35833333334563</v>
      </c>
      <c r="Z96" s="33">
        <f t="shared" si="24"/>
        <v>820.55166666665446</v>
      </c>
      <c r="AA96" s="4">
        <f t="shared" si="25"/>
        <v>2011.8333333333333</v>
      </c>
      <c r="AB96" s="3">
        <f t="shared" si="26"/>
        <v>2017.25</v>
      </c>
      <c r="AC96" s="35">
        <f>$H96+(($D96-1)/12)</f>
        <v>2021.8333333333333</v>
      </c>
      <c r="AD96" s="4">
        <f t="shared" si="27"/>
        <v>2016.25</v>
      </c>
      <c r="AE96" s="3">
        <f t="shared" si="28"/>
        <v>-8.3333333333333329E-2</v>
      </c>
    </row>
    <row r="97" spans="1:31" x14ac:dyDescent="0.25">
      <c r="A97" s="43" t="s">
        <v>167</v>
      </c>
      <c r="B97" s="3" t="s">
        <v>168</v>
      </c>
      <c r="C97" s="44">
        <v>2012</v>
      </c>
      <c r="D97" s="38">
        <v>7</v>
      </c>
      <c r="E97" s="29">
        <v>0</v>
      </c>
      <c r="F97" s="41" t="s">
        <v>64</v>
      </c>
      <c r="G97" s="4">
        <v>10</v>
      </c>
      <c r="H97" s="28">
        <f>C97+G97</f>
        <v>2022</v>
      </c>
      <c r="K97" s="10">
        <v>4240</v>
      </c>
      <c r="L97" s="11">
        <v>4240</v>
      </c>
      <c r="N97" s="11">
        <f>L97-L97*E97</f>
        <v>4240</v>
      </c>
      <c r="O97" s="3">
        <f t="shared" si="15"/>
        <v>35.333333333333336</v>
      </c>
      <c r="P97" s="32">
        <f t="shared" si="16"/>
        <v>424</v>
      </c>
      <c r="Q97" s="3">
        <f t="shared" si="17"/>
        <v>0</v>
      </c>
      <c r="R97" s="33">
        <f t="shared" si="18"/>
        <v>424</v>
      </c>
      <c r="S97" s="34">
        <v>1</v>
      </c>
      <c r="T97" s="33">
        <f t="shared" si="19"/>
        <v>424</v>
      </c>
      <c r="U97" s="32">
        <f t="shared" si="20"/>
        <v>1590</v>
      </c>
      <c r="V97" s="33">
        <f t="shared" si="21"/>
        <v>1590</v>
      </c>
      <c r="W97" s="34">
        <v>1</v>
      </c>
      <c r="X97" s="33">
        <f t="shared" si="22"/>
        <v>1590</v>
      </c>
      <c r="Y97" s="32">
        <f t="shared" si="23"/>
        <v>2014</v>
      </c>
      <c r="Z97" s="33">
        <f t="shared" si="24"/>
        <v>2438</v>
      </c>
      <c r="AA97" s="4">
        <f t="shared" si="25"/>
        <v>2012.5</v>
      </c>
      <c r="AB97" s="3">
        <f t="shared" si="26"/>
        <v>2017.25</v>
      </c>
      <c r="AC97" s="35">
        <f>$H97+(($D97-1)/12)</f>
        <v>2022.5</v>
      </c>
      <c r="AD97" s="4">
        <f t="shared" si="27"/>
        <v>2016.25</v>
      </c>
      <c r="AE97" s="3">
        <f t="shared" si="28"/>
        <v>-8.3333333333333329E-2</v>
      </c>
    </row>
    <row r="98" spans="1:31" x14ac:dyDescent="0.25">
      <c r="A98" s="43" t="s">
        <v>169</v>
      </c>
      <c r="B98" s="3" t="s">
        <v>170</v>
      </c>
      <c r="C98" s="44">
        <v>2012</v>
      </c>
      <c r="D98" s="38">
        <v>7</v>
      </c>
      <c r="E98" s="29">
        <v>0</v>
      </c>
      <c r="F98" s="41" t="s">
        <v>64</v>
      </c>
      <c r="G98" s="4">
        <v>10</v>
      </c>
      <c r="H98" s="28">
        <f>C98+G98</f>
        <v>2022</v>
      </c>
      <c r="K98" s="10">
        <v>7280</v>
      </c>
      <c r="L98" s="11">
        <v>7280</v>
      </c>
      <c r="N98" s="11">
        <f>L98-L98*E98</f>
        <v>7280</v>
      </c>
      <c r="O98" s="3">
        <f t="shared" si="15"/>
        <v>60.666666666666664</v>
      </c>
      <c r="P98" s="32">
        <f t="shared" si="16"/>
        <v>728</v>
      </c>
      <c r="Q98" s="3">
        <f t="shared" si="17"/>
        <v>0</v>
      </c>
      <c r="R98" s="33">
        <f t="shared" si="18"/>
        <v>728</v>
      </c>
      <c r="S98" s="34">
        <v>1</v>
      </c>
      <c r="T98" s="33">
        <f t="shared" si="19"/>
        <v>728</v>
      </c>
      <c r="U98" s="32">
        <f t="shared" si="20"/>
        <v>2730</v>
      </c>
      <c r="V98" s="33">
        <f t="shared" si="21"/>
        <v>2730</v>
      </c>
      <c r="W98" s="34">
        <v>1</v>
      </c>
      <c r="X98" s="33">
        <f t="shared" si="22"/>
        <v>2730</v>
      </c>
      <c r="Y98" s="32">
        <f t="shared" si="23"/>
        <v>3458</v>
      </c>
      <c r="Z98" s="33">
        <f t="shared" si="24"/>
        <v>4186</v>
      </c>
      <c r="AA98" s="4">
        <f t="shared" si="25"/>
        <v>2012.5</v>
      </c>
      <c r="AB98" s="3">
        <f t="shared" si="26"/>
        <v>2017.25</v>
      </c>
      <c r="AC98" s="35">
        <f>$H98+(($D98-1)/12)</f>
        <v>2022.5</v>
      </c>
      <c r="AD98" s="4">
        <f t="shared" si="27"/>
        <v>2016.25</v>
      </c>
      <c r="AE98" s="3">
        <f t="shared" si="28"/>
        <v>-8.3333333333333329E-2</v>
      </c>
    </row>
    <row r="99" spans="1:31" x14ac:dyDescent="0.25">
      <c r="A99" s="43" t="s">
        <v>171</v>
      </c>
      <c r="B99" s="3" t="s">
        <v>172</v>
      </c>
      <c r="C99" s="44">
        <v>2012</v>
      </c>
      <c r="D99" s="38">
        <v>9</v>
      </c>
      <c r="E99" s="29">
        <v>0</v>
      </c>
      <c r="F99" s="41" t="s">
        <v>64</v>
      </c>
      <c r="G99" s="4">
        <v>10</v>
      </c>
      <c r="H99" s="28">
        <f>C99+G99</f>
        <v>2022</v>
      </c>
      <c r="K99" s="10">
        <v>7500</v>
      </c>
      <c r="L99" s="11">
        <v>7500</v>
      </c>
      <c r="N99" s="11">
        <f>L99-L99*E99</f>
        <v>7500</v>
      </c>
      <c r="O99" s="3">
        <f t="shared" si="15"/>
        <v>62.5</v>
      </c>
      <c r="P99" s="32">
        <f t="shared" si="16"/>
        <v>750</v>
      </c>
      <c r="Q99" s="3">
        <f t="shared" si="17"/>
        <v>0</v>
      </c>
      <c r="R99" s="33">
        <f t="shared" si="18"/>
        <v>750</v>
      </c>
      <c r="S99" s="34">
        <v>1</v>
      </c>
      <c r="T99" s="33">
        <f t="shared" si="19"/>
        <v>750</v>
      </c>
      <c r="U99" s="32">
        <f t="shared" si="20"/>
        <v>2687.4999999999432</v>
      </c>
      <c r="V99" s="33">
        <f t="shared" si="21"/>
        <v>2687.4999999999432</v>
      </c>
      <c r="W99" s="34">
        <v>1</v>
      </c>
      <c r="X99" s="33">
        <f t="shared" si="22"/>
        <v>2687.4999999999432</v>
      </c>
      <c r="Y99" s="32">
        <f t="shared" si="23"/>
        <v>3437.4999999999432</v>
      </c>
      <c r="Z99" s="33">
        <f t="shared" si="24"/>
        <v>4437.5000000000564</v>
      </c>
      <c r="AA99" s="4">
        <f t="shared" si="25"/>
        <v>2012.6666666666667</v>
      </c>
      <c r="AB99" s="3">
        <f t="shared" si="26"/>
        <v>2017.25</v>
      </c>
      <c r="AC99" s="35">
        <f>$H99+(($D99-1)/12)</f>
        <v>2022.6666666666667</v>
      </c>
      <c r="AD99" s="4">
        <f t="shared" si="27"/>
        <v>2016.25</v>
      </c>
      <c r="AE99" s="3">
        <f t="shared" si="28"/>
        <v>-8.3333333333333329E-2</v>
      </c>
    </row>
    <row r="100" spans="1:31" x14ac:dyDescent="0.25">
      <c r="A100" s="43" t="s">
        <v>173</v>
      </c>
      <c r="B100" s="3" t="s">
        <v>174</v>
      </c>
      <c r="C100" s="44">
        <v>2012</v>
      </c>
      <c r="D100" s="38">
        <v>11</v>
      </c>
      <c r="E100" s="29">
        <v>0</v>
      </c>
      <c r="F100" s="41" t="s">
        <v>64</v>
      </c>
      <c r="G100" s="4">
        <v>10</v>
      </c>
      <c r="H100" s="28">
        <f>C100+G100</f>
        <v>2022</v>
      </c>
      <c r="K100" s="10">
        <v>6056</v>
      </c>
      <c r="L100" s="11">
        <v>6056</v>
      </c>
      <c r="N100" s="11">
        <f>L100-L100*E100</f>
        <v>6056</v>
      </c>
      <c r="O100" s="3">
        <f t="shared" si="15"/>
        <v>50.466666666666669</v>
      </c>
      <c r="P100" s="32">
        <f t="shared" si="16"/>
        <v>605.6</v>
      </c>
      <c r="Q100" s="3">
        <f t="shared" si="17"/>
        <v>0</v>
      </c>
      <c r="R100" s="33">
        <f t="shared" si="18"/>
        <v>605.6</v>
      </c>
      <c r="S100" s="34">
        <v>1</v>
      </c>
      <c r="T100" s="33">
        <f t="shared" si="19"/>
        <v>605.6</v>
      </c>
      <c r="U100" s="32">
        <f t="shared" si="20"/>
        <v>2069.1333333333791</v>
      </c>
      <c r="V100" s="33">
        <f t="shared" si="21"/>
        <v>2069.1333333333791</v>
      </c>
      <c r="W100" s="34">
        <v>1</v>
      </c>
      <c r="X100" s="33">
        <f t="shared" si="22"/>
        <v>2069.1333333333791</v>
      </c>
      <c r="Y100" s="32">
        <f t="shared" si="23"/>
        <v>2674.7333333333791</v>
      </c>
      <c r="Z100" s="33">
        <f t="shared" si="24"/>
        <v>3684.0666666666211</v>
      </c>
      <c r="AA100" s="4">
        <f t="shared" si="25"/>
        <v>2012.8333333333333</v>
      </c>
      <c r="AB100" s="3">
        <f t="shared" si="26"/>
        <v>2017.25</v>
      </c>
      <c r="AC100" s="35">
        <f>$H100+(($D100-1)/12)</f>
        <v>2022.8333333333333</v>
      </c>
      <c r="AD100" s="4">
        <f t="shared" si="27"/>
        <v>2016.25</v>
      </c>
      <c r="AE100" s="3">
        <f t="shared" si="28"/>
        <v>-8.3333333333333329E-2</v>
      </c>
    </row>
    <row r="101" spans="1:31" x14ac:dyDescent="0.25">
      <c r="A101" s="43" t="s">
        <v>173</v>
      </c>
      <c r="B101" s="3" t="s">
        <v>174</v>
      </c>
      <c r="C101" s="44">
        <v>2012</v>
      </c>
      <c r="D101" s="38">
        <v>11</v>
      </c>
      <c r="E101" s="29">
        <v>0</v>
      </c>
      <c r="F101" s="41" t="s">
        <v>64</v>
      </c>
      <c r="G101" s="4">
        <v>10</v>
      </c>
      <c r="H101" s="28">
        <f>C101+G101</f>
        <v>2022</v>
      </c>
      <c r="K101" s="10">
        <v>6056</v>
      </c>
      <c r="L101" s="11">
        <v>6056</v>
      </c>
      <c r="N101" s="11">
        <f>L101-L101*E101</f>
        <v>6056</v>
      </c>
      <c r="O101" s="3">
        <f t="shared" si="15"/>
        <v>50.466666666666669</v>
      </c>
      <c r="P101" s="32">
        <f t="shared" si="16"/>
        <v>605.6</v>
      </c>
      <c r="Q101" s="3">
        <f t="shared" si="17"/>
        <v>0</v>
      </c>
      <c r="R101" s="33">
        <f t="shared" si="18"/>
        <v>605.6</v>
      </c>
      <c r="S101" s="34">
        <v>1</v>
      </c>
      <c r="T101" s="33">
        <f t="shared" si="19"/>
        <v>605.6</v>
      </c>
      <c r="U101" s="32">
        <f t="shared" si="20"/>
        <v>2069.1333333333791</v>
      </c>
      <c r="V101" s="33">
        <f t="shared" si="21"/>
        <v>2069.1333333333791</v>
      </c>
      <c r="W101" s="34">
        <v>1</v>
      </c>
      <c r="X101" s="33">
        <f t="shared" si="22"/>
        <v>2069.1333333333791</v>
      </c>
      <c r="Y101" s="32">
        <f t="shared" si="23"/>
        <v>2674.7333333333791</v>
      </c>
      <c r="Z101" s="33">
        <f t="shared" si="24"/>
        <v>3684.0666666666211</v>
      </c>
      <c r="AA101" s="4">
        <f t="shared" si="25"/>
        <v>2012.8333333333333</v>
      </c>
      <c r="AB101" s="3">
        <f t="shared" si="26"/>
        <v>2017.25</v>
      </c>
      <c r="AC101" s="35">
        <f>$H101+(($D101-1)/12)</f>
        <v>2022.8333333333333</v>
      </c>
      <c r="AD101" s="4">
        <f t="shared" si="27"/>
        <v>2016.25</v>
      </c>
      <c r="AE101" s="3">
        <f t="shared" si="28"/>
        <v>-8.3333333333333329E-2</v>
      </c>
    </row>
    <row r="102" spans="1:31" x14ac:dyDescent="0.25">
      <c r="A102" s="43" t="s">
        <v>175</v>
      </c>
      <c r="B102" s="3" t="s">
        <v>165</v>
      </c>
      <c r="C102" s="44">
        <v>2012</v>
      </c>
      <c r="D102" s="38">
        <v>11</v>
      </c>
      <c r="E102" s="29">
        <v>0</v>
      </c>
      <c r="F102" s="41" t="s">
        <v>64</v>
      </c>
      <c r="G102" s="4">
        <v>10</v>
      </c>
      <c r="H102" s="28">
        <f>C102+G102</f>
        <v>2022</v>
      </c>
      <c r="K102" s="10">
        <v>6157</v>
      </c>
      <c r="L102" s="11">
        <v>6157</v>
      </c>
      <c r="N102" s="11">
        <f>L102-L102*E102</f>
        <v>6157</v>
      </c>
      <c r="O102" s="3">
        <f t="shared" si="15"/>
        <v>51.308333333333337</v>
      </c>
      <c r="P102" s="32">
        <f t="shared" si="16"/>
        <v>615.70000000000005</v>
      </c>
      <c r="Q102" s="3">
        <f t="shared" si="17"/>
        <v>0</v>
      </c>
      <c r="R102" s="33">
        <f t="shared" si="18"/>
        <v>615.70000000000005</v>
      </c>
      <c r="S102" s="34">
        <v>1</v>
      </c>
      <c r="T102" s="33">
        <f t="shared" si="19"/>
        <v>615.70000000000005</v>
      </c>
      <c r="U102" s="32">
        <f t="shared" si="20"/>
        <v>2103.6416666667133</v>
      </c>
      <c r="V102" s="33">
        <f t="shared" si="21"/>
        <v>2103.6416666667133</v>
      </c>
      <c r="W102" s="34">
        <v>1</v>
      </c>
      <c r="X102" s="33">
        <f t="shared" si="22"/>
        <v>2103.6416666667133</v>
      </c>
      <c r="Y102" s="32">
        <f t="shared" si="23"/>
        <v>2719.3416666667135</v>
      </c>
      <c r="Z102" s="33">
        <f t="shared" si="24"/>
        <v>3745.5083333332868</v>
      </c>
      <c r="AA102" s="4">
        <f t="shared" si="25"/>
        <v>2012.8333333333333</v>
      </c>
      <c r="AB102" s="3">
        <f t="shared" si="26"/>
        <v>2017.25</v>
      </c>
      <c r="AC102" s="35">
        <f>$H102+(($D102-1)/12)</f>
        <v>2022.8333333333333</v>
      </c>
      <c r="AD102" s="4">
        <f t="shared" si="27"/>
        <v>2016.25</v>
      </c>
      <c r="AE102" s="3">
        <f t="shared" si="28"/>
        <v>-8.3333333333333329E-2</v>
      </c>
    </row>
    <row r="103" spans="1:31" x14ac:dyDescent="0.25">
      <c r="A103" s="43" t="s">
        <v>176</v>
      </c>
      <c r="B103" s="3" t="s">
        <v>170</v>
      </c>
      <c r="C103" s="44">
        <v>2012</v>
      </c>
      <c r="D103" s="38">
        <v>12</v>
      </c>
      <c r="E103" s="29">
        <v>0</v>
      </c>
      <c r="F103" s="41" t="s">
        <v>64</v>
      </c>
      <c r="G103" s="4">
        <v>10</v>
      </c>
      <c r="H103" s="28">
        <f>C103+G103</f>
        <v>2022</v>
      </c>
      <c r="K103" s="10">
        <v>7308</v>
      </c>
      <c r="L103" s="11">
        <v>7308</v>
      </c>
      <c r="N103" s="11">
        <f>L103-L103*E103</f>
        <v>7308</v>
      </c>
      <c r="O103" s="3">
        <f t="shared" si="15"/>
        <v>60.9</v>
      </c>
      <c r="P103" s="32">
        <f t="shared" si="16"/>
        <v>730.8</v>
      </c>
      <c r="Q103" s="3">
        <f t="shared" si="17"/>
        <v>0</v>
      </c>
      <c r="R103" s="33">
        <f t="shared" si="18"/>
        <v>730.8</v>
      </c>
      <c r="S103" s="34">
        <v>1</v>
      </c>
      <c r="T103" s="33">
        <f t="shared" si="19"/>
        <v>730.8</v>
      </c>
      <c r="U103" s="32">
        <f t="shared" si="20"/>
        <v>2435.9999999999445</v>
      </c>
      <c r="V103" s="33">
        <f t="shared" si="21"/>
        <v>2435.9999999999445</v>
      </c>
      <c r="W103" s="34">
        <v>1</v>
      </c>
      <c r="X103" s="33">
        <f t="shared" si="22"/>
        <v>2435.9999999999445</v>
      </c>
      <c r="Y103" s="32">
        <f t="shared" si="23"/>
        <v>3166.7999999999447</v>
      </c>
      <c r="Z103" s="33">
        <f t="shared" si="24"/>
        <v>4506.6000000000549</v>
      </c>
      <c r="AA103" s="4">
        <f t="shared" si="25"/>
        <v>2012.9166666666667</v>
      </c>
      <c r="AB103" s="3">
        <f t="shared" si="26"/>
        <v>2017.25</v>
      </c>
      <c r="AC103" s="35">
        <f>$H103+(($D103-1)/12)</f>
        <v>2022.9166666666667</v>
      </c>
      <c r="AD103" s="4">
        <f t="shared" si="27"/>
        <v>2016.25</v>
      </c>
      <c r="AE103" s="3">
        <f t="shared" si="28"/>
        <v>-8.3333333333333329E-2</v>
      </c>
    </row>
    <row r="104" spans="1:31" x14ac:dyDescent="0.25">
      <c r="A104" s="43" t="s">
        <v>177</v>
      </c>
      <c r="B104" s="3" t="s">
        <v>170</v>
      </c>
      <c r="C104" s="44">
        <v>2012</v>
      </c>
      <c r="D104" s="38">
        <v>12</v>
      </c>
      <c r="E104" s="29">
        <v>0</v>
      </c>
      <c r="F104" s="41" t="s">
        <v>64</v>
      </c>
      <c r="G104" s="4">
        <v>10</v>
      </c>
      <c r="H104" s="28">
        <f>C104+G104</f>
        <v>2022</v>
      </c>
      <c r="K104" s="10">
        <v>7308</v>
      </c>
      <c r="L104" s="11">
        <v>7308</v>
      </c>
      <c r="N104" s="11">
        <f>L104-L104*E104</f>
        <v>7308</v>
      </c>
      <c r="O104" s="3">
        <f t="shared" si="15"/>
        <v>60.9</v>
      </c>
      <c r="P104" s="32">
        <f t="shared" si="16"/>
        <v>730.8</v>
      </c>
      <c r="Q104" s="3">
        <f t="shared" si="17"/>
        <v>0</v>
      </c>
      <c r="R104" s="33">
        <f t="shared" si="18"/>
        <v>730.8</v>
      </c>
      <c r="S104" s="34">
        <v>1</v>
      </c>
      <c r="T104" s="33">
        <f t="shared" si="19"/>
        <v>730.8</v>
      </c>
      <c r="U104" s="32">
        <f t="shared" si="20"/>
        <v>2435.9999999999445</v>
      </c>
      <c r="V104" s="33">
        <f t="shared" si="21"/>
        <v>2435.9999999999445</v>
      </c>
      <c r="W104" s="34">
        <v>1</v>
      </c>
      <c r="X104" s="33">
        <f t="shared" si="22"/>
        <v>2435.9999999999445</v>
      </c>
      <c r="Y104" s="32">
        <f t="shared" si="23"/>
        <v>3166.7999999999447</v>
      </c>
      <c r="Z104" s="33">
        <f t="shared" si="24"/>
        <v>4506.6000000000549</v>
      </c>
      <c r="AA104" s="4">
        <f t="shared" si="25"/>
        <v>2012.9166666666667</v>
      </c>
      <c r="AB104" s="3">
        <f t="shared" si="26"/>
        <v>2017.25</v>
      </c>
      <c r="AC104" s="35">
        <f>$H104+(($D104-1)/12)</f>
        <v>2022.9166666666667</v>
      </c>
      <c r="AD104" s="4">
        <f t="shared" si="27"/>
        <v>2016.25</v>
      </c>
      <c r="AE104" s="3">
        <f t="shared" si="28"/>
        <v>-8.3333333333333329E-2</v>
      </c>
    </row>
    <row r="105" spans="1:31" x14ac:dyDescent="0.25">
      <c r="A105" s="43" t="s">
        <v>178</v>
      </c>
      <c r="B105" s="3" t="s">
        <v>165</v>
      </c>
      <c r="C105" s="44">
        <v>2012</v>
      </c>
      <c r="D105" s="38">
        <v>11</v>
      </c>
      <c r="E105" s="29">
        <v>0</v>
      </c>
      <c r="F105" s="41" t="s">
        <v>64</v>
      </c>
      <c r="G105" s="4">
        <v>10</v>
      </c>
      <c r="H105" s="28">
        <f>C105+G105</f>
        <v>2022</v>
      </c>
      <c r="K105" s="10">
        <v>6157</v>
      </c>
      <c r="L105" s="11">
        <v>6157</v>
      </c>
      <c r="N105" s="11">
        <f>L105-L105*E105</f>
        <v>6157</v>
      </c>
      <c r="O105" s="3">
        <f t="shared" si="15"/>
        <v>51.308333333333337</v>
      </c>
      <c r="P105" s="32">
        <f t="shared" si="16"/>
        <v>615.70000000000005</v>
      </c>
      <c r="Q105" s="3">
        <f t="shared" si="17"/>
        <v>0</v>
      </c>
      <c r="R105" s="33">
        <f t="shared" si="18"/>
        <v>615.70000000000005</v>
      </c>
      <c r="S105" s="34">
        <v>1</v>
      </c>
      <c r="T105" s="33">
        <f t="shared" si="19"/>
        <v>615.70000000000005</v>
      </c>
      <c r="U105" s="32">
        <f t="shared" si="20"/>
        <v>2103.6416666667133</v>
      </c>
      <c r="V105" s="33">
        <f t="shared" si="21"/>
        <v>2103.6416666667133</v>
      </c>
      <c r="W105" s="34">
        <v>1</v>
      </c>
      <c r="X105" s="33">
        <f t="shared" si="22"/>
        <v>2103.6416666667133</v>
      </c>
      <c r="Y105" s="32">
        <f t="shared" si="23"/>
        <v>2719.3416666667135</v>
      </c>
      <c r="Z105" s="33">
        <f t="shared" si="24"/>
        <v>3745.5083333332868</v>
      </c>
      <c r="AA105" s="4">
        <f t="shared" si="25"/>
        <v>2012.8333333333333</v>
      </c>
      <c r="AB105" s="3">
        <f t="shared" si="26"/>
        <v>2017.25</v>
      </c>
      <c r="AC105" s="35">
        <f>$H105+(($D105-1)/12)</f>
        <v>2022.8333333333333</v>
      </c>
      <c r="AD105" s="4">
        <f t="shared" si="27"/>
        <v>2016.25</v>
      </c>
      <c r="AE105" s="3">
        <f t="shared" si="28"/>
        <v>-8.3333333333333329E-2</v>
      </c>
    </row>
    <row r="106" spans="1:31" x14ac:dyDescent="0.25">
      <c r="A106" s="45" t="s">
        <v>179</v>
      </c>
      <c r="B106" s="3" t="s">
        <v>170</v>
      </c>
      <c r="C106" s="44">
        <v>2013</v>
      </c>
      <c r="D106" s="38">
        <v>2</v>
      </c>
      <c r="E106" s="29">
        <v>0</v>
      </c>
      <c r="F106" s="41" t="s">
        <v>64</v>
      </c>
      <c r="G106" s="4">
        <v>10</v>
      </c>
      <c r="H106" s="28">
        <f>C106+G106</f>
        <v>2023</v>
      </c>
      <c r="K106" s="10">
        <v>6157</v>
      </c>
      <c r="L106" s="11">
        <v>7308</v>
      </c>
      <c r="N106" s="11">
        <f>L106-L106*E106</f>
        <v>7308</v>
      </c>
      <c r="O106" s="3">
        <f t="shared" si="15"/>
        <v>60.9</v>
      </c>
      <c r="P106" s="32">
        <f t="shared" si="16"/>
        <v>730.8</v>
      </c>
      <c r="Q106" s="3">
        <f t="shared" si="17"/>
        <v>0</v>
      </c>
      <c r="R106" s="33">
        <f t="shared" si="18"/>
        <v>730.8</v>
      </c>
      <c r="S106" s="34">
        <v>1</v>
      </c>
      <c r="T106" s="33">
        <f t="shared" si="19"/>
        <v>730.8</v>
      </c>
      <c r="U106" s="32">
        <f t="shared" si="20"/>
        <v>2314.2000000000553</v>
      </c>
      <c r="V106" s="33">
        <f t="shared" si="21"/>
        <v>2314.2000000000553</v>
      </c>
      <c r="W106" s="34">
        <v>1</v>
      </c>
      <c r="X106" s="33">
        <f t="shared" si="22"/>
        <v>2314.2000000000553</v>
      </c>
      <c r="Y106" s="32">
        <f t="shared" si="23"/>
        <v>3045.0000000000555</v>
      </c>
      <c r="Z106" s="33">
        <f t="shared" si="24"/>
        <v>4628.3999999999451</v>
      </c>
      <c r="AA106" s="4">
        <f t="shared" si="25"/>
        <v>2013.0833333333333</v>
      </c>
      <c r="AB106" s="3">
        <f t="shared" si="26"/>
        <v>2017.25</v>
      </c>
      <c r="AC106" s="35">
        <f>$H106+(($D106-1)/12)</f>
        <v>2023.0833333333333</v>
      </c>
      <c r="AD106" s="4">
        <f t="shared" si="27"/>
        <v>2016.25</v>
      </c>
      <c r="AE106" s="3">
        <f t="shared" si="28"/>
        <v>-8.3333333333333329E-2</v>
      </c>
    </row>
    <row r="107" spans="1:31" x14ac:dyDescent="0.25">
      <c r="A107" s="43" t="s">
        <v>180</v>
      </c>
      <c r="B107" s="3" t="s">
        <v>181</v>
      </c>
      <c r="C107" s="28">
        <v>2013</v>
      </c>
      <c r="D107" s="38">
        <v>2</v>
      </c>
      <c r="E107" s="29">
        <v>0</v>
      </c>
      <c r="F107" s="41" t="s">
        <v>64</v>
      </c>
      <c r="G107" s="4">
        <v>10</v>
      </c>
      <c r="H107" s="28">
        <f>C107+G107</f>
        <v>2023</v>
      </c>
      <c r="K107" s="42">
        <f>6882+452.2+638.19</f>
        <v>7972.3899999999994</v>
      </c>
      <c r="L107" s="39">
        <v>15929</v>
      </c>
      <c r="N107" s="11">
        <f>L107-L107*E107</f>
        <v>15929</v>
      </c>
      <c r="O107" s="3">
        <f t="shared" si="15"/>
        <v>132.74166666666667</v>
      </c>
      <c r="P107" s="32">
        <f t="shared" si="16"/>
        <v>1592.9</v>
      </c>
      <c r="Q107" s="3">
        <f t="shared" si="17"/>
        <v>0</v>
      </c>
      <c r="R107" s="33">
        <f t="shared" si="18"/>
        <v>1592.9</v>
      </c>
      <c r="S107" s="34">
        <v>1</v>
      </c>
      <c r="T107" s="33">
        <f t="shared" si="19"/>
        <v>1592.9</v>
      </c>
      <c r="U107" s="32">
        <f t="shared" si="20"/>
        <v>5044.1833333334544</v>
      </c>
      <c r="V107" s="33">
        <f t="shared" si="21"/>
        <v>5044.1833333334544</v>
      </c>
      <c r="W107" s="34">
        <v>1</v>
      </c>
      <c r="X107" s="33">
        <f t="shared" si="22"/>
        <v>5044.1833333334544</v>
      </c>
      <c r="Y107" s="32">
        <f t="shared" si="23"/>
        <v>6637.083333333454</v>
      </c>
      <c r="Z107" s="33">
        <f t="shared" si="24"/>
        <v>10088.366666666545</v>
      </c>
      <c r="AA107" s="35">
        <f t="shared" si="25"/>
        <v>2013.0833333333333</v>
      </c>
      <c r="AB107" s="3">
        <f t="shared" si="26"/>
        <v>2017.25</v>
      </c>
      <c r="AC107" s="35">
        <f>$H107+(($D107-1)/12)</f>
        <v>2023.0833333333333</v>
      </c>
      <c r="AD107" s="4">
        <f t="shared" si="27"/>
        <v>2016.25</v>
      </c>
      <c r="AE107" s="3">
        <f t="shared" si="28"/>
        <v>-8.3333333333333329E-2</v>
      </c>
    </row>
    <row r="108" spans="1:31" x14ac:dyDescent="0.25">
      <c r="A108" s="43" t="s">
        <v>182</v>
      </c>
      <c r="B108" s="3" t="s">
        <v>183</v>
      </c>
      <c r="C108" s="28">
        <v>2013</v>
      </c>
      <c r="D108" s="38">
        <v>2</v>
      </c>
      <c r="E108" s="29">
        <v>0</v>
      </c>
      <c r="F108" s="41" t="s">
        <v>64</v>
      </c>
      <c r="G108" s="4">
        <v>10</v>
      </c>
      <c r="H108" s="28">
        <f>C108+G108</f>
        <v>2023</v>
      </c>
      <c r="K108" s="42">
        <f>6882+452.2+638.19</f>
        <v>7972.3899999999994</v>
      </c>
      <c r="L108" s="39">
        <v>5793</v>
      </c>
      <c r="N108" s="11">
        <f>L108-L108*E108</f>
        <v>5793</v>
      </c>
      <c r="O108" s="3">
        <f t="shared" si="15"/>
        <v>48.274999999999999</v>
      </c>
      <c r="P108" s="32">
        <f t="shared" si="16"/>
        <v>579.29999999999995</v>
      </c>
      <c r="Q108" s="3">
        <f t="shared" si="17"/>
        <v>0</v>
      </c>
      <c r="R108" s="33">
        <f t="shared" si="18"/>
        <v>579.29999999999995</v>
      </c>
      <c r="S108" s="34">
        <v>1</v>
      </c>
      <c r="T108" s="33">
        <f t="shared" si="19"/>
        <v>579.29999999999995</v>
      </c>
      <c r="U108" s="32">
        <f t="shared" si="20"/>
        <v>1834.4500000000439</v>
      </c>
      <c r="V108" s="33">
        <f t="shared" si="21"/>
        <v>1834.4500000000439</v>
      </c>
      <c r="W108" s="34">
        <v>1</v>
      </c>
      <c r="X108" s="33">
        <f t="shared" si="22"/>
        <v>1834.4500000000439</v>
      </c>
      <c r="Y108" s="32">
        <f t="shared" si="23"/>
        <v>2413.7500000000437</v>
      </c>
      <c r="Z108" s="33">
        <f t="shared" si="24"/>
        <v>3668.899999999956</v>
      </c>
      <c r="AA108" s="35">
        <f t="shared" si="25"/>
        <v>2013.0833333333333</v>
      </c>
      <c r="AB108" s="3">
        <f t="shared" si="26"/>
        <v>2017.25</v>
      </c>
      <c r="AC108" s="35">
        <f>$H108+(($D108-1)/12)</f>
        <v>2023.0833333333333</v>
      </c>
      <c r="AD108" s="4">
        <f t="shared" si="27"/>
        <v>2016.25</v>
      </c>
      <c r="AE108" s="3">
        <f t="shared" si="28"/>
        <v>-8.3333333333333329E-2</v>
      </c>
    </row>
    <row r="109" spans="1:31" x14ac:dyDescent="0.25">
      <c r="A109" s="43" t="s">
        <v>184</v>
      </c>
      <c r="B109" s="3" t="s">
        <v>185</v>
      </c>
      <c r="C109" s="28">
        <v>2013</v>
      </c>
      <c r="D109" s="38">
        <v>2</v>
      </c>
      <c r="E109" s="29">
        <v>0</v>
      </c>
      <c r="F109" s="41" t="s">
        <v>64</v>
      </c>
      <c r="G109" s="4">
        <v>10</v>
      </c>
      <c r="H109" s="28">
        <f>C109+G109</f>
        <v>2023</v>
      </c>
      <c r="K109" s="42">
        <f>6882+452.2+638.19</f>
        <v>7972.3899999999994</v>
      </c>
      <c r="L109" s="39">
        <v>7461</v>
      </c>
      <c r="N109" s="11">
        <f>L109-L109*E109</f>
        <v>7461</v>
      </c>
      <c r="O109" s="3">
        <f t="shared" si="15"/>
        <v>62.175000000000004</v>
      </c>
      <c r="P109" s="32">
        <f t="shared" si="16"/>
        <v>746.1</v>
      </c>
      <c r="Q109" s="3">
        <f t="shared" si="17"/>
        <v>0</v>
      </c>
      <c r="R109" s="33">
        <f t="shared" si="18"/>
        <v>746.1</v>
      </c>
      <c r="S109" s="34">
        <v>1</v>
      </c>
      <c r="T109" s="33">
        <f t="shared" si="19"/>
        <v>746.1</v>
      </c>
      <c r="U109" s="32">
        <f t="shared" si="20"/>
        <v>2362.6500000000569</v>
      </c>
      <c r="V109" s="33">
        <f t="shared" si="21"/>
        <v>2362.6500000000569</v>
      </c>
      <c r="W109" s="34">
        <v>1</v>
      </c>
      <c r="X109" s="33">
        <f t="shared" si="22"/>
        <v>2362.6500000000569</v>
      </c>
      <c r="Y109" s="32">
        <f t="shared" si="23"/>
        <v>3108.7500000000568</v>
      </c>
      <c r="Z109" s="33">
        <f t="shared" si="24"/>
        <v>4725.2999999999429</v>
      </c>
      <c r="AA109" s="35">
        <f t="shared" si="25"/>
        <v>2013.0833333333333</v>
      </c>
      <c r="AB109" s="3">
        <f t="shared" si="26"/>
        <v>2017.25</v>
      </c>
      <c r="AC109" s="35">
        <f>$H109+(($D109-1)/12)</f>
        <v>2023.0833333333333</v>
      </c>
      <c r="AD109" s="4">
        <f t="shared" si="27"/>
        <v>2016.25</v>
      </c>
      <c r="AE109" s="3">
        <f t="shared" si="28"/>
        <v>-8.3333333333333329E-2</v>
      </c>
    </row>
    <row r="110" spans="1:31" x14ac:dyDescent="0.25">
      <c r="A110" s="43" t="s">
        <v>186</v>
      </c>
      <c r="B110" s="3" t="s">
        <v>187</v>
      </c>
      <c r="C110" s="44">
        <v>2013</v>
      </c>
      <c r="D110" s="38">
        <v>2</v>
      </c>
      <c r="E110" s="29">
        <v>0</v>
      </c>
      <c r="F110" s="41" t="s">
        <v>64</v>
      </c>
      <c r="G110" s="4">
        <v>10</v>
      </c>
      <c r="H110" s="28">
        <f>C110+G110</f>
        <v>2023</v>
      </c>
      <c r="K110" s="10">
        <v>7500</v>
      </c>
      <c r="L110" s="11">
        <v>5805</v>
      </c>
      <c r="N110" s="11">
        <f>L110-L110*E110</f>
        <v>5805</v>
      </c>
      <c r="O110" s="3">
        <f t="shared" si="15"/>
        <v>48.375</v>
      </c>
      <c r="P110" s="32">
        <f t="shared" si="16"/>
        <v>580.5</v>
      </c>
      <c r="Q110" s="3">
        <f t="shared" si="17"/>
        <v>0</v>
      </c>
      <c r="R110" s="33">
        <f t="shared" si="18"/>
        <v>580.5</v>
      </c>
      <c r="S110" s="34">
        <v>1</v>
      </c>
      <c r="T110" s="33">
        <f t="shared" si="19"/>
        <v>580.5</v>
      </c>
      <c r="U110" s="32">
        <f t="shared" si="20"/>
        <v>1838.2500000000441</v>
      </c>
      <c r="V110" s="33">
        <f t="shared" si="21"/>
        <v>1838.2500000000441</v>
      </c>
      <c r="W110" s="34">
        <v>1</v>
      </c>
      <c r="X110" s="33">
        <f t="shared" si="22"/>
        <v>1838.2500000000441</v>
      </c>
      <c r="Y110" s="32">
        <f t="shared" si="23"/>
        <v>2418.7500000000441</v>
      </c>
      <c r="Z110" s="33">
        <f t="shared" si="24"/>
        <v>3676.4999999999559</v>
      </c>
      <c r="AA110" s="4">
        <f t="shared" si="25"/>
        <v>2013.0833333333333</v>
      </c>
      <c r="AB110" s="3">
        <f t="shared" si="26"/>
        <v>2017.25</v>
      </c>
      <c r="AC110" s="35">
        <f>$H110+(($D110-1)/12)</f>
        <v>2023.0833333333333</v>
      </c>
      <c r="AD110" s="4">
        <f t="shared" si="27"/>
        <v>2016.25</v>
      </c>
      <c r="AE110" s="3">
        <f t="shared" si="28"/>
        <v>-8.3333333333333329E-2</v>
      </c>
    </row>
    <row r="111" spans="1:31" x14ac:dyDescent="0.25">
      <c r="A111" s="43" t="s">
        <v>188</v>
      </c>
      <c r="B111" s="3" t="s">
        <v>187</v>
      </c>
      <c r="C111" s="44">
        <v>2013</v>
      </c>
      <c r="D111" s="38">
        <v>2</v>
      </c>
      <c r="E111" s="29">
        <v>0</v>
      </c>
      <c r="F111" s="41" t="s">
        <v>64</v>
      </c>
      <c r="G111" s="4">
        <v>10</v>
      </c>
      <c r="H111" s="28">
        <f>C111+G111</f>
        <v>2023</v>
      </c>
      <c r="K111" s="10">
        <v>7500</v>
      </c>
      <c r="L111" s="11">
        <v>5805</v>
      </c>
      <c r="N111" s="11">
        <f>L111-L111*E111</f>
        <v>5805</v>
      </c>
      <c r="O111" s="3">
        <f t="shared" si="15"/>
        <v>48.375</v>
      </c>
      <c r="P111" s="32">
        <f t="shared" si="16"/>
        <v>580.5</v>
      </c>
      <c r="Q111" s="3">
        <f t="shared" si="17"/>
        <v>0</v>
      </c>
      <c r="R111" s="33">
        <f t="shared" si="18"/>
        <v>580.5</v>
      </c>
      <c r="S111" s="34">
        <v>1</v>
      </c>
      <c r="T111" s="33">
        <f t="shared" si="19"/>
        <v>580.5</v>
      </c>
      <c r="U111" s="32">
        <f t="shared" si="20"/>
        <v>1838.2500000000441</v>
      </c>
      <c r="V111" s="33">
        <f t="shared" si="21"/>
        <v>1838.2500000000441</v>
      </c>
      <c r="W111" s="34">
        <v>1</v>
      </c>
      <c r="X111" s="33">
        <f t="shared" si="22"/>
        <v>1838.2500000000441</v>
      </c>
      <c r="Y111" s="32">
        <f t="shared" si="23"/>
        <v>2418.7500000000441</v>
      </c>
      <c r="Z111" s="33">
        <f t="shared" si="24"/>
        <v>3676.4999999999559</v>
      </c>
      <c r="AA111" s="4">
        <f t="shared" si="25"/>
        <v>2013.0833333333333</v>
      </c>
      <c r="AB111" s="3">
        <f t="shared" si="26"/>
        <v>2017.25</v>
      </c>
      <c r="AC111" s="35">
        <f>$H111+(($D111-1)/12)</f>
        <v>2023.0833333333333</v>
      </c>
      <c r="AD111" s="4">
        <f t="shared" si="27"/>
        <v>2016.25</v>
      </c>
      <c r="AE111" s="3">
        <f t="shared" si="28"/>
        <v>-8.3333333333333329E-2</v>
      </c>
    </row>
    <row r="112" spans="1:31" x14ac:dyDescent="0.25">
      <c r="A112" s="43" t="s">
        <v>189</v>
      </c>
      <c r="B112" s="3" t="s">
        <v>187</v>
      </c>
      <c r="C112" s="44">
        <v>2013</v>
      </c>
      <c r="D112" s="38">
        <v>2</v>
      </c>
      <c r="E112" s="29">
        <v>0</v>
      </c>
      <c r="F112" s="41" t="s">
        <v>64</v>
      </c>
      <c r="G112" s="4">
        <v>10</v>
      </c>
      <c r="H112" s="28">
        <f>C112+G112</f>
        <v>2023</v>
      </c>
      <c r="K112" s="10">
        <v>7500</v>
      </c>
      <c r="L112" s="11">
        <v>5805</v>
      </c>
      <c r="N112" s="11">
        <f>L112-L112*E112</f>
        <v>5805</v>
      </c>
      <c r="O112" s="3">
        <f t="shared" si="15"/>
        <v>48.375</v>
      </c>
      <c r="P112" s="32">
        <f t="shared" si="16"/>
        <v>580.5</v>
      </c>
      <c r="Q112" s="3">
        <f t="shared" si="17"/>
        <v>0</v>
      </c>
      <c r="R112" s="33">
        <f t="shared" si="18"/>
        <v>580.5</v>
      </c>
      <c r="S112" s="34">
        <v>1</v>
      </c>
      <c r="T112" s="33">
        <f t="shared" si="19"/>
        <v>580.5</v>
      </c>
      <c r="U112" s="32">
        <f t="shared" si="20"/>
        <v>1838.2500000000441</v>
      </c>
      <c r="V112" s="33">
        <f t="shared" si="21"/>
        <v>1838.2500000000441</v>
      </c>
      <c r="W112" s="34">
        <v>1</v>
      </c>
      <c r="X112" s="33">
        <f t="shared" si="22"/>
        <v>1838.2500000000441</v>
      </c>
      <c r="Y112" s="32">
        <f t="shared" si="23"/>
        <v>2418.7500000000441</v>
      </c>
      <c r="Z112" s="33">
        <f t="shared" si="24"/>
        <v>3676.4999999999559</v>
      </c>
      <c r="AA112" s="4">
        <f t="shared" si="25"/>
        <v>2013.0833333333333</v>
      </c>
      <c r="AB112" s="3">
        <f t="shared" si="26"/>
        <v>2017.25</v>
      </c>
      <c r="AC112" s="35">
        <f>$H112+(($D112-1)/12)</f>
        <v>2023.0833333333333</v>
      </c>
      <c r="AD112" s="4">
        <f t="shared" si="27"/>
        <v>2016.25</v>
      </c>
      <c r="AE112" s="3">
        <f t="shared" si="28"/>
        <v>-8.3333333333333329E-2</v>
      </c>
    </row>
    <row r="113" spans="1:31" x14ac:dyDescent="0.25">
      <c r="A113" s="43" t="s">
        <v>190</v>
      </c>
      <c r="B113" s="3" t="s">
        <v>191</v>
      </c>
      <c r="C113" s="44">
        <v>2013</v>
      </c>
      <c r="D113" s="38">
        <v>2</v>
      </c>
      <c r="E113" s="29">
        <v>0</v>
      </c>
      <c r="F113" s="41" t="s">
        <v>64</v>
      </c>
      <c r="G113" s="4">
        <v>10</v>
      </c>
      <c r="H113" s="28">
        <f>C113+G113</f>
        <v>2023</v>
      </c>
      <c r="K113" s="10">
        <v>7500</v>
      </c>
      <c r="L113" s="11">
        <v>2940</v>
      </c>
      <c r="N113" s="11">
        <f>L113-L113*E113</f>
        <v>2940</v>
      </c>
      <c r="O113" s="3">
        <f t="shared" si="15"/>
        <v>24.5</v>
      </c>
      <c r="P113" s="32">
        <f t="shared" si="16"/>
        <v>294</v>
      </c>
      <c r="Q113" s="3">
        <f t="shared" si="17"/>
        <v>0</v>
      </c>
      <c r="R113" s="33">
        <f t="shared" si="18"/>
        <v>294</v>
      </c>
      <c r="S113" s="34">
        <v>1</v>
      </c>
      <c r="T113" s="33">
        <f t="shared" si="19"/>
        <v>294</v>
      </c>
      <c r="U113" s="32">
        <f t="shared" si="20"/>
        <v>931.00000000002228</v>
      </c>
      <c r="V113" s="33">
        <f t="shared" si="21"/>
        <v>931.00000000002228</v>
      </c>
      <c r="W113" s="34">
        <v>1</v>
      </c>
      <c r="X113" s="33">
        <f t="shared" si="22"/>
        <v>931.00000000002228</v>
      </c>
      <c r="Y113" s="32">
        <f t="shared" si="23"/>
        <v>1225.0000000000223</v>
      </c>
      <c r="Z113" s="33">
        <f t="shared" si="24"/>
        <v>1861.9999999999777</v>
      </c>
      <c r="AA113" s="4">
        <f t="shared" si="25"/>
        <v>2013.0833333333333</v>
      </c>
      <c r="AB113" s="3">
        <f t="shared" si="26"/>
        <v>2017.25</v>
      </c>
      <c r="AC113" s="35">
        <f>$H113+(($D113-1)/12)</f>
        <v>2023.0833333333333</v>
      </c>
      <c r="AD113" s="4">
        <f t="shared" si="27"/>
        <v>2016.25</v>
      </c>
      <c r="AE113" s="3">
        <f t="shared" si="28"/>
        <v>-8.3333333333333329E-2</v>
      </c>
    </row>
    <row r="114" spans="1:31" x14ac:dyDescent="0.25">
      <c r="A114" s="43" t="s">
        <v>192</v>
      </c>
      <c r="B114" s="3" t="s">
        <v>193</v>
      </c>
      <c r="C114" s="44">
        <v>2013</v>
      </c>
      <c r="D114" s="38">
        <v>2</v>
      </c>
      <c r="E114" s="29">
        <v>0</v>
      </c>
      <c r="F114" s="41" t="s">
        <v>64</v>
      </c>
      <c r="G114" s="4">
        <v>10</v>
      </c>
      <c r="H114" s="28">
        <f>C114+G114</f>
        <v>2023</v>
      </c>
      <c r="K114" s="10">
        <v>7500</v>
      </c>
      <c r="L114" s="11">
        <v>3000</v>
      </c>
      <c r="N114" s="11">
        <f>L114-L114*E114</f>
        <v>3000</v>
      </c>
      <c r="O114" s="3">
        <f t="shared" si="15"/>
        <v>25</v>
      </c>
      <c r="P114" s="32">
        <f t="shared" si="16"/>
        <v>300</v>
      </c>
      <c r="Q114" s="3">
        <f t="shared" si="17"/>
        <v>0</v>
      </c>
      <c r="R114" s="33">
        <f t="shared" si="18"/>
        <v>300</v>
      </c>
      <c r="S114" s="34">
        <v>1</v>
      </c>
      <c r="T114" s="33">
        <f t="shared" si="19"/>
        <v>300</v>
      </c>
      <c r="U114" s="32">
        <f t="shared" si="20"/>
        <v>950.00000000002274</v>
      </c>
      <c r="V114" s="33">
        <f t="shared" si="21"/>
        <v>950.00000000002274</v>
      </c>
      <c r="W114" s="34">
        <v>1</v>
      </c>
      <c r="X114" s="33">
        <f t="shared" si="22"/>
        <v>950.00000000002274</v>
      </c>
      <c r="Y114" s="32">
        <f t="shared" si="23"/>
        <v>1250.0000000000227</v>
      </c>
      <c r="Z114" s="33">
        <f t="shared" si="24"/>
        <v>1899.9999999999773</v>
      </c>
      <c r="AA114" s="4">
        <f t="shared" si="25"/>
        <v>2013.0833333333333</v>
      </c>
      <c r="AB114" s="3">
        <f t="shared" si="26"/>
        <v>2017.25</v>
      </c>
      <c r="AC114" s="35">
        <f>$H114+(($D114-1)/12)</f>
        <v>2023.0833333333333</v>
      </c>
      <c r="AD114" s="4">
        <f t="shared" si="27"/>
        <v>2016.25</v>
      </c>
      <c r="AE114" s="3">
        <f t="shared" si="28"/>
        <v>-8.3333333333333329E-2</v>
      </c>
    </row>
    <row r="115" spans="1:31" x14ac:dyDescent="0.25">
      <c r="A115" s="45" t="s">
        <v>194</v>
      </c>
      <c r="B115" s="3" t="s">
        <v>195</v>
      </c>
      <c r="C115" s="44">
        <v>2013</v>
      </c>
      <c r="D115" s="38">
        <v>2</v>
      </c>
      <c r="E115" s="29">
        <v>0</v>
      </c>
      <c r="F115" s="41" t="s">
        <v>64</v>
      </c>
      <c r="G115" s="4">
        <v>10</v>
      </c>
      <c r="H115" s="28">
        <f>C115+G115</f>
        <v>2023</v>
      </c>
      <c r="K115" s="10">
        <v>6157</v>
      </c>
      <c r="L115" s="11">
        <v>5187</v>
      </c>
      <c r="N115" s="11">
        <f>L115-L115*E115</f>
        <v>5187</v>
      </c>
      <c r="O115" s="3">
        <f t="shared" si="15"/>
        <v>43.225000000000001</v>
      </c>
      <c r="P115" s="32">
        <f t="shared" si="16"/>
        <v>518.70000000000005</v>
      </c>
      <c r="Q115" s="3">
        <f t="shared" si="17"/>
        <v>0</v>
      </c>
      <c r="R115" s="33">
        <f t="shared" si="18"/>
        <v>518.70000000000005</v>
      </c>
      <c r="S115" s="34">
        <v>1</v>
      </c>
      <c r="T115" s="33">
        <f t="shared" si="19"/>
        <v>518.70000000000005</v>
      </c>
      <c r="U115" s="32">
        <f t="shared" si="20"/>
        <v>1642.5500000000393</v>
      </c>
      <c r="V115" s="33">
        <f t="shared" si="21"/>
        <v>1642.5500000000393</v>
      </c>
      <c r="W115" s="34">
        <v>1</v>
      </c>
      <c r="X115" s="33">
        <f t="shared" si="22"/>
        <v>1642.5500000000393</v>
      </c>
      <c r="Y115" s="32">
        <f t="shared" si="23"/>
        <v>2161.2500000000391</v>
      </c>
      <c r="Z115" s="33">
        <f t="shared" si="24"/>
        <v>3285.0999999999608</v>
      </c>
      <c r="AA115" s="4">
        <f t="shared" si="25"/>
        <v>2013.0833333333333</v>
      </c>
      <c r="AB115" s="3">
        <f t="shared" si="26"/>
        <v>2017.25</v>
      </c>
      <c r="AC115" s="35">
        <f>$H115+(($D115-1)/12)</f>
        <v>2023.0833333333333</v>
      </c>
      <c r="AD115" s="4">
        <f t="shared" si="27"/>
        <v>2016.25</v>
      </c>
      <c r="AE115" s="3">
        <f t="shared" si="28"/>
        <v>-8.3333333333333329E-2</v>
      </c>
    </row>
    <row r="116" spans="1:31" x14ac:dyDescent="0.25">
      <c r="A116" s="45" t="s">
        <v>196</v>
      </c>
      <c r="B116" s="3" t="s">
        <v>165</v>
      </c>
      <c r="C116" s="44">
        <v>2013</v>
      </c>
      <c r="D116" s="38">
        <v>4</v>
      </c>
      <c r="E116" s="29">
        <v>0</v>
      </c>
      <c r="F116" s="41" t="s">
        <v>64</v>
      </c>
      <c r="G116" s="4">
        <v>10</v>
      </c>
      <c r="H116" s="28">
        <f>C116+G116</f>
        <v>2023</v>
      </c>
      <c r="K116" s="10">
        <v>6157</v>
      </c>
      <c r="L116" s="11">
        <v>6420</v>
      </c>
      <c r="N116" s="11">
        <f>L116-L116*E116</f>
        <v>6420</v>
      </c>
      <c r="O116" s="3">
        <f t="shared" si="15"/>
        <v>53.5</v>
      </c>
      <c r="P116" s="32">
        <f t="shared" si="16"/>
        <v>642</v>
      </c>
      <c r="Q116" s="3">
        <f t="shared" si="17"/>
        <v>0</v>
      </c>
      <c r="R116" s="33">
        <f t="shared" si="18"/>
        <v>642</v>
      </c>
      <c r="S116" s="34">
        <v>1</v>
      </c>
      <c r="T116" s="33">
        <f t="shared" si="19"/>
        <v>642</v>
      </c>
      <c r="U116" s="32">
        <f t="shared" si="20"/>
        <v>1926</v>
      </c>
      <c r="V116" s="33">
        <f t="shared" si="21"/>
        <v>1926</v>
      </c>
      <c r="W116" s="34">
        <v>1</v>
      </c>
      <c r="X116" s="33">
        <f t="shared" si="22"/>
        <v>1926</v>
      </c>
      <c r="Y116" s="32">
        <f t="shared" si="23"/>
        <v>2568</v>
      </c>
      <c r="Z116" s="33">
        <f t="shared" si="24"/>
        <v>4173</v>
      </c>
      <c r="AA116" s="4">
        <f t="shared" si="25"/>
        <v>2013.25</v>
      </c>
      <c r="AB116" s="3">
        <f t="shared" si="26"/>
        <v>2017.25</v>
      </c>
      <c r="AC116" s="35">
        <f>$H116+(($D116-1)/12)</f>
        <v>2023.25</v>
      </c>
      <c r="AD116" s="4">
        <f t="shared" si="27"/>
        <v>2016.25</v>
      </c>
      <c r="AE116" s="3">
        <f t="shared" si="28"/>
        <v>-8.3333333333333329E-2</v>
      </c>
    </row>
    <row r="117" spans="1:31" x14ac:dyDescent="0.25">
      <c r="A117" s="45" t="s">
        <v>197</v>
      </c>
      <c r="B117" s="3" t="s">
        <v>198</v>
      </c>
      <c r="C117" s="44">
        <v>2013</v>
      </c>
      <c r="D117" s="38">
        <v>4</v>
      </c>
      <c r="E117" s="29">
        <v>0</v>
      </c>
      <c r="F117" s="41" t="s">
        <v>64</v>
      </c>
      <c r="G117" s="4">
        <v>10</v>
      </c>
      <c r="H117" s="28">
        <f>C117+G117</f>
        <v>2023</v>
      </c>
      <c r="K117" s="10">
        <v>6157</v>
      </c>
      <c r="L117" s="11">
        <v>5975</v>
      </c>
      <c r="N117" s="11">
        <f>L117-L117*E117</f>
        <v>5975</v>
      </c>
      <c r="O117" s="3">
        <f t="shared" si="15"/>
        <v>49.791666666666664</v>
      </c>
      <c r="P117" s="32">
        <f t="shared" si="16"/>
        <v>597.5</v>
      </c>
      <c r="Q117" s="3">
        <f t="shared" si="17"/>
        <v>0</v>
      </c>
      <c r="R117" s="33">
        <f t="shared" si="18"/>
        <v>597.5</v>
      </c>
      <c r="S117" s="34">
        <v>1</v>
      </c>
      <c r="T117" s="33">
        <f t="shared" si="19"/>
        <v>597.5</v>
      </c>
      <c r="U117" s="32">
        <f t="shared" si="20"/>
        <v>1792.5</v>
      </c>
      <c r="V117" s="33">
        <f t="shared" si="21"/>
        <v>1792.5</v>
      </c>
      <c r="W117" s="34">
        <v>1</v>
      </c>
      <c r="X117" s="33">
        <f t="shared" si="22"/>
        <v>1792.5</v>
      </c>
      <c r="Y117" s="32">
        <f t="shared" si="23"/>
        <v>2390</v>
      </c>
      <c r="Z117" s="33">
        <f t="shared" si="24"/>
        <v>3883.75</v>
      </c>
      <c r="AA117" s="4">
        <f t="shared" si="25"/>
        <v>2013.25</v>
      </c>
      <c r="AB117" s="3">
        <f t="shared" si="26"/>
        <v>2017.25</v>
      </c>
      <c r="AC117" s="35">
        <f>$H117+(($D117-1)/12)</f>
        <v>2023.25</v>
      </c>
      <c r="AD117" s="4">
        <f t="shared" si="27"/>
        <v>2016.25</v>
      </c>
      <c r="AE117" s="3">
        <f t="shared" si="28"/>
        <v>-8.3333333333333329E-2</v>
      </c>
    </row>
    <row r="118" spans="1:31" x14ac:dyDescent="0.25">
      <c r="A118" s="45" t="s">
        <v>197</v>
      </c>
      <c r="B118" s="3" t="s">
        <v>199</v>
      </c>
      <c r="C118" s="44">
        <v>2013</v>
      </c>
      <c r="D118" s="38">
        <v>5</v>
      </c>
      <c r="E118" s="29">
        <v>0</v>
      </c>
      <c r="F118" s="41" t="s">
        <v>64</v>
      </c>
      <c r="G118" s="4">
        <v>10</v>
      </c>
      <c r="H118" s="28">
        <f>C118+G118</f>
        <v>2023</v>
      </c>
      <c r="K118" s="10">
        <v>6157</v>
      </c>
      <c r="L118" s="11">
        <v>5452</v>
      </c>
      <c r="N118" s="11">
        <f>L118-L118*E118</f>
        <v>5452</v>
      </c>
      <c r="O118" s="3">
        <f t="shared" si="15"/>
        <v>45.433333333333337</v>
      </c>
      <c r="P118" s="32">
        <f t="shared" si="16"/>
        <v>545.20000000000005</v>
      </c>
      <c r="Q118" s="3">
        <f t="shared" si="17"/>
        <v>0</v>
      </c>
      <c r="R118" s="33">
        <f t="shared" si="18"/>
        <v>545.20000000000005</v>
      </c>
      <c r="S118" s="34">
        <v>1</v>
      </c>
      <c r="T118" s="33">
        <f t="shared" si="19"/>
        <v>545.20000000000005</v>
      </c>
      <c r="U118" s="32">
        <f t="shared" si="20"/>
        <v>1590.1666666667081</v>
      </c>
      <c r="V118" s="33">
        <f t="shared" si="21"/>
        <v>1590.1666666667081</v>
      </c>
      <c r="W118" s="34">
        <v>1</v>
      </c>
      <c r="X118" s="33">
        <f t="shared" si="22"/>
        <v>1590.1666666667081</v>
      </c>
      <c r="Y118" s="32">
        <f t="shared" si="23"/>
        <v>2135.3666666667082</v>
      </c>
      <c r="Z118" s="33">
        <f t="shared" si="24"/>
        <v>3589.2333333332917</v>
      </c>
      <c r="AA118" s="4">
        <f t="shared" si="25"/>
        <v>2013.3333333333333</v>
      </c>
      <c r="AB118" s="3">
        <f t="shared" si="26"/>
        <v>2017.25</v>
      </c>
      <c r="AC118" s="35">
        <f>$H118+(($D118-1)/12)</f>
        <v>2023.3333333333333</v>
      </c>
      <c r="AD118" s="4">
        <f t="shared" si="27"/>
        <v>2016.25</v>
      </c>
      <c r="AE118" s="3">
        <f t="shared" si="28"/>
        <v>-8.3333333333333329E-2</v>
      </c>
    </row>
    <row r="119" spans="1:31" x14ac:dyDescent="0.25">
      <c r="A119" s="43" t="s">
        <v>200</v>
      </c>
      <c r="B119" s="3" t="s">
        <v>201</v>
      </c>
      <c r="C119" s="44">
        <v>2013</v>
      </c>
      <c r="D119" s="38">
        <v>5</v>
      </c>
      <c r="E119" s="29">
        <v>0</v>
      </c>
      <c r="F119" s="41" t="s">
        <v>64</v>
      </c>
      <c r="G119" s="4">
        <v>10</v>
      </c>
      <c r="H119" s="28">
        <f>C119+G119</f>
        <v>2023</v>
      </c>
      <c r="K119" s="10">
        <v>7500</v>
      </c>
      <c r="L119" s="11">
        <v>2040</v>
      </c>
      <c r="N119" s="11">
        <f>L119-L119*E119</f>
        <v>2040</v>
      </c>
      <c r="O119" s="3">
        <f t="shared" si="15"/>
        <v>17</v>
      </c>
      <c r="P119" s="32">
        <f t="shared" si="16"/>
        <v>204</v>
      </c>
      <c r="Q119" s="3">
        <f t="shared" si="17"/>
        <v>0</v>
      </c>
      <c r="R119" s="33">
        <f t="shared" si="18"/>
        <v>204</v>
      </c>
      <c r="S119" s="34">
        <v>1</v>
      </c>
      <c r="T119" s="33">
        <f t="shared" si="19"/>
        <v>204</v>
      </c>
      <c r="U119" s="32">
        <f t="shared" si="20"/>
        <v>595.00000000001546</v>
      </c>
      <c r="V119" s="33">
        <f t="shared" si="21"/>
        <v>595.00000000001546</v>
      </c>
      <c r="W119" s="34">
        <v>1</v>
      </c>
      <c r="X119" s="33">
        <f t="shared" si="22"/>
        <v>595.00000000001546</v>
      </c>
      <c r="Y119" s="32">
        <f t="shared" si="23"/>
        <v>799.00000000001546</v>
      </c>
      <c r="Z119" s="33">
        <f t="shared" si="24"/>
        <v>1342.9999999999845</v>
      </c>
      <c r="AA119" s="4">
        <f t="shared" si="25"/>
        <v>2013.3333333333333</v>
      </c>
      <c r="AB119" s="3">
        <f t="shared" si="26"/>
        <v>2017.25</v>
      </c>
      <c r="AC119" s="35">
        <f>$H119+(($D119-1)/12)</f>
        <v>2023.3333333333333</v>
      </c>
      <c r="AD119" s="4">
        <f t="shared" si="27"/>
        <v>2016.25</v>
      </c>
      <c r="AE119" s="3">
        <f t="shared" si="28"/>
        <v>-8.3333333333333329E-2</v>
      </c>
    </row>
    <row r="120" spans="1:31" x14ac:dyDescent="0.25">
      <c r="A120" s="43" t="s">
        <v>202</v>
      </c>
      <c r="B120" s="3" t="s">
        <v>203</v>
      </c>
      <c r="C120" s="44">
        <v>2013</v>
      </c>
      <c r="D120" s="38">
        <v>5</v>
      </c>
      <c r="E120" s="29">
        <v>0</v>
      </c>
      <c r="F120" s="41" t="s">
        <v>64</v>
      </c>
      <c r="G120" s="4">
        <v>10</v>
      </c>
      <c r="H120" s="28">
        <f>C120+G120</f>
        <v>2023</v>
      </c>
      <c r="K120" s="10">
        <v>7500</v>
      </c>
      <c r="L120" s="11">
        <v>1812</v>
      </c>
      <c r="N120" s="11">
        <f>L120-L120*E120</f>
        <v>1812</v>
      </c>
      <c r="O120" s="3">
        <f t="shared" si="15"/>
        <v>15.1</v>
      </c>
      <c r="P120" s="32">
        <f t="shared" si="16"/>
        <v>181.2</v>
      </c>
      <c r="Q120" s="3">
        <f t="shared" si="17"/>
        <v>0</v>
      </c>
      <c r="R120" s="33">
        <f t="shared" si="18"/>
        <v>181.2</v>
      </c>
      <c r="S120" s="34">
        <v>1</v>
      </c>
      <c r="T120" s="33">
        <f t="shared" si="19"/>
        <v>181.2</v>
      </c>
      <c r="U120" s="32">
        <f t="shared" si="20"/>
        <v>528.50000000001376</v>
      </c>
      <c r="V120" s="33">
        <f t="shared" si="21"/>
        <v>528.50000000001376</v>
      </c>
      <c r="W120" s="34">
        <v>1</v>
      </c>
      <c r="X120" s="33">
        <f t="shared" si="22"/>
        <v>528.50000000001376</v>
      </c>
      <c r="Y120" s="32">
        <f t="shared" si="23"/>
        <v>709.70000000001369</v>
      </c>
      <c r="Z120" s="33">
        <f t="shared" si="24"/>
        <v>1192.8999999999864</v>
      </c>
      <c r="AA120" s="4">
        <f t="shared" si="25"/>
        <v>2013.3333333333333</v>
      </c>
      <c r="AB120" s="3">
        <f t="shared" si="26"/>
        <v>2017.25</v>
      </c>
      <c r="AC120" s="35">
        <f>$H120+(($D120-1)/12)</f>
        <v>2023.3333333333333</v>
      </c>
      <c r="AD120" s="4">
        <f t="shared" si="27"/>
        <v>2016.25</v>
      </c>
      <c r="AE120" s="3">
        <f t="shared" si="28"/>
        <v>-8.3333333333333329E-2</v>
      </c>
    </row>
    <row r="121" spans="1:31" x14ac:dyDescent="0.25">
      <c r="A121" s="45" t="s">
        <v>204</v>
      </c>
      <c r="B121" s="3" t="s">
        <v>205</v>
      </c>
      <c r="C121" s="44">
        <v>2013</v>
      </c>
      <c r="D121" s="38">
        <v>5</v>
      </c>
      <c r="E121" s="29">
        <v>0</v>
      </c>
      <c r="F121" s="41" t="s">
        <v>64</v>
      </c>
      <c r="G121" s="4">
        <v>10</v>
      </c>
      <c r="H121" s="28">
        <f>C121+G121</f>
        <v>2023</v>
      </c>
      <c r="K121" s="10">
        <v>6157</v>
      </c>
      <c r="L121" s="11">
        <v>7717</v>
      </c>
      <c r="N121" s="11">
        <f>L121-L121*E121</f>
        <v>7717</v>
      </c>
      <c r="O121" s="3">
        <f t="shared" si="15"/>
        <v>64.308333333333337</v>
      </c>
      <c r="P121" s="32">
        <f t="shared" si="16"/>
        <v>771.7</v>
      </c>
      <c r="Q121" s="3">
        <f t="shared" si="17"/>
        <v>0</v>
      </c>
      <c r="R121" s="33">
        <f t="shared" si="18"/>
        <v>771.7</v>
      </c>
      <c r="S121" s="34">
        <v>1</v>
      </c>
      <c r="T121" s="33">
        <f t="shared" si="19"/>
        <v>771.7</v>
      </c>
      <c r="U121" s="32">
        <f t="shared" si="20"/>
        <v>2250.7916666667252</v>
      </c>
      <c r="V121" s="33">
        <f t="shared" si="21"/>
        <v>2250.7916666667252</v>
      </c>
      <c r="W121" s="34">
        <v>1</v>
      </c>
      <c r="X121" s="33">
        <f t="shared" si="22"/>
        <v>2250.7916666667252</v>
      </c>
      <c r="Y121" s="32">
        <f t="shared" si="23"/>
        <v>3022.491666666725</v>
      </c>
      <c r="Z121" s="33">
        <f t="shared" si="24"/>
        <v>5080.3583333332754</v>
      </c>
      <c r="AA121" s="4">
        <f t="shared" si="25"/>
        <v>2013.3333333333333</v>
      </c>
      <c r="AB121" s="3">
        <f t="shared" si="26"/>
        <v>2017.25</v>
      </c>
      <c r="AC121" s="35">
        <f>$H121+(($D121-1)/12)</f>
        <v>2023.3333333333333</v>
      </c>
      <c r="AD121" s="4">
        <f t="shared" si="27"/>
        <v>2016.25</v>
      </c>
      <c r="AE121" s="3">
        <f t="shared" si="28"/>
        <v>-8.3333333333333329E-2</v>
      </c>
    </row>
    <row r="122" spans="1:31" x14ac:dyDescent="0.25">
      <c r="A122" s="45" t="s">
        <v>206</v>
      </c>
      <c r="B122" s="3" t="s">
        <v>205</v>
      </c>
      <c r="C122" s="44">
        <v>2013</v>
      </c>
      <c r="D122" s="38">
        <v>5</v>
      </c>
      <c r="E122" s="29">
        <v>0</v>
      </c>
      <c r="F122" s="41" t="s">
        <v>64</v>
      </c>
      <c r="G122" s="4">
        <v>10</v>
      </c>
      <c r="H122" s="28">
        <f>C122+G122</f>
        <v>2023</v>
      </c>
      <c r="K122" s="10">
        <v>6157</v>
      </c>
      <c r="L122" s="11">
        <v>7717</v>
      </c>
      <c r="N122" s="11">
        <f>L122-L122*E122</f>
        <v>7717</v>
      </c>
      <c r="O122" s="3">
        <f t="shared" si="15"/>
        <v>64.308333333333337</v>
      </c>
      <c r="P122" s="32">
        <f t="shared" si="16"/>
        <v>771.7</v>
      </c>
      <c r="Q122" s="3">
        <f t="shared" si="17"/>
        <v>0</v>
      </c>
      <c r="R122" s="33">
        <f t="shared" si="18"/>
        <v>771.7</v>
      </c>
      <c r="S122" s="34">
        <v>1</v>
      </c>
      <c r="T122" s="33">
        <f t="shared" si="19"/>
        <v>771.7</v>
      </c>
      <c r="U122" s="32">
        <f t="shared" si="20"/>
        <v>2250.7916666667252</v>
      </c>
      <c r="V122" s="33">
        <f t="shared" si="21"/>
        <v>2250.7916666667252</v>
      </c>
      <c r="W122" s="34">
        <v>1</v>
      </c>
      <c r="X122" s="33">
        <f t="shared" si="22"/>
        <v>2250.7916666667252</v>
      </c>
      <c r="Y122" s="32">
        <f t="shared" si="23"/>
        <v>3022.491666666725</v>
      </c>
      <c r="Z122" s="33">
        <f t="shared" si="24"/>
        <v>5080.3583333332754</v>
      </c>
      <c r="AA122" s="4">
        <f t="shared" si="25"/>
        <v>2013.3333333333333</v>
      </c>
      <c r="AB122" s="3">
        <f t="shared" si="26"/>
        <v>2017.25</v>
      </c>
      <c r="AC122" s="35">
        <f>$H122+(($D122-1)/12)</f>
        <v>2023.3333333333333</v>
      </c>
      <c r="AD122" s="4">
        <f t="shared" si="27"/>
        <v>2016.25</v>
      </c>
      <c r="AE122" s="3">
        <f t="shared" si="28"/>
        <v>-8.3333333333333329E-2</v>
      </c>
    </row>
    <row r="123" spans="1:31" x14ac:dyDescent="0.25">
      <c r="A123" s="43" t="s">
        <v>207</v>
      </c>
      <c r="B123" s="3" t="s">
        <v>208</v>
      </c>
      <c r="C123" s="44">
        <v>2013</v>
      </c>
      <c r="D123" s="38">
        <v>7</v>
      </c>
      <c r="E123" s="29">
        <v>0</v>
      </c>
      <c r="F123" s="41" t="s">
        <v>64</v>
      </c>
      <c r="G123" s="4">
        <v>10</v>
      </c>
      <c r="H123" s="28">
        <f>C123+G123</f>
        <v>2023</v>
      </c>
      <c r="K123" s="10">
        <v>7500</v>
      </c>
      <c r="L123" s="11">
        <v>5980</v>
      </c>
      <c r="N123" s="11">
        <f>L123-L123*E123</f>
        <v>5980</v>
      </c>
      <c r="O123" s="3">
        <f t="shared" si="15"/>
        <v>49.833333333333336</v>
      </c>
      <c r="P123" s="32">
        <f t="shared" si="16"/>
        <v>598</v>
      </c>
      <c r="Q123" s="3">
        <f t="shared" si="17"/>
        <v>0</v>
      </c>
      <c r="R123" s="33">
        <f t="shared" si="18"/>
        <v>598</v>
      </c>
      <c r="S123" s="34">
        <v>1</v>
      </c>
      <c r="T123" s="33">
        <f t="shared" si="19"/>
        <v>598</v>
      </c>
      <c r="U123" s="32">
        <f t="shared" si="20"/>
        <v>1644.5</v>
      </c>
      <c r="V123" s="33">
        <f t="shared" si="21"/>
        <v>1644.5</v>
      </c>
      <c r="W123" s="34">
        <v>1</v>
      </c>
      <c r="X123" s="33">
        <f t="shared" si="22"/>
        <v>1644.5</v>
      </c>
      <c r="Y123" s="32">
        <f t="shared" si="23"/>
        <v>2242.5</v>
      </c>
      <c r="Z123" s="33">
        <f t="shared" si="24"/>
        <v>4036.5</v>
      </c>
      <c r="AA123" s="4">
        <f t="shared" si="25"/>
        <v>2013.5</v>
      </c>
      <c r="AB123" s="3">
        <f t="shared" si="26"/>
        <v>2017.25</v>
      </c>
      <c r="AC123" s="35">
        <f>$H123+(($D123-1)/12)</f>
        <v>2023.5</v>
      </c>
      <c r="AD123" s="4">
        <f t="shared" si="27"/>
        <v>2016.25</v>
      </c>
      <c r="AE123" s="3">
        <f t="shared" si="28"/>
        <v>-8.3333333333333329E-2</v>
      </c>
    </row>
    <row r="124" spans="1:31" x14ac:dyDescent="0.25">
      <c r="A124" s="45" t="s">
        <v>209</v>
      </c>
      <c r="B124" s="3" t="s">
        <v>210</v>
      </c>
      <c r="C124" s="44">
        <v>2013</v>
      </c>
      <c r="D124" s="38">
        <v>7</v>
      </c>
      <c r="E124" s="29">
        <v>0</v>
      </c>
      <c r="F124" s="41" t="s">
        <v>64</v>
      </c>
      <c r="G124" s="4">
        <v>10</v>
      </c>
      <c r="H124" s="28">
        <f>C124+G124</f>
        <v>2023</v>
      </c>
      <c r="K124" s="10">
        <v>6157</v>
      </c>
      <c r="L124" s="11">
        <v>5230</v>
      </c>
      <c r="N124" s="11">
        <f>L124-L124*E124</f>
        <v>5230</v>
      </c>
      <c r="O124" s="3">
        <f t="shared" si="15"/>
        <v>43.583333333333336</v>
      </c>
      <c r="P124" s="32">
        <f t="shared" si="16"/>
        <v>523</v>
      </c>
      <c r="Q124" s="3">
        <f t="shared" si="17"/>
        <v>0</v>
      </c>
      <c r="R124" s="33">
        <f t="shared" si="18"/>
        <v>523</v>
      </c>
      <c r="S124" s="34">
        <v>1</v>
      </c>
      <c r="T124" s="33">
        <f t="shared" si="19"/>
        <v>523</v>
      </c>
      <c r="U124" s="32">
        <f t="shared" si="20"/>
        <v>1438.25</v>
      </c>
      <c r="V124" s="33">
        <f t="shared" si="21"/>
        <v>1438.25</v>
      </c>
      <c r="W124" s="34">
        <v>1</v>
      </c>
      <c r="X124" s="33">
        <f t="shared" si="22"/>
        <v>1438.25</v>
      </c>
      <c r="Y124" s="32">
        <f t="shared" si="23"/>
        <v>1961.25</v>
      </c>
      <c r="Z124" s="33">
        <f t="shared" si="24"/>
        <v>3530.25</v>
      </c>
      <c r="AA124" s="4">
        <f t="shared" si="25"/>
        <v>2013.5</v>
      </c>
      <c r="AB124" s="3">
        <f t="shared" si="26"/>
        <v>2017.25</v>
      </c>
      <c r="AC124" s="35">
        <f>$H124+(($D124-1)/12)</f>
        <v>2023.5</v>
      </c>
      <c r="AD124" s="4">
        <f t="shared" si="27"/>
        <v>2016.25</v>
      </c>
      <c r="AE124" s="3">
        <f t="shared" si="28"/>
        <v>-8.3333333333333329E-2</v>
      </c>
    </row>
    <row r="125" spans="1:31" x14ac:dyDescent="0.25">
      <c r="A125" s="43" t="s">
        <v>211</v>
      </c>
      <c r="B125" s="3" t="s">
        <v>212</v>
      </c>
      <c r="C125" s="44">
        <v>2013</v>
      </c>
      <c r="D125" s="38">
        <v>7</v>
      </c>
      <c r="E125" s="29">
        <v>0</v>
      </c>
      <c r="F125" s="41" t="s">
        <v>64</v>
      </c>
      <c r="G125" s="4">
        <v>10</v>
      </c>
      <c r="H125" s="28">
        <f>C125+G125</f>
        <v>2023</v>
      </c>
      <c r="K125" s="10">
        <v>7500</v>
      </c>
      <c r="L125" s="11">
        <v>2850</v>
      </c>
      <c r="N125" s="11">
        <f>L125-L125*E125</f>
        <v>2850</v>
      </c>
      <c r="O125" s="3">
        <f t="shared" si="15"/>
        <v>23.75</v>
      </c>
      <c r="P125" s="32">
        <f t="shared" si="16"/>
        <v>285</v>
      </c>
      <c r="Q125" s="3">
        <f t="shared" si="17"/>
        <v>0</v>
      </c>
      <c r="R125" s="33">
        <f t="shared" si="18"/>
        <v>285</v>
      </c>
      <c r="S125" s="34">
        <v>1</v>
      </c>
      <c r="T125" s="33">
        <f t="shared" si="19"/>
        <v>285</v>
      </c>
      <c r="U125" s="32">
        <f t="shared" si="20"/>
        <v>783.75</v>
      </c>
      <c r="V125" s="33">
        <f t="shared" si="21"/>
        <v>783.75</v>
      </c>
      <c r="W125" s="34">
        <v>1</v>
      </c>
      <c r="X125" s="33">
        <f t="shared" si="22"/>
        <v>783.75</v>
      </c>
      <c r="Y125" s="32">
        <f t="shared" si="23"/>
        <v>1068.75</v>
      </c>
      <c r="Z125" s="33">
        <f t="shared" si="24"/>
        <v>1923.75</v>
      </c>
      <c r="AA125" s="4">
        <f t="shared" si="25"/>
        <v>2013.5</v>
      </c>
      <c r="AB125" s="3">
        <f t="shared" si="26"/>
        <v>2017.25</v>
      </c>
      <c r="AC125" s="35">
        <f>$H125+(($D125-1)/12)</f>
        <v>2023.5</v>
      </c>
      <c r="AD125" s="4">
        <f t="shared" si="27"/>
        <v>2016.25</v>
      </c>
      <c r="AE125" s="3">
        <f t="shared" si="28"/>
        <v>-8.3333333333333329E-2</v>
      </c>
    </row>
    <row r="126" spans="1:31" x14ac:dyDescent="0.25">
      <c r="A126" s="43" t="s">
        <v>213</v>
      </c>
      <c r="B126" s="3" t="s">
        <v>214</v>
      </c>
      <c r="C126" s="44">
        <v>2013</v>
      </c>
      <c r="D126" s="38">
        <v>7</v>
      </c>
      <c r="E126" s="29">
        <v>0</v>
      </c>
      <c r="F126" s="41" t="s">
        <v>64</v>
      </c>
      <c r="G126" s="4">
        <v>10</v>
      </c>
      <c r="H126" s="28">
        <f>C126+G126</f>
        <v>2023</v>
      </c>
      <c r="K126" s="10">
        <v>7500</v>
      </c>
      <c r="L126" s="11">
        <v>2995</v>
      </c>
      <c r="N126" s="11">
        <f>L126-L126*E126</f>
        <v>2995</v>
      </c>
      <c r="O126" s="3">
        <f t="shared" si="15"/>
        <v>24.958333333333332</v>
      </c>
      <c r="P126" s="32">
        <f t="shared" si="16"/>
        <v>299.5</v>
      </c>
      <c r="Q126" s="3">
        <f t="shared" si="17"/>
        <v>0</v>
      </c>
      <c r="R126" s="33">
        <f t="shared" si="18"/>
        <v>299.5</v>
      </c>
      <c r="S126" s="34">
        <v>1</v>
      </c>
      <c r="T126" s="33">
        <f t="shared" si="19"/>
        <v>299.5</v>
      </c>
      <c r="U126" s="32">
        <f t="shared" si="20"/>
        <v>823.625</v>
      </c>
      <c r="V126" s="33">
        <f t="shared" si="21"/>
        <v>823.625</v>
      </c>
      <c r="W126" s="34">
        <v>1</v>
      </c>
      <c r="X126" s="33">
        <f t="shared" si="22"/>
        <v>823.625</v>
      </c>
      <c r="Y126" s="32">
        <f t="shared" si="23"/>
        <v>1123.125</v>
      </c>
      <c r="Z126" s="33">
        <f t="shared" si="24"/>
        <v>2021.625</v>
      </c>
      <c r="AA126" s="4">
        <f t="shared" si="25"/>
        <v>2013.5</v>
      </c>
      <c r="AB126" s="3">
        <f t="shared" si="26"/>
        <v>2017.25</v>
      </c>
      <c r="AC126" s="35">
        <f>$H126+(($D126-1)/12)</f>
        <v>2023.5</v>
      </c>
      <c r="AD126" s="4">
        <f t="shared" si="27"/>
        <v>2016.25</v>
      </c>
      <c r="AE126" s="3">
        <f t="shared" si="28"/>
        <v>-8.3333333333333329E-2</v>
      </c>
    </row>
    <row r="127" spans="1:31" x14ac:dyDescent="0.25">
      <c r="A127" s="43" t="s">
        <v>215</v>
      </c>
      <c r="B127" s="3" t="s">
        <v>216</v>
      </c>
      <c r="C127" s="44">
        <v>2013</v>
      </c>
      <c r="D127" s="38">
        <v>7</v>
      </c>
      <c r="E127" s="29">
        <v>0</v>
      </c>
      <c r="F127" s="41" t="s">
        <v>64</v>
      </c>
      <c r="G127" s="4">
        <v>10</v>
      </c>
      <c r="H127" s="28">
        <f>C127+G127</f>
        <v>2023</v>
      </c>
      <c r="K127" s="10">
        <v>7500</v>
      </c>
      <c r="L127" s="11">
        <v>5830</v>
      </c>
      <c r="N127" s="11">
        <f>L127-L127*E127</f>
        <v>5830</v>
      </c>
      <c r="O127" s="3">
        <f t="shared" si="15"/>
        <v>48.583333333333336</v>
      </c>
      <c r="P127" s="32">
        <f t="shared" si="16"/>
        <v>583</v>
      </c>
      <c r="Q127" s="3">
        <f t="shared" si="17"/>
        <v>0</v>
      </c>
      <c r="R127" s="33">
        <f t="shared" si="18"/>
        <v>583</v>
      </c>
      <c r="S127" s="34">
        <v>1</v>
      </c>
      <c r="T127" s="33">
        <f t="shared" si="19"/>
        <v>583</v>
      </c>
      <c r="U127" s="32">
        <f t="shared" si="20"/>
        <v>1603.25</v>
      </c>
      <c r="V127" s="33">
        <f t="shared" si="21"/>
        <v>1603.25</v>
      </c>
      <c r="W127" s="34">
        <v>1</v>
      </c>
      <c r="X127" s="33">
        <f t="shared" si="22"/>
        <v>1603.25</v>
      </c>
      <c r="Y127" s="32">
        <f t="shared" si="23"/>
        <v>2186.25</v>
      </c>
      <c r="Z127" s="33">
        <f t="shared" si="24"/>
        <v>3935.25</v>
      </c>
      <c r="AA127" s="4">
        <f t="shared" si="25"/>
        <v>2013.5</v>
      </c>
      <c r="AB127" s="3">
        <f t="shared" si="26"/>
        <v>2017.25</v>
      </c>
      <c r="AC127" s="35">
        <f>$H127+(($D127-1)/12)</f>
        <v>2023.5</v>
      </c>
      <c r="AD127" s="4">
        <f t="shared" si="27"/>
        <v>2016.25</v>
      </c>
      <c r="AE127" s="3">
        <f t="shared" si="28"/>
        <v>-8.3333333333333329E-2</v>
      </c>
    </row>
    <row r="128" spans="1:31" x14ac:dyDescent="0.25">
      <c r="A128" s="43" t="s">
        <v>217</v>
      </c>
      <c r="B128" s="3" t="s">
        <v>216</v>
      </c>
      <c r="C128" s="44">
        <v>2013</v>
      </c>
      <c r="D128" s="38">
        <v>7</v>
      </c>
      <c r="E128" s="29">
        <v>0</v>
      </c>
      <c r="F128" s="41" t="s">
        <v>64</v>
      </c>
      <c r="G128" s="4">
        <v>10</v>
      </c>
      <c r="H128" s="28">
        <f>C128+G128</f>
        <v>2023</v>
      </c>
      <c r="K128" s="10">
        <v>7500</v>
      </c>
      <c r="L128" s="11">
        <v>5830</v>
      </c>
      <c r="N128" s="11">
        <f>L128-L128*E128</f>
        <v>5830</v>
      </c>
      <c r="O128" s="3">
        <f t="shared" si="15"/>
        <v>48.583333333333336</v>
      </c>
      <c r="P128" s="32">
        <f t="shared" si="16"/>
        <v>583</v>
      </c>
      <c r="Q128" s="3">
        <f t="shared" si="17"/>
        <v>0</v>
      </c>
      <c r="R128" s="33">
        <f t="shared" si="18"/>
        <v>583</v>
      </c>
      <c r="S128" s="34">
        <v>1</v>
      </c>
      <c r="T128" s="33">
        <f t="shared" si="19"/>
        <v>583</v>
      </c>
      <c r="U128" s="32">
        <f t="shared" si="20"/>
        <v>1603.25</v>
      </c>
      <c r="V128" s="33">
        <f t="shared" si="21"/>
        <v>1603.25</v>
      </c>
      <c r="W128" s="34">
        <v>1</v>
      </c>
      <c r="X128" s="33">
        <f t="shared" si="22"/>
        <v>1603.25</v>
      </c>
      <c r="Y128" s="32">
        <f t="shared" si="23"/>
        <v>2186.25</v>
      </c>
      <c r="Z128" s="33">
        <f t="shared" si="24"/>
        <v>3935.25</v>
      </c>
      <c r="AA128" s="4">
        <f t="shared" si="25"/>
        <v>2013.5</v>
      </c>
      <c r="AB128" s="3">
        <f t="shared" si="26"/>
        <v>2017.25</v>
      </c>
      <c r="AC128" s="35">
        <f>$H128+(($D128-1)/12)</f>
        <v>2023.5</v>
      </c>
      <c r="AD128" s="4">
        <f t="shared" si="27"/>
        <v>2016.25</v>
      </c>
      <c r="AE128" s="3">
        <f t="shared" si="28"/>
        <v>-8.3333333333333329E-2</v>
      </c>
    </row>
    <row r="129" spans="1:31" x14ac:dyDescent="0.25">
      <c r="A129" s="45" t="s">
        <v>218</v>
      </c>
      <c r="B129" s="3" t="s">
        <v>198</v>
      </c>
      <c r="C129" s="44">
        <v>2013</v>
      </c>
      <c r="D129" s="38">
        <v>7</v>
      </c>
      <c r="E129" s="29">
        <v>0</v>
      </c>
      <c r="F129" s="41" t="s">
        <v>64</v>
      </c>
      <c r="G129" s="4">
        <v>10</v>
      </c>
      <c r="H129" s="28">
        <f>C129+G129</f>
        <v>2023</v>
      </c>
      <c r="K129" s="10">
        <v>6157</v>
      </c>
      <c r="L129" s="11">
        <v>6420</v>
      </c>
      <c r="N129" s="11">
        <f>L129-L129*E129</f>
        <v>6420</v>
      </c>
      <c r="O129" s="3">
        <f t="shared" si="15"/>
        <v>53.5</v>
      </c>
      <c r="P129" s="32">
        <f t="shared" si="16"/>
        <v>642</v>
      </c>
      <c r="Q129" s="3">
        <f t="shared" si="17"/>
        <v>0</v>
      </c>
      <c r="R129" s="33">
        <f t="shared" si="18"/>
        <v>642</v>
      </c>
      <c r="S129" s="34">
        <v>1</v>
      </c>
      <c r="T129" s="33">
        <f t="shared" si="19"/>
        <v>642</v>
      </c>
      <c r="U129" s="32">
        <f t="shared" si="20"/>
        <v>1765.5</v>
      </c>
      <c r="V129" s="33">
        <f t="shared" si="21"/>
        <v>1765.5</v>
      </c>
      <c r="W129" s="34">
        <v>1</v>
      </c>
      <c r="X129" s="33">
        <f t="shared" si="22"/>
        <v>1765.5</v>
      </c>
      <c r="Y129" s="32">
        <f t="shared" si="23"/>
        <v>2407.5</v>
      </c>
      <c r="Z129" s="33">
        <f t="shared" si="24"/>
        <v>4333.5</v>
      </c>
      <c r="AA129" s="4">
        <f t="shared" si="25"/>
        <v>2013.5</v>
      </c>
      <c r="AB129" s="3">
        <f t="shared" si="26"/>
        <v>2017.25</v>
      </c>
      <c r="AC129" s="35">
        <f>$H129+(($D129-1)/12)</f>
        <v>2023.5</v>
      </c>
      <c r="AD129" s="4">
        <f t="shared" si="27"/>
        <v>2016.25</v>
      </c>
      <c r="AE129" s="3">
        <f t="shared" si="28"/>
        <v>-8.3333333333333329E-2</v>
      </c>
    </row>
    <row r="130" spans="1:31" x14ac:dyDescent="0.25">
      <c r="A130" s="45" t="s">
        <v>219</v>
      </c>
      <c r="B130" s="3" t="s">
        <v>210</v>
      </c>
      <c r="C130" s="44">
        <v>2013</v>
      </c>
      <c r="D130" s="38">
        <v>9</v>
      </c>
      <c r="E130" s="29">
        <v>0</v>
      </c>
      <c r="F130" s="41" t="s">
        <v>64</v>
      </c>
      <c r="G130" s="4">
        <v>10</v>
      </c>
      <c r="H130" s="28">
        <f>C130+G130</f>
        <v>2023</v>
      </c>
      <c r="K130" s="10">
        <v>6157</v>
      </c>
      <c r="L130" s="11">
        <v>5230</v>
      </c>
      <c r="N130" s="11">
        <f>L130-L130*E130</f>
        <v>5230</v>
      </c>
      <c r="O130" s="3">
        <f t="shared" si="15"/>
        <v>43.583333333333336</v>
      </c>
      <c r="P130" s="32">
        <f t="shared" si="16"/>
        <v>523</v>
      </c>
      <c r="Q130" s="3">
        <f t="shared" si="17"/>
        <v>0</v>
      </c>
      <c r="R130" s="33">
        <f t="shared" si="18"/>
        <v>523</v>
      </c>
      <c r="S130" s="34">
        <v>1</v>
      </c>
      <c r="T130" s="33">
        <f t="shared" si="19"/>
        <v>523</v>
      </c>
      <c r="U130" s="32">
        <f t="shared" si="20"/>
        <v>1351.0833333332937</v>
      </c>
      <c r="V130" s="33">
        <f t="shared" si="21"/>
        <v>1351.0833333332937</v>
      </c>
      <c r="W130" s="34">
        <v>1</v>
      </c>
      <c r="X130" s="33">
        <f t="shared" si="22"/>
        <v>1351.0833333332937</v>
      </c>
      <c r="Y130" s="32">
        <f t="shared" si="23"/>
        <v>1874.0833333332937</v>
      </c>
      <c r="Z130" s="33">
        <f t="shared" si="24"/>
        <v>3617.4166666667061</v>
      </c>
      <c r="AA130" s="4">
        <f t="shared" si="25"/>
        <v>2013.6666666666667</v>
      </c>
      <c r="AB130" s="3">
        <f t="shared" si="26"/>
        <v>2017.25</v>
      </c>
      <c r="AC130" s="35">
        <f>$H130+(($D130-1)/12)</f>
        <v>2023.6666666666667</v>
      </c>
      <c r="AD130" s="4">
        <f t="shared" si="27"/>
        <v>2016.25</v>
      </c>
      <c r="AE130" s="3">
        <f t="shared" si="28"/>
        <v>-8.3333333333333329E-2</v>
      </c>
    </row>
    <row r="131" spans="1:31" x14ac:dyDescent="0.25">
      <c r="A131" s="43" t="s">
        <v>220</v>
      </c>
      <c r="B131" s="3" t="s">
        <v>221</v>
      </c>
      <c r="C131" s="44">
        <v>2013</v>
      </c>
      <c r="D131" s="38">
        <v>9</v>
      </c>
      <c r="E131" s="29">
        <v>0</v>
      </c>
      <c r="F131" s="41" t="s">
        <v>64</v>
      </c>
      <c r="G131" s="4">
        <v>10</v>
      </c>
      <c r="H131" s="28">
        <f>C131+G131</f>
        <v>2023</v>
      </c>
      <c r="K131" s="10">
        <v>7500</v>
      </c>
      <c r="L131" s="11">
        <v>5980</v>
      </c>
      <c r="N131" s="11">
        <v>1170</v>
      </c>
      <c r="O131" s="3">
        <f t="shared" si="15"/>
        <v>9.75</v>
      </c>
      <c r="P131" s="32">
        <f t="shared" si="16"/>
        <v>117</v>
      </c>
      <c r="Q131" s="3">
        <f t="shared" si="17"/>
        <v>0</v>
      </c>
      <c r="R131" s="33">
        <f t="shared" si="18"/>
        <v>117</v>
      </c>
      <c r="S131" s="34">
        <v>1</v>
      </c>
      <c r="T131" s="33">
        <f t="shared" si="19"/>
        <v>117</v>
      </c>
      <c r="U131" s="32">
        <f t="shared" si="20"/>
        <v>302.24999999999113</v>
      </c>
      <c r="V131" s="33">
        <f t="shared" si="21"/>
        <v>302.24999999999113</v>
      </c>
      <c r="W131" s="34">
        <v>1</v>
      </c>
      <c r="X131" s="33">
        <f t="shared" si="22"/>
        <v>302.24999999999113</v>
      </c>
      <c r="Y131" s="32">
        <f t="shared" si="23"/>
        <v>419.24999999999113</v>
      </c>
      <c r="Z131" s="33">
        <f t="shared" si="24"/>
        <v>5619.2500000000091</v>
      </c>
      <c r="AA131" s="4">
        <f t="shared" si="25"/>
        <v>2013.6666666666667</v>
      </c>
      <c r="AB131" s="3">
        <f t="shared" si="26"/>
        <v>2017.25</v>
      </c>
      <c r="AC131" s="35">
        <f>$H131+(($D131-1)/12)</f>
        <v>2023.6666666666667</v>
      </c>
      <c r="AD131" s="4">
        <f t="shared" si="27"/>
        <v>2016.25</v>
      </c>
      <c r="AE131" s="3">
        <f t="shared" si="28"/>
        <v>-8.3333333333333329E-2</v>
      </c>
    </row>
    <row r="132" spans="1:31" x14ac:dyDescent="0.25">
      <c r="A132" s="45" t="s">
        <v>222</v>
      </c>
      <c r="B132" s="3" t="s">
        <v>198</v>
      </c>
      <c r="C132" s="44">
        <v>2013</v>
      </c>
      <c r="D132" s="38">
        <v>12</v>
      </c>
      <c r="E132" s="29">
        <v>0</v>
      </c>
      <c r="F132" s="41" t="s">
        <v>64</v>
      </c>
      <c r="G132" s="4">
        <v>10</v>
      </c>
      <c r="H132" s="28">
        <f>C132+G132</f>
        <v>2023</v>
      </c>
      <c r="K132" s="10">
        <v>6157</v>
      </c>
      <c r="L132" s="11">
        <v>6460</v>
      </c>
      <c r="N132" s="11">
        <f>L132-L132*E132</f>
        <v>6460</v>
      </c>
      <c r="O132" s="3">
        <f t="shared" si="15"/>
        <v>53.833333333333336</v>
      </c>
      <c r="P132" s="32">
        <f t="shared" si="16"/>
        <v>646</v>
      </c>
      <c r="Q132" s="3">
        <f t="shared" si="17"/>
        <v>0</v>
      </c>
      <c r="R132" s="33">
        <f t="shared" si="18"/>
        <v>646</v>
      </c>
      <c r="S132" s="34">
        <v>1</v>
      </c>
      <c r="T132" s="33">
        <f t="shared" si="19"/>
        <v>646</v>
      </c>
      <c r="U132" s="32">
        <f t="shared" si="20"/>
        <v>1507.3333333332844</v>
      </c>
      <c r="V132" s="33">
        <f t="shared" si="21"/>
        <v>1507.3333333332844</v>
      </c>
      <c r="W132" s="34">
        <v>1</v>
      </c>
      <c r="X132" s="33">
        <f t="shared" si="22"/>
        <v>1507.3333333332844</v>
      </c>
      <c r="Y132" s="32">
        <f t="shared" si="23"/>
        <v>2153.3333333332844</v>
      </c>
      <c r="Z132" s="33">
        <f t="shared" si="24"/>
        <v>4629.6666666667152</v>
      </c>
      <c r="AA132" s="4">
        <f t="shared" si="25"/>
        <v>2013.9166666666667</v>
      </c>
      <c r="AB132" s="3">
        <f t="shared" si="26"/>
        <v>2017.25</v>
      </c>
      <c r="AC132" s="35">
        <f>$H132+(($D132-1)/12)</f>
        <v>2023.9166666666667</v>
      </c>
      <c r="AD132" s="4">
        <f t="shared" si="27"/>
        <v>2016.25</v>
      </c>
      <c r="AE132" s="3">
        <f t="shared" si="28"/>
        <v>-8.3333333333333329E-2</v>
      </c>
    </row>
    <row r="133" spans="1:31" x14ac:dyDescent="0.25">
      <c r="A133" s="45" t="s">
        <v>223</v>
      </c>
      <c r="B133" s="3" t="s">
        <v>199</v>
      </c>
      <c r="C133" s="44">
        <v>2013</v>
      </c>
      <c r="D133" s="38">
        <v>12</v>
      </c>
      <c r="E133" s="29">
        <v>0</v>
      </c>
      <c r="F133" s="41" t="s">
        <v>64</v>
      </c>
      <c r="G133" s="4">
        <v>10</v>
      </c>
      <c r="H133" s="28">
        <f>C133+G133</f>
        <v>2023</v>
      </c>
      <c r="K133" s="10">
        <v>6157</v>
      </c>
      <c r="L133" s="11">
        <v>5882</v>
      </c>
      <c r="N133" s="11">
        <f>L133-L133*E133</f>
        <v>5882</v>
      </c>
      <c r="O133" s="3">
        <f t="shared" si="15"/>
        <v>49.016666666666673</v>
      </c>
      <c r="P133" s="32">
        <f t="shared" si="16"/>
        <v>588.20000000000005</v>
      </c>
      <c r="Q133" s="3">
        <f t="shared" si="17"/>
        <v>0</v>
      </c>
      <c r="R133" s="33">
        <f t="shared" si="18"/>
        <v>588.20000000000005</v>
      </c>
      <c r="S133" s="34">
        <v>1</v>
      </c>
      <c r="T133" s="33">
        <f t="shared" si="19"/>
        <v>588.20000000000005</v>
      </c>
      <c r="U133" s="32">
        <f t="shared" si="20"/>
        <v>1372.4666666666224</v>
      </c>
      <c r="V133" s="33">
        <f t="shared" si="21"/>
        <v>1372.4666666666224</v>
      </c>
      <c r="W133" s="34">
        <v>1</v>
      </c>
      <c r="X133" s="33">
        <f t="shared" si="22"/>
        <v>1372.4666666666224</v>
      </c>
      <c r="Y133" s="32">
        <f t="shared" si="23"/>
        <v>1960.6666666666224</v>
      </c>
      <c r="Z133" s="33">
        <f t="shared" si="24"/>
        <v>4215.433333333378</v>
      </c>
      <c r="AA133" s="4">
        <f t="shared" si="25"/>
        <v>2013.9166666666667</v>
      </c>
      <c r="AB133" s="3">
        <f t="shared" si="26"/>
        <v>2017.25</v>
      </c>
      <c r="AC133" s="35">
        <f>$H133+(($D133-1)/12)</f>
        <v>2023.9166666666667</v>
      </c>
      <c r="AD133" s="4">
        <f t="shared" si="27"/>
        <v>2016.25</v>
      </c>
      <c r="AE133" s="3">
        <f t="shared" si="28"/>
        <v>-8.3333333333333329E-2</v>
      </c>
    </row>
    <row r="134" spans="1:31" x14ac:dyDescent="0.25">
      <c r="A134" s="45" t="s">
        <v>224</v>
      </c>
      <c r="B134" s="3" t="s">
        <v>225</v>
      </c>
      <c r="C134" s="44">
        <v>2013</v>
      </c>
      <c r="D134" s="38">
        <v>12</v>
      </c>
      <c r="E134" s="29">
        <v>0</v>
      </c>
      <c r="F134" s="41" t="s">
        <v>64</v>
      </c>
      <c r="G134" s="4">
        <v>10</v>
      </c>
      <c r="H134" s="28">
        <f>C134+G134</f>
        <v>2023</v>
      </c>
      <c r="K134" s="10">
        <v>6157</v>
      </c>
      <c r="L134" s="11">
        <v>6631</v>
      </c>
      <c r="N134" s="11">
        <f>L134-L134*E134</f>
        <v>6631</v>
      </c>
      <c r="O134" s="3">
        <f t="shared" si="15"/>
        <v>55.258333333333333</v>
      </c>
      <c r="P134" s="32">
        <f t="shared" si="16"/>
        <v>663.1</v>
      </c>
      <c r="Q134" s="3">
        <f t="shared" si="17"/>
        <v>0</v>
      </c>
      <c r="R134" s="33">
        <f t="shared" si="18"/>
        <v>663.1</v>
      </c>
      <c r="S134" s="34">
        <v>1</v>
      </c>
      <c r="T134" s="33">
        <f t="shared" si="19"/>
        <v>663.1</v>
      </c>
      <c r="U134" s="32">
        <f t="shared" si="20"/>
        <v>1547.2333333332831</v>
      </c>
      <c r="V134" s="33">
        <f t="shared" si="21"/>
        <v>1547.2333333332831</v>
      </c>
      <c r="W134" s="34">
        <v>1</v>
      </c>
      <c r="X134" s="33">
        <f t="shared" si="22"/>
        <v>1547.2333333332831</v>
      </c>
      <c r="Y134" s="32">
        <f t="shared" si="23"/>
        <v>2210.333333333283</v>
      </c>
      <c r="Z134" s="33">
        <f t="shared" si="24"/>
        <v>4752.2166666667172</v>
      </c>
      <c r="AA134" s="4">
        <f t="shared" si="25"/>
        <v>2013.9166666666667</v>
      </c>
      <c r="AB134" s="3">
        <f t="shared" si="26"/>
        <v>2017.25</v>
      </c>
      <c r="AC134" s="35">
        <f>$H134+(($D134-1)/12)</f>
        <v>2023.9166666666667</v>
      </c>
      <c r="AD134" s="4">
        <f t="shared" si="27"/>
        <v>2016.25</v>
      </c>
      <c r="AE134" s="3">
        <f t="shared" si="28"/>
        <v>-8.3333333333333329E-2</v>
      </c>
    </row>
    <row r="135" spans="1:31" x14ac:dyDescent="0.25">
      <c r="A135" s="45" t="s">
        <v>226</v>
      </c>
      <c r="B135" s="3" t="s">
        <v>227</v>
      </c>
      <c r="C135" s="44">
        <v>2013</v>
      </c>
      <c r="D135" s="38">
        <v>12</v>
      </c>
      <c r="E135" s="29">
        <v>0</v>
      </c>
      <c r="F135" s="41" t="s">
        <v>64</v>
      </c>
      <c r="G135" s="4">
        <v>10</v>
      </c>
      <c r="H135" s="28">
        <f>C135+G135</f>
        <v>2023</v>
      </c>
      <c r="K135" s="10">
        <v>6157</v>
      </c>
      <c r="L135" s="11">
        <v>6119</v>
      </c>
      <c r="N135" s="11">
        <f>L135-L135*E135</f>
        <v>6119</v>
      </c>
      <c r="O135" s="3">
        <f t="shared" si="15"/>
        <v>50.991666666666667</v>
      </c>
      <c r="P135" s="32">
        <f t="shared" si="16"/>
        <v>611.9</v>
      </c>
      <c r="Q135" s="3">
        <f t="shared" si="17"/>
        <v>0</v>
      </c>
      <c r="R135" s="33">
        <f t="shared" si="18"/>
        <v>611.9</v>
      </c>
      <c r="S135" s="34">
        <v>1</v>
      </c>
      <c r="T135" s="33">
        <f t="shared" si="19"/>
        <v>611.9</v>
      </c>
      <c r="U135" s="32">
        <f t="shared" si="20"/>
        <v>1427.7666666666203</v>
      </c>
      <c r="V135" s="33">
        <f t="shared" si="21"/>
        <v>1427.7666666666203</v>
      </c>
      <c r="W135" s="34">
        <v>1</v>
      </c>
      <c r="X135" s="33">
        <f t="shared" si="22"/>
        <v>1427.7666666666203</v>
      </c>
      <c r="Y135" s="32">
        <f t="shared" si="23"/>
        <v>2039.6666666666201</v>
      </c>
      <c r="Z135" s="33">
        <f t="shared" si="24"/>
        <v>4385.2833333333801</v>
      </c>
      <c r="AA135" s="4">
        <f t="shared" si="25"/>
        <v>2013.9166666666667</v>
      </c>
      <c r="AB135" s="3">
        <f t="shared" si="26"/>
        <v>2017.25</v>
      </c>
      <c r="AC135" s="35">
        <f>$H135+(($D135-1)/12)</f>
        <v>2023.9166666666667</v>
      </c>
      <c r="AD135" s="4">
        <f t="shared" si="27"/>
        <v>2016.25</v>
      </c>
      <c r="AE135" s="3">
        <f t="shared" si="28"/>
        <v>-8.3333333333333329E-2</v>
      </c>
    </row>
    <row r="136" spans="1:31" x14ac:dyDescent="0.25">
      <c r="A136" s="43" t="s">
        <v>228</v>
      </c>
      <c r="B136" s="3" t="s">
        <v>221</v>
      </c>
      <c r="C136" s="44">
        <v>2014</v>
      </c>
      <c r="D136" s="38">
        <v>10</v>
      </c>
      <c r="E136" s="29">
        <v>0</v>
      </c>
      <c r="F136" s="41" t="s">
        <v>64</v>
      </c>
      <c r="G136" s="4">
        <v>10</v>
      </c>
      <c r="H136" s="28">
        <f>C136+G136</f>
        <v>2024</v>
      </c>
      <c r="K136" s="10">
        <v>7500</v>
      </c>
      <c r="L136" s="11">
        <v>5188</v>
      </c>
      <c r="N136" s="11">
        <v>1170</v>
      </c>
      <c r="O136" s="3">
        <f t="shared" si="15"/>
        <v>9.75</v>
      </c>
      <c r="P136" s="32">
        <f t="shared" si="16"/>
        <v>117</v>
      </c>
      <c r="Q136" s="3">
        <f t="shared" si="17"/>
        <v>0</v>
      </c>
      <c r="R136" s="33">
        <f t="shared" si="18"/>
        <v>117</v>
      </c>
      <c r="S136" s="34">
        <v>1</v>
      </c>
      <c r="T136" s="33">
        <f t="shared" si="19"/>
        <v>117</v>
      </c>
      <c r="U136" s="32">
        <f t="shared" si="20"/>
        <v>175.5</v>
      </c>
      <c r="V136" s="33">
        <f t="shared" si="21"/>
        <v>175.5</v>
      </c>
      <c r="W136" s="34">
        <v>1</v>
      </c>
      <c r="X136" s="33">
        <f t="shared" si="22"/>
        <v>175.5</v>
      </c>
      <c r="Y136" s="32">
        <f t="shared" si="23"/>
        <v>292.5</v>
      </c>
      <c r="Z136" s="33">
        <f t="shared" si="24"/>
        <v>4954</v>
      </c>
      <c r="AA136" s="4">
        <f t="shared" si="25"/>
        <v>2014.75</v>
      </c>
      <c r="AB136" s="3">
        <f t="shared" si="26"/>
        <v>2017.25</v>
      </c>
      <c r="AC136" s="35">
        <f>$H136+(($D136-1)/12)</f>
        <v>2024.75</v>
      </c>
      <c r="AD136" s="4">
        <f t="shared" si="27"/>
        <v>2016.25</v>
      </c>
      <c r="AE136" s="3">
        <f t="shared" si="28"/>
        <v>-8.3333333333333329E-2</v>
      </c>
    </row>
    <row r="137" spans="1:31" x14ac:dyDescent="0.25">
      <c r="A137" s="43" t="s">
        <v>229</v>
      </c>
      <c r="B137" s="3" t="s">
        <v>230</v>
      </c>
      <c r="C137" s="44">
        <v>2014</v>
      </c>
      <c r="D137" s="38">
        <v>4</v>
      </c>
      <c r="E137" s="29">
        <v>0</v>
      </c>
      <c r="F137" s="41" t="s">
        <v>64</v>
      </c>
      <c r="G137" s="4">
        <v>10</v>
      </c>
      <c r="H137" s="28">
        <f>C137+G137</f>
        <v>2024</v>
      </c>
      <c r="K137" s="10">
        <v>7500</v>
      </c>
      <c r="L137" s="11">
        <v>4830</v>
      </c>
      <c r="N137" s="11">
        <f>L137-L137*E137</f>
        <v>4830</v>
      </c>
      <c r="O137" s="3">
        <f t="shared" si="15"/>
        <v>40.25</v>
      </c>
      <c r="P137" s="32">
        <f t="shared" si="16"/>
        <v>483</v>
      </c>
      <c r="Q137" s="3">
        <f t="shared" si="17"/>
        <v>0</v>
      </c>
      <c r="R137" s="33">
        <f t="shared" si="18"/>
        <v>483</v>
      </c>
      <c r="S137" s="34">
        <v>1</v>
      </c>
      <c r="T137" s="33">
        <f t="shared" si="19"/>
        <v>483</v>
      </c>
      <c r="U137" s="32">
        <f t="shared" si="20"/>
        <v>966</v>
      </c>
      <c r="V137" s="33">
        <f t="shared" si="21"/>
        <v>966</v>
      </c>
      <c r="W137" s="34">
        <v>1</v>
      </c>
      <c r="X137" s="33">
        <f t="shared" si="22"/>
        <v>966</v>
      </c>
      <c r="Y137" s="32">
        <f t="shared" si="23"/>
        <v>1449</v>
      </c>
      <c r="Z137" s="33">
        <f t="shared" si="24"/>
        <v>3622.5</v>
      </c>
      <c r="AA137" s="4">
        <f t="shared" si="25"/>
        <v>2014.25</v>
      </c>
      <c r="AB137" s="3">
        <f t="shared" si="26"/>
        <v>2017.25</v>
      </c>
      <c r="AC137" s="35">
        <f>$H137+(($D137-1)/12)</f>
        <v>2024.25</v>
      </c>
      <c r="AD137" s="4">
        <f t="shared" si="27"/>
        <v>2016.25</v>
      </c>
      <c r="AE137" s="3">
        <f t="shared" si="28"/>
        <v>-8.3333333333333329E-2</v>
      </c>
    </row>
    <row r="138" spans="1:31" x14ac:dyDescent="0.25">
      <c r="A138" s="43" t="s">
        <v>231</v>
      </c>
      <c r="B138" s="3" t="s">
        <v>232</v>
      </c>
      <c r="C138" s="44">
        <v>2014</v>
      </c>
      <c r="D138" s="38">
        <v>4</v>
      </c>
      <c r="E138" s="29">
        <v>0</v>
      </c>
      <c r="F138" s="41" t="s">
        <v>64</v>
      </c>
      <c r="G138" s="4">
        <v>10</v>
      </c>
      <c r="H138" s="28">
        <f>C138+G138</f>
        <v>2024</v>
      </c>
      <c r="K138" s="10">
        <v>7500</v>
      </c>
      <c r="L138" s="11">
        <v>3300</v>
      </c>
      <c r="N138" s="11">
        <f>L138-L138*E138</f>
        <v>3300</v>
      </c>
      <c r="O138" s="3">
        <f t="shared" si="15"/>
        <v>27.5</v>
      </c>
      <c r="P138" s="32">
        <f t="shared" si="16"/>
        <v>330</v>
      </c>
      <c r="Q138" s="3">
        <f t="shared" si="17"/>
        <v>0</v>
      </c>
      <c r="R138" s="33">
        <f t="shared" si="18"/>
        <v>330</v>
      </c>
      <c r="S138" s="34">
        <v>1</v>
      </c>
      <c r="T138" s="33">
        <f t="shared" si="19"/>
        <v>330</v>
      </c>
      <c r="U138" s="32">
        <f t="shared" si="20"/>
        <v>660</v>
      </c>
      <c r="V138" s="33">
        <f t="shared" si="21"/>
        <v>660</v>
      </c>
      <c r="W138" s="34">
        <v>1</v>
      </c>
      <c r="X138" s="33">
        <f t="shared" si="22"/>
        <v>660</v>
      </c>
      <c r="Y138" s="32">
        <f t="shared" si="23"/>
        <v>990</v>
      </c>
      <c r="Z138" s="33">
        <f t="shared" si="24"/>
        <v>2475</v>
      </c>
      <c r="AA138" s="4">
        <f t="shared" si="25"/>
        <v>2014.25</v>
      </c>
      <c r="AB138" s="3">
        <f t="shared" si="26"/>
        <v>2017.25</v>
      </c>
      <c r="AC138" s="35">
        <f>$H138+(($D138-1)/12)</f>
        <v>2024.25</v>
      </c>
      <c r="AD138" s="4">
        <f t="shared" si="27"/>
        <v>2016.25</v>
      </c>
      <c r="AE138" s="3">
        <f t="shared" si="28"/>
        <v>-8.3333333333333329E-2</v>
      </c>
    </row>
    <row r="139" spans="1:31" x14ac:dyDescent="0.25">
      <c r="A139" s="43" t="s">
        <v>233</v>
      </c>
      <c r="B139" s="3" t="s">
        <v>234</v>
      </c>
      <c r="C139" s="44">
        <v>2014</v>
      </c>
      <c r="D139" s="38">
        <v>4</v>
      </c>
      <c r="E139" s="29">
        <v>0</v>
      </c>
      <c r="F139" s="41" t="s">
        <v>64</v>
      </c>
      <c r="G139" s="4">
        <v>10</v>
      </c>
      <c r="H139" s="28">
        <f>C139+G139</f>
        <v>2024</v>
      </c>
      <c r="K139" s="10">
        <v>7500</v>
      </c>
      <c r="L139" s="11">
        <v>4246</v>
      </c>
      <c r="N139" s="11">
        <f>L139-L139*E139</f>
        <v>4246</v>
      </c>
      <c r="O139" s="3">
        <f t="shared" si="15"/>
        <v>35.383333333333333</v>
      </c>
      <c r="P139" s="32">
        <f t="shared" si="16"/>
        <v>424.6</v>
      </c>
      <c r="Q139" s="3">
        <f t="shared" si="17"/>
        <v>0</v>
      </c>
      <c r="R139" s="33">
        <f t="shared" si="18"/>
        <v>424.6</v>
      </c>
      <c r="S139" s="34">
        <v>1</v>
      </c>
      <c r="T139" s="33">
        <f t="shared" si="19"/>
        <v>424.6</v>
      </c>
      <c r="U139" s="32">
        <f t="shared" si="20"/>
        <v>849.2</v>
      </c>
      <c r="V139" s="33">
        <f t="shared" si="21"/>
        <v>849.2</v>
      </c>
      <c r="W139" s="34">
        <v>1</v>
      </c>
      <c r="X139" s="33">
        <f t="shared" si="22"/>
        <v>849.2</v>
      </c>
      <c r="Y139" s="32">
        <f t="shared" si="23"/>
        <v>1273.8000000000002</v>
      </c>
      <c r="Z139" s="33">
        <f t="shared" si="24"/>
        <v>3184.5</v>
      </c>
      <c r="AA139" s="4">
        <f t="shared" si="25"/>
        <v>2014.25</v>
      </c>
      <c r="AB139" s="3">
        <f t="shared" si="26"/>
        <v>2017.25</v>
      </c>
      <c r="AC139" s="35">
        <f>$H139+(($D139-1)/12)</f>
        <v>2024.25</v>
      </c>
      <c r="AD139" s="4">
        <f t="shared" si="27"/>
        <v>2016.25</v>
      </c>
      <c r="AE139" s="3">
        <f t="shared" si="28"/>
        <v>-8.3333333333333329E-2</v>
      </c>
    </row>
    <row r="140" spans="1:31" x14ac:dyDescent="0.25">
      <c r="A140" s="45" t="s">
        <v>235</v>
      </c>
      <c r="B140" s="3" t="s">
        <v>225</v>
      </c>
      <c r="C140" s="44">
        <v>2014</v>
      </c>
      <c r="D140" s="38">
        <v>4</v>
      </c>
      <c r="E140" s="29">
        <v>0</v>
      </c>
      <c r="F140" s="41" t="s">
        <v>64</v>
      </c>
      <c r="G140" s="4">
        <v>10</v>
      </c>
      <c r="H140" s="28">
        <f>C140+G140</f>
        <v>2024</v>
      </c>
      <c r="K140" s="10">
        <v>6157</v>
      </c>
      <c r="L140" s="11">
        <v>6631</v>
      </c>
      <c r="N140" s="11">
        <f>L140-L140*E140</f>
        <v>6631</v>
      </c>
      <c r="O140" s="3">
        <f t="shared" si="15"/>
        <v>55.258333333333333</v>
      </c>
      <c r="P140" s="32">
        <f t="shared" si="16"/>
        <v>663.1</v>
      </c>
      <c r="Q140" s="3">
        <f t="shared" si="17"/>
        <v>0</v>
      </c>
      <c r="R140" s="33">
        <f t="shared" si="18"/>
        <v>663.1</v>
      </c>
      <c r="S140" s="34">
        <v>1</v>
      </c>
      <c r="T140" s="33">
        <f t="shared" si="19"/>
        <v>663.1</v>
      </c>
      <c r="U140" s="32">
        <f t="shared" si="20"/>
        <v>1326.2</v>
      </c>
      <c r="V140" s="33">
        <f t="shared" si="21"/>
        <v>1326.2</v>
      </c>
      <c r="W140" s="34">
        <v>1</v>
      </c>
      <c r="X140" s="33">
        <f t="shared" si="22"/>
        <v>1326.2</v>
      </c>
      <c r="Y140" s="32">
        <f t="shared" si="23"/>
        <v>1989.3000000000002</v>
      </c>
      <c r="Z140" s="33">
        <f t="shared" si="24"/>
        <v>4973.25</v>
      </c>
      <c r="AA140" s="4">
        <f t="shared" si="25"/>
        <v>2014.25</v>
      </c>
      <c r="AB140" s="3">
        <f t="shared" si="26"/>
        <v>2017.25</v>
      </c>
      <c r="AC140" s="35">
        <f>$H140+(($D140-1)/12)</f>
        <v>2024.25</v>
      </c>
      <c r="AD140" s="4">
        <f t="shared" si="27"/>
        <v>2016.25</v>
      </c>
      <c r="AE140" s="3">
        <f t="shared" si="28"/>
        <v>-8.3333333333333329E-2</v>
      </c>
    </row>
    <row r="141" spans="1:31" x14ac:dyDescent="0.25">
      <c r="A141" s="45" t="s">
        <v>236</v>
      </c>
      <c r="B141" s="3" t="s">
        <v>225</v>
      </c>
      <c r="C141" s="44">
        <v>2014</v>
      </c>
      <c r="D141" s="38">
        <v>4</v>
      </c>
      <c r="E141" s="29">
        <v>0</v>
      </c>
      <c r="F141" s="41" t="s">
        <v>64</v>
      </c>
      <c r="G141" s="4">
        <v>10</v>
      </c>
      <c r="H141" s="28">
        <f>C141+G141</f>
        <v>2024</v>
      </c>
      <c r="K141" s="10">
        <v>6157</v>
      </c>
      <c r="L141" s="11">
        <v>6631</v>
      </c>
      <c r="N141" s="11">
        <f>L141-L141*E141</f>
        <v>6631</v>
      </c>
      <c r="O141" s="3">
        <f t="shared" ref="O141:O172" si="29">N141/G141/12</f>
        <v>55.258333333333333</v>
      </c>
      <c r="P141" s="32">
        <f t="shared" ref="P141:P172" si="30">IF(M141&gt;0,0,IF(OR(AA141&gt;AB141,AC141&lt;AD141),0,IF(AND(AC141&gt;=AD141,AC141&lt;=AB141),O141*((AC141-AD141)*12),IF(AND(AD141&lt;=AA141,AB141&gt;=AA141),((AB141-AA141)*12)*O141,IF(AC141&gt;AB141,12*O141,0)))))</f>
        <v>663.1</v>
      </c>
      <c r="Q141" s="3">
        <f t="shared" ref="Q141:Q176" si="31">IF(M141=0,0,IF(AND(AE141&gt;=AD141,AE141&lt;=AC141),((AE141-AD141)*12)*O141,0))</f>
        <v>0</v>
      </c>
      <c r="R141" s="33">
        <f t="shared" ref="R141:R172" si="32">IF(Q141&gt;0,Q141,P141)</f>
        <v>663.1</v>
      </c>
      <c r="S141" s="34">
        <v>1</v>
      </c>
      <c r="T141" s="33">
        <f t="shared" ref="T141:T172" si="33">S141*R141</f>
        <v>663.1</v>
      </c>
      <c r="U141" s="32">
        <f t="shared" ref="U141:U176" si="34">IF(AA141&gt;AB141,0,IF(AC141&lt;AD141,N141,IF(AND(AC141&gt;=AD141,AC141&lt;=AB141),(N141-R141),IF(AND(AD141&lt;=AA141,AB141&gt;=AA141),0,IF(AC141&gt;AB141,((AD141-AA141)*12)*O141,0)))))</f>
        <v>1326.2</v>
      </c>
      <c r="V141" s="33">
        <f t="shared" ref="V141:V172" si="35">U141*S141</f>
        <v>1326.2</v>
      </c>
      <c r="W141" s="34">
        <v>1</v>
      </c>
      <c r="X141" s="33">
        <f t="shared" ref="X141:X172" si="36">V141*W141</f>
        <v>1326.2</v>
      </c>
      <c r="Y141" s="32">
        <f t="shared" ref="Y141:Y172" si="37">IF(M141&gt;0,0,X141+T141*W141)*W141</f>
        <v>1989.3000000000002</v>
      </c>
      <c r="Z141" s="33">
        <f t="shared" ref="Z141:Z172" si="38">IF(M141&gt;0,(L141-X141)/2,IF(AA141&gt;=AD141,(((L141*S141)*W141)-Y141)/2,((((L141*S141)*W141)-X141)+(((L141*S141)*W141)-Y141))/2))</f>
        <v>4973.25</v>
      </c>
      <c r="AA141" s="4">
        <f t="shared" ref="AA141:AA176" si="39">$C141+(($D141-1)/12)</f>
        <v>2014.25</v>
      </c>
      <c r="AB141" s="3">
        <f t="shared" ref="AB141:AB176" si="40">($N$5+1)-($N$2/12)</f>
        <v>2017.25</v>
      </c>
      <c r="AC141" s="35">
        <f>$H141+(($D141-1)/12)</f>
        <v>2024.25</v>
      </c>
      <c r="AD141" s="4">
        <f t="shared" ref="AD141:AD176" si="41">$N$4+($N$3/12)</f>
        <v>2016.25</v>
      </c>
      <c r="AE141" s="3">
        <f t="shared" ref="AE141:AE176" si="42">$I141+(($J141-1)/12)</f>
        <v>-8.3333333333333329E-2</v>
      </c>
    </row>
    <row r="142" spans="1:31" x14ac:dyDescent="0.25">
      <c r="A142" s="45" t="s">
        <v>237</v>
      </c>
      <c r="B142" s="3" t="s">
        <v>205</v>
      </c>
      <c r="C142" s="44">
        <v>2014</v>
      </c>
      <c r="D142" s="38">
        <v>6</v>
      </c>
      <c r="E142" s="29">
        <v>0</v>
      </c>
      <c r="F142" s="41" t="s">
        <v>64</v>
      </c>
      <c r="G142" s="4">
        <v>10</v>
      </c>
      <c r="H142" s="28">
        <f>C142+G142</f>
        <v>2024</v>
      </c>
      <c r="K142" s="10">
        <v>6157</v>
      </c>
      <c r="L142" s="11">
        <v>6789</v>
      </c>
      <c r="N142" s="11">
        <f>L142-L142*E142</f>
        <v>6789</v>
      </c>
      <c r="O142" s="3">
        <f t="shared" si="29"/>
        <v>56.574999999999996</v>
      </c>
      <c r="P142" s="32">
        <f t="shared" si="30"/>
        <v>678.9</v>
      </c>
      <c r="Q142" s="3">
        <f t="shared" si="31"/>
        <v>0</v>
      </c>
      <c r="R142" s="33">
        <f t="shared" si="32"/>
        <v>678.9</v>
      </c>
      <c r="S142" s="34">
        <v>1</v>
      </c>
      <c r="T142" s="33">
        <f t="shared" si="33"/>
        <v>678.9</v>
      </c>
      <c r="U142" s="32">
        <f t="shared" si="34"/>
        <v>1244.6499999999485</v>
      </c>
      <c r="V142" s="33">
        <f t="shared" si="35"/>
        <v>1244.6499999999485</v>
      </c>
      <c r="W142" s="34">
        <v>1</v>
      </c>
      <c r="X142" s="33">
        <f t="shared" si="36"/>
        <v>1244.6499999999485</v>
      </c>
      <c r="Y142" s="32">
        <f t="shared" si="37"/>
        <v>1923.5499999999483</v>
      </c>
      <c r="Z142" s="33">
        <f t="shared" si="38"/>
        <v>5204.9000000000515</v>
      </c>
      <c r="AA142" s="4">
        <f t="shared" si="39"/>
        <v>2014.4166666666667</v>
      </c>
      <c r="AB142" s="3">
        <f t="shared" si="40"/>
        <v>2017.25</v>
      </c>
      <c r="AC142" s="35">
        <f>$H142+(($D142-1)/12)</f>
        <v>2024.4166666666667</v>
      </c>
      <c r="AD142" s="4">
        <f t="shared" si="41"/>
        <v>2016.25</v>
      </c>
      <c r="AE142" s="3">
        <f t="shared" si="42"/>
        <v>-8.3333333333333329E-2</v>
      </c>
    </row>
    <row r="143" spans="1:31" x14ac:dyDescent="0.25">
      <c r="A143" s="45" t="s">
        <v>238</v>
      </c>
      <c r="B143" s="3" t="s">
        <v>239</v>
      </c>
      <c r="C143" s="44">
        <v>2014</v>
      </c>
      <c r="D143" s="38">
        <v>6</v>
      </c>
      <c r="E143" s="29">
        <v>0</v>
      </c>
      <c r="F143" s="41" t="s">
        <v>64</v>
      </c>
      <c r="G143" s="4">
        <v>10</v>
      </c>
      <c r="H143" s="28">
        <f>C143+G143</f>
        <v>2024</v>
      </c>
      <c r="K143" s="10">
        <v>6157</v>
      </c>
      <c r="L143" s="11">
        <v>30851</v>
      </c>
      <c r="N143" s="11">
        <f>L143-L143*E143</f>
        <v>30851</v>
      </c>
      <c r="O143" s="3">
        <f t="shared" si="29"/>
        <v>257.09166666666664</v>
      </c>
      <c r="P143" s="32">
        <f t="shared" si="30"/>
        <v>3085.0999999999995</v>
      </c>
      <c r="Q143" s="3">
        <f t="shared" si="31"/>
        <v>0</v>
      </c>
      <c r="R143" s="33">
        <f t="shared" si="32"/>
        <v>3085.0999999999995</v>
      </c>
      <c r="S143" s="34">
        <v>1</v>
      </c>
      <c r="T143" s="33">
        <f t="shared" si="33"/>
        <v>3085.0999999999995</v>
      </c>
      <c r="U143" s="32">
        <f t="shared" si="34"/>
        <v>5656.0166666664327</v>
      </c>
      <c r="V143" s="33">
        <f t="shared" si="35"/>
        <v>5656.0166666664327</v>
      </c>
      <c r="W143" s="34">
        <v>1</v>
      </c>
      <c r="X143" s="33">
        <f t="shared" si="36"/>
        <v>5656.0166666664327</v>
      </c>
      <c r="Y143" s="32">
        <f t="shared" si="37"/>
        <v>8741.1166666664321</v>
      </c>
      <c r="Z143" s="33">
        <f t="shared" si="38"/>
        <v>23652.433333333567</v>
      </c>
      <c r="AA143" s="4">
        <f t="shared" si="39"/>
        <v>2014.4166666666667</v>
      </c>
      <c r="AB143" s="3">
        <f t="shared" si="40"/>
        <v>2017.25</v>
      </c>
      <c r="AC143" s="35">
        <f>$H143+(($D143-1)/12)</f>
        <v>2024.4166666666667</v>
      </c>
      <c r="AD143" s="4">
        <f t="shared" si="41"/>
        <v>2016.25</v>
      </c>
      <c r="AE143" s="3">
        <f t="shared" si="42"/>
        <v>-8.3333333333333329E-2</v>
      </c>
    </row>
    <row r="144" spans="1:31" x14ac:dyDescent="0.25">
      <c r="A144" s="45" t="s">
        <v>240</v>
      </c>
      <c r="B144" s="3" t="s">
        <v>227</v>
      </c>
      <c r="C144" s="44">
        <v>2014</v>
      </c>
      <c r="D144" s="38">
        <v>8</v>
      </c>
      <c r="E144" s="29">
        <v>0</v>
      </c>
      <c r="F144" s="41" t="s">
        <v>64</v>
      </c>
      <c r="G144" s="4">
        <v>10</v>
      </c>
      <c r="H144" s="28">
        <f>C144+G144</f>
        <v>2024</v>
      </c>
      <c r="K144" s="10">
        <v>6157</v>
      </c>
      <c r="L144" s="11">
        <v>7530</v>
      </c>
      <c r="N144" s="11">
        <f>L144-L144*E144</f>
        <v>7530</v>
      </c>
      <c r="O144" s="3">
        <f t="shared" si="29"/>
        <v>62.75</v>
      </c>
      <c r="P144" s="32">
        <f t="shared" si="30"/>
        <v>753</v>
      </c>
      <c r="Q144" s="3">
        <f t="shared" si="31"/>
        <v>0</v>
      </c>
      <c r="R144" s="33">
        <f t="shared" si="32"/>
        <v>753</v>
      </c>
      <c r="S144" s="34">
        <v>1</v>
      </c>
      <c r="T144" s="33">
        <f t="shared" si="33"/>
        <v>753</v>
      </c>
      <c r="U144" s="32">
        <f t="shared" si="34"/>
        <v>1255.0000000000571</v>
      </c>
      <c r="V144" s="33">
        <f t="shared" si="35"/>
        <v>1255.0000000000571</v>
      </c>
      <c r="W144" s="34">
        <v>1</v>
      </c>
      <c r="X144" s="33">
        <f t="shared" si="36"/>
        <v>1255.0000000000571</v>
      </c>
      <c r="Y144" s="32">
        <f t="shared" si="37"/>
        <v>2008.0000000000571</v>
      </c>
      <c r="Z144" s="33">
        <f t="shared" si="38"/>
        <v>5898.4999999999427</v>
      </c>
      <c r="AA144" s="4">
        <f t="shared" si="39"/>
        <v>2014.5833333333333</v>
      </c>
      <c r="AB144" s="3">
        <f t="shared" si="40"/>
        <v>2017.25</v>
      </c>
      <c r="AC144" s="35">
        <f>$H144+(($D144-1)/12)</f>
        <v>2024.5833333333333</v>
      </c>
      <c r="AD144" s="4">
        <f t="shared" si="41"/>
        <v>2016.25</v>
      </c>
      <c r="AE144" s="3">
        <f t="shared" si="42"/>
        <v>-8.3333333333333329E-2</v>
      </c>
    </row>
    <row r="145" spans="1:31" x14ac:dyDescent="0.25">
      <c r="A145" s="45" t="s">
        <v>241</v>
      </c>
      <c r="B145" s="3" t="s">
        <v>225</v>
      </c>
      <c r="C145" s="44">
        <v>2014</v>
      </c>
      <c r="D145" s="38">
        <v>8</v>
      </c>
      <c r="E145" s="29">
        <v>0</v>
      </c>
      <c r="F145" s="41" t="s">
        <v>64</v>
      </c>
      <c r="G145" s="4">
        <v>10</v>
      </c>
      <c r="H145" s="28">
        <f>C145+G145</f>
        <v>2024</v>
      </c>
      <c r="K145" s="10">
        <v>6157</v>
      </c>
      <c r="L145" s="11">
        <v>6835</v>
      </c>
      <c r="N145" s="11">
        <f>L145-L145*E145</f>
        <v>6835</v>
      </c>
      <c r="O145" s="3">
        <f t="shared" si="29"/>
        <v>56.958333333333336</v>
      </c>
      <c r="P145" s="32">
        <f t="shared" si="30"/>
        <v>683.5</v>
      </c>
      <c r="Q145" s="3">
        <f t="shared" si="31"/>
        <v>0</v>
      </c>
      <c r="R145" s="33">
        <f t="shared" si="32"/>
        <v>683.5</v>
      </c>
      <c r="S145" s="34">
        <v>1</v>
      </c>
      <c r="T145" s="33">
        <f t="shared" si="33"/>
        <v>683.5</v>
      </c>
      <c r="U145" s="32">
        <f t="shared" si="34"/>
        <v>1139.1666666667186</v>
      </c>
      <c r="V145" s="33">
        <f t="shared" si="35"/>
        <v>1139.1666666667186</v>
      </c>
      <c r="W145" s="34">
        <v>1</v>
      </c>
      <c r="X145" s="33">
        <f t="shared" si="36"/>
        <v>1139.1666666667186</v>
      </c>
      <c r="Y145" s="32">
        <f t="shared" si="37"/>
        <v>1822.6666666667186</v>
      </c>
      <c r="Z145" s="33">
        <f t="shared" si="38"/>
        <v>5354.0833333332812</v>
      </c>
      <c r="AA145" s="4">
        <f t="shared" si="39"/>
        <v>2014.5833333333333</v>
      </c>
      <c r="AB145" s="3">
        <f t="shared" si="40"/>
        <v>2017.25</v>
      </c>
      <c r="AC145" s="35">
        <f>$H145+(($D145-1)/12)</f>
        <v>2024.5833333333333</v>
      </c>
      <c r="AD145" s="4">
        <f t="shared" si="41"/>
        <v>2016.25</v>
      </c>
      <c r="AE145" s="3">
        <f t="shared" si="42"/>
        <v>-8.3333333333333329E-2</v>
      </c>
    </row>
    <row r="146" spans="1:31" x14ac:dyDescent="0.25">
      <c r="A146" s="45" t="s">
        <v>242</v>
      </c>
      <c r="B146" s="3" t="s">
        <v>225</v>
      </c>
      <c r="C146" s="44">
        <v>2014</v>
      </c>
      <c r="D146" s="38">
        <v>8</v>
      </c>
      <c r="E146" s="29">
        <v>0</v>
      </c>
      <c r="F146" s="41" t="s">
        <v>64</v>
      </c>
      <c r="G146" s="4">
        <v>10</v>
      </c>
      <c r="H146" s="28">
        <f>C146+G146</f>
        <v>2024</v>
      </c>
      <c r="K146" s="10">
        <v>6157</v>
      </c>
      <c r="L146" s="11">
        <v>6835</v>
      </c>
      <c r="N146" s="11">
        <f>L146-L146*E146</f>
        <v>6835</v>
      </c>
      <c r="O146" s="3">
        <f t="shared" si="29"/>
        <v>56.958333333333336</v>
      </c>
      <c r="P146" s="32">
        <f t="shared" si="30"/>
        <v>683.5</v>
      </c>
      <c r="Q146" s="3">
        <f t="shared" si="31"/>
        <v>0</v>
      </c>
      <c r="R146" s="33">
        <f t="shared" si="32"/>
        <v>683.5</v>
      </c>
      <c r="S146" s="34">
        <v>1</v>
      </c>
      <c r="T146" s="33">
        <f t="shared" si="33"/>
        <v>683.5</v>
      </c>
      <c r="U146" s="32">
        <f t="shared" si="34"/>
        <v>1139.1666666667186</v>
      </c>
      <c r="V146" s="33">
        <f t="shared" si="35"/>
        <v>1139.1666666667186</v>
      </c>
      <c r="W146" s="34">
        <v>1</v>
      </c>
      <c r="X146" s="33">
        <f t="shared" si="36"/>
        <v>1139.1666666667186</v>
      </c>
      <c r="Y146" s="32">
        <f t="shared" si="37"/>
        <v>1822.6666666667186</v>
      </c>
      <c r="Z146" s="33">
        <f t="shared" si="38"/>
        <v>5354.0833333332812</v>
      </c>
      <c r="AA146" s="4">
        <f t="shared" si="39"/>
        <v>2014.5833333333333</v>
      </c>
      <c r="AB146" s="3">
        <f t="shared" si="40"/>
        <v>2017.25</v>
      </c>
      <c r="AC146" s="35">
        <f>$H146+(($D146-1)/12)</f>
        <v>2024.5833333333333</v>
      </c>
      <c r="AD146" s="4">
        <f t="shared" si="41"/>
        <v>2016.25</v>
      </c>
      <c r="AE146" s="3">
        <f t="shared" si="42"/>
        <v>-8.3333333333333329E-2</v>
      </c>
    </row>
    <row r="147" spans="1:31" x14ac:dyDescent="0.25">
      <c r="A147" s="45" t="s">
        <v>243</v>
      </c>
      <c r="B147" s="3" t="s">
        <v>225</v>
      </c>
      <c r="C147" s="44">
        <v>2014</v>
      </c>
      <c r="D147" s="38">
        <v>8</v>
      </c>
      <c r="E147" s="29">
        <v>0</v>
      </c>
      <c r="F147" s="41" t="s">
        <v>64</v>
      </c>
      <c r="G147" s="4">
        <v>10</v>
      </c>
      <c r="H147" s="28">
        <f>C147+G147</f>
        <v>2024</v>
      </c>
      <c r="K147" s="10">
        <v>6157</v>
      </c>
      <c r="L147" s="11">
        <v>6835</v>
      </c>
      <c r="N147" s="11">
        <f>L147-L147*E147</f>
        <v>6835</v>
      </c>
      <c r="O147" s="3">
        <f t="shared" si="29"/>
        <v>56.958333333333336</v>
      </c>
      <c r="P147" s="32">
        <f t="shared" si="30"/>
        <v>683.5</v>
      </c>
      <c r="Q147" s="3">
        <f t="shared" si="31"/>
        <v>0</v>
      </c>
      <c r="R147" s="33">
        <f t="shared" si="32"/>
        <v>683.5</v>
      </c>
      <c r="S147" s="34">
        <v>1</v>
      </c>
      <c r="T147" s="33">
        <f t="shared" si="33"/>
        <v>683.5</v>
      </c>
      <c r="U147" s="32">
        <f t="shared" si="34"/>
        <v>1139.1666666667186</v>
      </c>
      <c r="V147" s="33">
        <f t="shared" si="35"/>
        <v>1139.1666666667186</v>
      </c>
      <c r="W147" s="34">
        <v>1</v>
      </c>
      <c r="X147" s="33">
        <f t="shared" si="36"/>
        <v>1139.1666666667186</v>
      </c>
      <c r="Y147" s="32">
        <f t="shared" si="37"/>
        <v>1822.6666666667186</v>
      </c>
      <c r="Z147" s="33">
        <f t="shared" si="38"/>
        <v>5354.0833333332812</v>
      </c>
      <c r="AA147" s="4">
        <f t="shared" si="39"/>
        <v>2014.5833333333333</v>
      </c>
      <c r="AB147" s="3">
        <f t="shared" si="40"/>
        <v>2017.25</v>
      </c>
      <c r="AC147" s="35">
        <f>$H147+(($D147-1)/12)</f>
        <v>2024.5833333333333</v>
      </c>
      <c r="AD147" s="4">
        <f t="shared" si="41"/>
        <v>2016.25</v>
      </c>
      <c r="AE147" s="3">
        <f t="shared" si="42"/>
        <v>-8.3333333333333329E-2</v>
      </c>
    </row>
    <row r="148" spans="1:31" x14ac:dyDescent="0.25">
      <c r="A148" s="45" t="s">
        <v>244</v>
      </c>
      <c r="B148" s="3" t="s">
        <v>225</v>
      </c>
      <c r="C148" s="44">
        <v>2014</v>
      </c>
      <c r="D148" s="38">
        <v>8</v>
      </c>
      <c r="E148" s="29">
        <v>0</v>
      </c>
      <c r="F148" s="41" t="s">
        <v>64</v>
      </c>
      <c r="G148" s="4">
        <v>10</v>
      </c>
      <c r="H148" s="28">
        <f>C148+G148</f>
        <v>2024</v>
      </c>
      <c r="K148" s="10">
        <v>6157</v>
      </c>
      <c r="L148" s="11">
        <v>6835</v>
      </c>
      <c r="N148" s="11">
        <f>L148-L148*E148</f>
        <v>6835</v>
      </c>
      <c r="O148" s="3">
        <f t="shared" si="29"/>
        <v>56.958333333333336</v>
      </c>
      <c r="P148" s="32">
        <f t="shared" si="30"/>
        <v>683.5</v>
      </c>
      <c r="Q148" s="3">
        <f t="shared" si="31"/>
        <v>0</v>
      </c>
      <c r="R148" s="33">
        <f t="shared" si="32"/>
        <v>683.5</v>
      </c>
      <c r="S148" s="34">
        <v>1</v>
      </c>
      <c r="T148" s="33">
        <f t="shared" si="33"/>
        <v>683.5</v>
      </c>
      <c r="U148" s="32">
        <f t="shared" si="34"/>
        <v>1139.1666666667186</v>
      </c>
      <c r="V148" s="33">
        <f t="shared" si="35"/>
        <v>1139.1666666667186</v>
      </c>
      <c r="W148" s="34">
        <v>1</v>
      </c>
      <c r="X148" s="33">
        <f t="shared" si="36"/>
        <v>1139.1666666667186</v>
      </c>
      <c r="Y148" s="32">
        <f t="shared" si="37"/>
        <v>1822.6666666667186</v>
      </c>
      <c r="Z148" s="33">
        <f t="shared" si="38"/>
        <v>5354.0833333332812</v>
      </c>
      <c r="AA148" s="4">
        <f t="shared" si="39"/>
        <v>2014.5833333333333</v>
      </c>
      <c r="AB148" s="3">
        <f t="shared" si="40"/>
        <v>2017.25</v>
      </c>
      <c r="AC148" s="35">
        <f>$H148+(($D148-1)/12)</f>
        <v>2024.5833333333333</v>
      </c>
      <c r="AD148" s="4">
        <f t="shared" si="41"/>
        <v>2016.25</v>
      </c>
      <c r="AE148" s="3">
        <f t="shared" si="42"/>
        <v>-8.3333333333333329E-2</v>
      </c>
    </row>
    <row r="149" spans="1:31" x14ac:dyDescent="0.25">
      <c r="A149" s="45" t="s">
        <v>245</v>
      </c>
      <c r="B149" s="3" t="s">
        <v>246</v>
      </c>
      <c r="C149" s="44">
        <v>2014</v>
      </c>
      <c r="D149" s="38">
        <v>8</v>
      </c>
      <c r="E149" s="29">
        <v>0</v>
      </c>
      <c r="F149" s="41" t="s">
        <v>64</v>
      </c>
      <c r="G149" s="4">
        <v>10</v>
      </c>
      <c r="H149" s="28">
        <f>C149+G149</f>
        <v>2024</v>
      </c>
      <c r="K149" s="10">
        <v>6157</v>
      </c>
      <c r="L149" s="11">
        <v>7200</v>
      </c>
      <c r="N149" s="11">
        <f>L149-L149*E149</f>
        <v>7200</v>
      </c>
      <c r="O149" s="3">
        <f t="shared" si="29"/>
        <v>60</v>
      </c>
      <c r="P149" s="32">
        <f t="shared" si="30"/>
        <v>720</v>
      </c>
      <c r="Q149" s="3">
        <f t="shared" si="31"/>
        <v>0</v>
      </c>
      <c r="R149" s="33">
        <f t="shared" si="32"/>
        <v>720</v>
      </c>
      <c r="S149" s="34">
        <v>1</v>
      </c>
      <c r="T149" s="33">
        <f t="shared" si="33"/>
        <v>720</v>
      </c>
      <c r="U149" s="32">
        <f t="shared" si="34"/>
        <v>1200.0000000000546</v>
      </c>
      <c r="V149" s="33">
        <f t="shared" si="35"/>
        <v>1200.0000000000546</v>
      </c>
      <c r="W149" s="34">
        <v>1</v>
      </c>
      <c r="X149" s="33">
        <f t="shared" si="36"/>
        <v>1200.0000000000546</v>
      </c>
      <c r="Y149" s="32">
        <f t="shared" si="37"/>
        <v>1920.0000000000546</v>
      </c>
      <c r="Z149" s="33">
        <f t="shared" si="38"/>
        <v>5639.9999999999454</v>
      </c>
      <c r="AA149" s="4">
        <f t="shared" si="39"/>
        <v>2014.5833333333333</v>
      </c>
      <c r="AB149" s="3">
        <f t="shared" si="40"/>
        <v>2017.25</v>
      </c>
      <c r="AC149" s="35">
        <f>$H149+(($D149-1)/12)</f>
        <v>2024.5833333333333</v>
      </c>
      <c r="AD149" s="4">
        <f t="shared" si="41"/>
        <v>2016.25</v>
      </c>
      <c r="AE149" s="3">
        <f t="shared" si="42"/>
        <v>-8.3333333333333329E-2</v>
      </c>
    </row>
    <row r="150" spans="1:31" x14ac:dyDescent="0.25">
      <c r="A150" s="45" t="s">
        <v>247</v>
      </c>
      <c r="B150" s="3" t="s">
        <v>225</v>
      </c>
      <c r="C150" s="44">
        <v>2014</v>
      </c>
      <c r="D150" s="38">
        <v>10</v>
      </c>
      <c r="E150" s="29">
        <v>0</v>
      </c>
      <c r="F150" s="41" t="s">
        <v>64</v>
      </c>
      <c r="G150" s="4">
        <v>10</v>
      </c>
      <c r="H150" s="28">
        <f>C150+G150</f>
        <v>2024</v>
      </c>
      <c r="K150" s="10">
        <v>6157</v>
      </c>
      <c r="L150" s="11">
        <v>6835</v>
      </c>
      <c r="N150" s="11">
        <f>L150-L150*E150</f>
        <v>6835</v>
      </c>
      <c r="O150" s="3">
        <f t="shared" si="29"/>
        <v>56.958333333333336</v>
      </c>
      <c r="P150" s="32">
        <f t="shared" si="30"/>
        <v>683.5</v>
      </c>
      <c r="Q150" s="3">
        <f t="shared" si="31"/>
        <v>0</v>
      </c>
      <c r="R150" s="33">
        <f t="shared" si="32"/>
        <v>683.5</v>
      </c>
      <c r="S150" s="34">
        <v>1</v>
      </c>
      <c r="T150" s="33">
        <f t="shared" si="33"/>
        <v>683.5</v>
      </c>
      <c r="U150" s="32">
        <f t="shared" si="34"/>
        <v>1025.25</v>
      </c>
      <c r="V150" s="33">
        <f t="shared" si="35"/>
        <v>1025.25</v>
      </c>
      <c r="W150" s="34">
        <v>1</v>
      </c>
      <c r="X150" s="33">
        <f t="shared" si="36"/>
        <v>1025.25</v>
      </c>
      <c r="Y150" s="32">
        <f t="shared" si="37"/>
        <v>1708.75</v>
      </c>
      <c r="Z150" s="33">
        <f t="shared" si="38"/>
        <v>5468</v>
      </c>
      <c r="AA150" s="4">
        <f t="shared" si="39"/>
        <v>2014.75</v>
      </c>
      <c r="AB150" s="3">
        <f t="shared" si="40"/>
        <v>2017.25</v>
      </c>
      <c r="AC150" s="35">
        <f>$H150+(($D150-1)/12)</f>
        <v>2024.75</v>
      </c>
      <c r="AD150" s="4">
        <f t="shared" si="41"/>
        <v>2016.25</v>
      </c>
      <c r="AE150" s="3">
        <f t="shared" si="42"/>
        <v>-8.3333333333333329E-2</v>
      </c>
    </row>
    <row r="151" spans="1:31" x14ac:dyDescent="0.25">
      <c r="A151" s="45" t="s">
        <v>238</v>
      </c>
      <c r="B151" s="3" t="s">
        <v>248</v>
      </c>
      <c r="C151" s="44">
        <v>2014</v>
      </c>
      <c r="D151" s="38">
        <v>11</v>
      </c>
      <c r="E151" s="29">
        <v>0</v>
      </c>
      <c r="F151" s="41" t="s">
        <v>64</v>
      </c>
      <c r="G151" s="4">
        <v>10</v>
      </c>
      <c r="H151" s="28">
        <f>C151+G151</f>
        <v>2024</v>
      </c>
      <c r="K151" s="10">
        <v>6157</v>
      </c>
      <c r="L151" s="11">
        <v>25432</v>
      </c>
      <c r="N151" s="11">
        <f>L151-L151*E151</f>
        <v>25432</v>
      </c>
      <c r="O151" s="3">
        <f t="shared" si="29"/>
        <v>211.93333333333331</v>
      </c>
      <c r="P151" s="32">
        <f t="shared" si="30"/>
        <v>2543.1999999999998</v>
      </c>
      <c r="Q151" s="3">
        <f t="shared" si="31"/>
        <v>0</v>
      </c>
      <c r="R151" s="33">
        <f t="shared" si="32"/>
        <v>2543.1999999999998</v>
      </c>
      <c r="S151" s="34">
        <v>1</v>
      </c>
      <c r="T151" s="33">
        <f t="shared" si="33"/>
        <v>2543.1999999999998</v>
      </c>
      <c r="U151" s="32">
        <f t="shared" si="34"/>
        <v>3602.8666666668591</v>
      </c>
      <c r="V151" s="33">
        <f t="shared" si="35"/>
        <v>3602.8666666668591</v>
      </c>
      <c r="W151" s="34">
        <v>1</v>
      </c>
      <c r="X151" s="33">
        <f t="shared" si="36"/>
        <v>3602.8666666668591</v>
      </c>
      <c r="Y151" s="32">
        <f t="shared" si="37"/>
        <v>6146.0666666668585</v>
      </c>
      <c r="Z151" s="33">
        <f t="shared" si="38"/>
        <v>20557.533333333144</v>
      </c>
      <c r="AA151" s="4">
        <f t="shared" si="39"/>
        <v>2014.8333333333333</v>
      </c>
      <c r="AB151" s="3">
        <f t="shared" si="40"/>
        <v>2017.25</v>
      </c>
      <c r="AC151" s="35">
        <f>$H151+(($D151-1)/12)</f>
        <v>2024.8333333333333</v>
      </c>
      <c r="AD151" s="4">
        <f t="shared" si="41"/>
        <v>2016.25</v>
      </c>
      <c r="AE151" s="3">
        <f t="shared" si="42"/>
        <v>-8.3333333333333329E-2</v>
      </c>
    </row>
    <row r="152" spans="1:31" x14ac:dyDescent="0.25">
      <c r="A152" s="45" t="s">
        <v>249</v>
      </c>
      <c r="B152" s="3" t="s">
        <v>250</v>
      </c>
      <c r="C152" s="44">
        <v>2015</v>
      </c>
      <c r="D152" s="38">
        <v>3</v>
      </c>
      <c r="E152" s="29">
        <v>0</v>
      </c>
      <c r="F152" s="41" t="s">
        <v>64</v>
      </c>
      <c r="G152" s="4">
        <v>10</v>
      </c>
      <c r="H152" s="28">
        <f>C152+G152</f>
        <v>2025</v>
      </c>
      <c r="K152" s="10">
        <v>6157</v>
      </c>
      <c r="L152" s="11">
        <v>11869</v>
      </c>
      <c r="N152" s="11">
        <f>L152-L152*E152</f>
        <v>11869</v>
      </c>
      <c r="O152" s="3">
        <f t="shared" si="29"/>
        <v>98.908333333333346</v>
      </c>
      <c r="P152" s="32">
        <f t="shared" si="30"/>
        <v>1186.9000000000001</v>
      </c>
      <c r="Q152" s="3">
        <f t="shared" si="31"/>
        <v>0</v>
      </c>
      <c r="R152" s="33">
        <f t="shared" si="32"/>
        <v>1186.9000000000001</v>
      </c>
      <c r="S152" s="34">
        <v>1</v>
      </c>
      <c r="T152" s="33">
        <f t="shared" si="33"/>
        <v>1186.9000000000001</v>
      </c>
      <c r="U152" s="32">
        <f t="shared" si="34"/>
        <v>1285.8083333332436</v>
      </c>
      <c r="V152" s="33">
        <f t="shared" si="35"/>
        <v>1285.8083333332436</v>
      </c>
      <c r="W152" s="34">
        <v>1</v>
      </c>
      <c r="X152" s="33">
        <f t="shared" si="36"/>
        <v>1285.8083333332436</v>
      </c>
      <c r="Y152" s="32">
        <f t="shared" si="37"/>
        <v>2472.7083333332439</v>
      </c>
      <c r="Z152" s="33">
        <f t="shared" si="38"/>
        <v>9989.7416666667559</v>
      </c>
      <c r="AA152" s="4">
        <f t="shared" si="39"/>
        <v>2015.1666666666667</v>
      </c>
      <c r="AB152" s="3">
        <f t="shared" si="40"/>
        <v>2017.25</v>
      </c>
      <c r="AC152" s="35">
        <f>$H152+(($D152-1)/12)</f>
        <v>2025.1666666666667</v>
      </c>
      <c r="AD152" s="4">
        <f t="shared" si="41"/>
        <v>2016.25</v>
      </c>
      <c r="AE152" s="3">
        <f t="shared" si="42"/>
        <v>-8.3333333333333329E-2</v>
      </c>
    </row>
    <row r="153" spans="1:31" x14ac:dyDescent="0.25">
      <c r="A153" s="45" t="s">
        <v>251</v>
      </c>
      <c r="B153" s="3" t="s">
        <v>227</v>
      </c>
      <c r="C153" s="44">
        <v>2015</v>
      </c>
      <c r="D153" s="38">
        <v>3</v>
      </c>
      <c r="E153" s="29">
        <v>0</v>
      </c>
      <c r="F153" s="41" t="s">
        <v>64</v>
      </c>
      <c r="G153" s="4">
        <v>10</v>
      </c>
      <c r="H153" s="28">
        <f>C153+G153</f>
        <v>2025</v>
      </c>
      <c r="K153" s="10">
        <v>6157</v>
      </c>
      <c r="L153" s="11">
        <v>6874</v>
      </c>
      <c r="N153" s="11">
        <f>L153-L153*E153</f>
        <v>6874</v>
      </c>
      <c r="O153" s="3">
        <f t="shared" si="29"/>
        <v>57.283333333333331</v>
      </c>
      <c r="P153" s="32">
        <f t="shared" si="30"/>
        <v>687.4</v>
      </c>
      <c r="Q153" s="3">
        <f t="shared" si="31"/>
        <v>0</v>
      </c>
      <c r="R153" s="33">
        <f t="shared" si="32"/>
        <v>687.4</v>
      </c>
      <c r="S153" s="34">
        <v>1</v>
      </c>
      <c r="T153" s="33">
        <f t="shared" si="33"/>
        <v>687.4</v>
      </c>
      <c r="U153" s="32">
        <f t="shared" si="34"/>
        <v>744.68333333328121</v>
      </c>
      <c r="V153" s="33">
        <f t="shared" si="35"/>
        <v>744.68333333328121</v>
      </c>
      <c r="W153" s="34">
        <v>1</v>
      </c>
      <c r="X153" s="33">
        <f t="shared" si="36"/>
        <v>744.68333333328121</v>
      </c>
      <c r="Y153" s="32">
        <f t="shared" si="37"/>
        <v>1432.0833333332812</v>
      </c>
      <c r="Z153" s="33">
        <f t="shared" si="38"/>
        <v>5785.6166666667186</v>
      </c>
      <c r="AA153" s="4">
        <f t="shared" si="39"/>
        <v>2015.1666666666667</v>
      </c>
      <c r="AB153" s="3">
        <f t="shared" si="40"/>
        <v>2017.25</v>
      </c>
      <c r="AC153" s="35">
        <f>$H153+(($D153-1)/12)</f>
        <v>2025.1666666666667</v>
      </c>
      <c r="AD153" s="4">
        <f t="shared" si="41"/>
        <v>2016.25</v>
      </c>
      <c r="AE153" s="3">
        <f t="shared" si="42"/>
        <v>-8.3333333333333329E-2</v>
      </c>
    </row>
    <row r="154" spans="1:31" x14ac:dyDescent="0.25">
      <c r="A154" s="45" t="s">
        <v>252</v>
      </c>
      <c r="B154" s="3" t="s">
        <v>253</v>
      </c>
      <c r="C154" s="44">
        <v>2015</v>
      </c>
      <c r="D154" s="38">
        <v>3</v>
      </c>
      <c r="E154" s="29">
        <v>0</v>
      </c>
      <c r="F154" s="41" t="s">
        <v>64</v>
      </c>
      <c r="G154" s="4">
        <v>10</v>
      </c>
      <c r="H154" s="28">
        <f>C154+G154</f>
        <v>2025</v>
      </c>
      <c r="K154" s="10">
        <v>6157</v>
      </c>
      <c r="L154" s="11">
        <v>7976</v>
      </c>
      <c r="N154" s="11">
        <f>L154-L154*E154</f>
        <v>7976</v>
      </c>
      <c r="O154" s="3">
        <f t="shared" si="29"/>
        <v>66.466666666666669</v>
      </c>
      <c r="P154" s="32">
        <f t="shared" si="30"/>
        <v>797.6</v>
      </c>
      <c r="Q154" s="3">
        <f t="shared" si="31"/>
        <v>0</v>
      </c>
      <c r="R154" s="33">
        <f t="shared" si="32"/>
        <v>797.6</v>
      </c>
      <c r="S154" s="34">
        <v>1</v>
      </c>
      <c r="T154" s="33">
        <f t="shared" si="33"/>
        <v>797.6</v>
      </c>
      <c r="U154" s="32">
        <f t="shared" si="34"/>
        <v>864.06666666660624</v>
      </c>
      <c r="V154" s="33">
        <f t="shared" si="35"/>
        <v>864.06666666660624</v>
      </c>
      <c r="W154" s="34">
        <v>1</v>
      </c>
      <c r="X154" s="33">
        <f t="shared" si="36"/>
        <v>864.06666666660624</v>
      </c>
      <c r="Y154" s="32">
        <f t="shared" si="37"/>
        <v>1661.6666666666063</v>
      </c>
      <c r="Z154" s="33">
        <f t="shared" si="38"/>
        <v>6713.1333333333932</v>
      </c>
      <c r="AA154" s="4">
        <f t="shared" si="39"/>
        <v>2015.1666666666667</v>
      </c>
      <c r="AB154" s="3">
        <f t="shared" si="40"/>
        <v>2017.25</v>
      </c>
      <c r="AC154" s="35">
        <f>$H154+(($D154-1)/12)</f>
        <v>2025.1666666666667</v>
      </c>
      <c r="AD154" s="4">
        <f t="shared" si="41"/>
        <v>2016.25</v>
      </c>
      <c r="AE154" s="3">
        <f t="shared" si="42"/>
        <v>-8.3333333333333329E-2</v>
      </c>
    </row>
    <row r="155" spans="1:31" x14ac:dyDescent="0.25">
      <c r="A155" s="45" t="s">
        <v>254</v>
      </c>
      <c r="B155" s="3" t="s">
        <v>227</v>
      </c>
      <c r="C155" s="44">
        <v>2015</v>
      </c>
      <c r="D155" s="38">
        <v>9</v>
      </c>
      <c r="E155" s="29">
        <v>0</v>
      </c>
      <c r="F155" s="41" t="s">
        <v>64</v>
      </c>
      <c r="G155" s="4">
        <v>10</v>
      </c>
      <c r="H155" s="28">
        <f>C155+G155</f>
        <v>2025</v>
      </c>
      <c r="K155" s="10">
        <v>6157</v>
      </c>
      <c r="L155" s="11">
        <v>6874</v>
      </c>
      <c r="N155" s="11">
        <f>L155-L155*E155</f>
        <v>6874</v>
      </c>
      <c r="O155" s="3">
        <f t="shared" si="29"/>
        <v>57.283333333333331</v>
      </c>
      <c r="P155" s="32">
        <f t="shared" si="30"/>
        <v>687.4</v>
      </c>
      <c r="Q155" s="3">
        <f t="shared" si="31"/>
        <v>0</v>
      </c>
      <c r="R155" s="33">
        <f t="shared" si="32"/>
        <v>687.4</v>
      </c>
      <c r="S155" s="34">
        <v>1</v>
      </c>
      <c r="T155" s="33">
        <f t="shared" si="33"/>
        <v>687.4</v>
      </c>
      <c r="U155" s="32">
        <f t="shared" si="34"/>
        <v>400.98333333328122</v>
      </c>
      <c r="V155" s="33">
        <f t="shared" si="35"/>
        <v>400.98333333328122</v>
      </c>
      <c r="W155" s="34">
        <v>1</v>
      </c>
      <c r="X155" s="33">
        <f t="shared" si="36"/>
        <v>400.98333333328122</v>
      </c>
      <c r="Y155" s="32">
        <f t="shared" si="37"/>
        <v>1088.3833333332811</v>
      </c>
      <c r="Z155" s="33">
        <f t="shared" si="38"/>
        <v>6129.3166666667184</v>
      </c>
      <c r="AA155" s="4">
        <f t="shared" si="39"/>
        <v>2015.6666666666667</v>
      </c>
      <c r="AB155" s="3">
        <f t="shared" si="40"/>
        <v>2017.25</v>
      </c>
      <c r="AC155" s="35">
        <f>$H155+(($D155-1)/12)</f>
        <v>2025.6666666666667</v>
      </c>
      <c r="AD155" s="4">
        <f t="shared" si="41"/>
        <v>2016.25</v>
      </c>
      <c r="AE155" s="3">
        <f t="shared" si="42"/>
        <v>-8.3333333333333329E-2</v>
      </c>
    </row>
    <row r="156" spans="1:31" x14ac:dyDescent="0.25">
      <c r="A156" s="45" t="s">
        <v>255</v>
      </c>
      <c r="B156" s="3" t="s">
        <v>205</v>
      </c>
      <c r="C156" s="44">
        <v>2015</v>
      </c>
      <c r="D156" s="38">
        <v>9</v>
      </c>
      <c r="E156" s="29">
        <v>0</v>
      </c>
      <c r="F156" s="41" t="s">
        <v>64</v>
      </c>
      <c r="G156" s="4">
        <v>10</v>
      </c>
      <c r="H156" s="28">
        <f>C156+G156</f>
        <v>2025</v>
      </c>
      <c r="K156" s="10">
        <v>6157</v>
      </c>
      <c r="L156" s="11">
        <v>8045</v>
      </c>
      <c r="N156" s="11">
        <f>L156-L156*E156</f>
        <v>8045</v>
      </c>
      <c r="O156" s="3">
        <f t="shared" si="29"/>
        <v>67.041666666666671</v>
      </c>
      <c r="P156" s="32">
        <f t="shared" si="30"/>
        <v>804.5</v>
      </c>
      <c r="Q156" s="3">
        <f t="shared" si="31"/>
        <v>0</v>
      </c>
      <c r="R156" s="33">
        <f t="shared" si="32"/>
        <v>804.5</v>
      </c>
      <c r="S156" s="34">
        <v>1</v>
      </c>
      <c r="T156" s="33">
        <f t="shared" si="33"/>
        <v>804.5</v>
      </c>
      <c r="U156" s="32">
        <f t="shared" si="34"/>
        <v>469.29166666660575</v>
      </c>
      <c r="V156" s="33">
        <f t="shared" si="35"/>
        <v>469.29166666660575</v>
      </c>
      <c r="W156" s="34">
        <v>1</v>
      </c>
      <c r="X156" s="33">
        <f t="shared" si="36"/>
        <v>469.29166666660575</v>
      </c>
      <c r="Y156" s="32">
        <f t="shared" si="37"/>
        <v>1273.7916666666058</v>
      </c>
      <c r="Z156" s="33">
        <f t="shared" si="38"/>
        <v>7173.458333333394</v>
      </c>
      <c r="AA156" s="4">
        <f t="shared" si="39"/>
        <v>2015.6666666666667</v>
      </c>
      <c r="AB156" s="3">
        <f t="shared" si="40"/>
        <v>2017.25</v>
      </c>
      <c r="AC156" s="35">
        <f>$H156+(($D156-1)/12)</f>
        <v>2025.6666666666667</v>
      </c>
      <c r="AD156" s="4">
        <f t="shared" si="41"/>
        <v>2016.25</v>
      </c>
      <c r="AE156" s="3">
        <f t="shared" si="42"/>
        <v>-8.3333333333333329E-2</v>
      </c>
    </row>
    <row r="157" spans="1:31" x14ac:dyDescent="0.25">
      <c r="A157" s="45" t="s">
        <v>256</v>
      </c>
      <c r="B157" s="3" t="s">
        <v>257</v>
      </c>
      <c r="C157" s="44">
        <v>2015</v>
      </c>
      <c r="D157" s="38">
        <v>10</v>
      </c>
      <c r="E157" s="29">
        <v>0</v>
      </c>
      <c r="F157" s="41" t="s">
        <v>64</v>
      </c>
      <c r="G157" s="4">
        <v>10</v>
      </c>
      <c r="H157" s="28">
        <f>C157+G157</f>
        <v>2025</v>
      </c>
      <c r="K157" s="10">
        <v>6157</v>
      </c>
      <c r="L157" s="11">
        <v>22188</v>
      </c>
      <c r="N157" s="11">
        <f>L157-L157*E157</f>
        <v>22188</v>
      </c>
      <c r="O157" s="3">
        <f t="shared" si="29"/>
        <v>184.9</v>
      </c>
      <c r="P157" s="32">
        <f t="shared" si="30"/>
        <v>2218.8000000000002</v>
      </c>
      <c r="Q157" s="3">
        <f t="shared" si="31"/>
        <v>0</v>
      </c>
      <c r="R157" s="33">
        <f t="shared" si="32"/>
        <v>2218.8000000000002</v>
      </c>
      <c r="S157" s="34">
        <v>1</v>
      </c>
      <c r="T157" s="33">
        <f t="shared" si="33"/>
        <v>2218.8000000000002</v>
      </c>
      <c r="U157" s="32">
        <f t="shared" si="34"/>
        <v>1109.4000000000001</v>
      </c>
      <c r="V157" s="33">
        <f t="shared" si="35"/>
        <v>1109.4000000000001</v>
      </c>
      <c r="W157" s="34">
        <v>1</v>
      </c>
      <c r="X157" s="33">
        <f t="shared" si="36"/>
        <v>1109.4000000000001</v>
      </c>
      <c r="Y157" s="32">
        <f t="shared" si="37"/>
        <v>3328.2000000000003</v>
      </c>
      <c r="Z157" s="33">
        <f t="shared" si="38"/>
        <v>19969.199999999997</v>
      </c>
      <c r="AA157" s="4">
        <f t="shared" si="39"/>
        <v>2015.75</v>
      </c>
      <c r="AB157" s="3">
        <f t="shared" si="40"/>
        <v>2017.25</v>
      </c>
      <c r="AC157" s="35">
        <f>$H157+(($D157-1)/12)</f>
        <v>2025.75</v>
      </c>
      <c r="AD157" s="4">
        <f t="shared" si="41"/>
        <v>2016.25</v>
      </c>
      <c r="AE157" s="3">
        <f t="shared" si="42"/>
        <v>-8.3333333333333329E-2</v>
      </c>
    </row>
    <row r="158" spans="1:31" x14ac:dyDescent="0.25">
      <c r="A158" s="45" t="s">
        <v>258</v>
      </c>
      <c r="B158" s="3" t="s">
        <v>259</v>
      </c>
      <c r="C158" s="44">
        <v>2015</v>
      </c>
      <c r="D158" s="38">
        <v>10</v>
      </c>
      <c r="E158" s="29">
        <v>0</v>
      </c>
      <c r="F158" s="41" t="s">
        <v>64</v>
      </c>
      <c r="G158" s="4">
        <v>10</v>
      </c>
      <c r="H158" s="28">
        <f>C158+G158</f>
        <v>2025</v>
      </c>
      <c r="K158" s="10">
        <v>6157</v>
      </c>
      <c r="L158" s="11">
        <v>27136</v>
      </c>
      <c r="N158" s="11">
        <f>L158-L158*E158</f>
        <v>27136</v>
      </c>
      <c r="O158" s="3">
        <f t="shared" si="29"/>
        <v>226.13333333333333</v>
      </c>
      <c r="P158" s="32">
        <f t="shared" si="30"/>
        <v>2713.6</v>
      </c>
      <c r="Q158" s="3">
        <f t="shared" si="31"/>
        <v>0</v>
      </c>
      <c r="R158" s="33">
        <f t="shared" si="32"/>
        <v>2713.6</v>
      </c>
      <c r="S158" s="34">
        <v>1</v>
      </c>
      <c r="T158" s="33">
        <f t="shared" si="33"/>
        <v>2713.6</v>
      </c>
      <c r="U158" s="32">
        <f t="shared" si="34"/>
        <v>1356.8</v>
      </c>
      <c r="V158" s="33">
        <f t="shared" si="35"/>
        <v>1356.8</v>
      </c>
      <c r="W158" s="34">
        <v>1</v>
      </c>
      <c r="X158" s="33">
        <f t="shared" si="36"/>
        <v>1356.8</v>
      </c>
      <c r="Y158" s="32">
        <f t="shared" si="37"/>
        <v>4070.3999999999996</v>
      </c>
      <c r="Z158" s="33">
        <f t="shared" si="38"/>
        <v>24422.400000000001</v>
      </c>
      <c r="AA158" s="4">
        <f t="shared" si="39"/>
        <v>2015.75</v>
      </c>
      <c r="AB158" s="3">
        <f t="shared" si="40"/>
        <v>2017.25</v>
      </c>
      <c r="AC158" s="35">
        <f>$H158+(($D158-1)/12)</f>
        <v>2025.75</v>
      </c>
      <c r="AD158" s="4">
        <f t="shared" si="41"/>
        <v>2016.25</v>
      </c>
      <c r="AE158" s="3">
        <f t="shared" si="42"/>
        <v>-8.3333333333333329E-2</v>
      </c>
    </row>
    <row r="159" spans="1:31" x14ac:dyDescent="0.25">
      <c r="A159" s="45" t="s">
        <v>260</v>
      </c>
      <c r="B159" s="3" t="s">
        <v>261</v>
      </c>
      <c r="C159" s="44">
        <v>2015</v>
      </c>
      <c r="D159" s="38">
        <v>12</v>
      </c>
      <c r="E159" s="29">
        <v>0</v>
      </c>
      <c r="F159" s="41" t="s">
        <v>64</v>
      </c>
      <c r="G159" s="4">
        <v>10</v>
      </c>
      <c r="H159" s="28">
        <f>C159+G159</f>
        <v>2025</v>
      </c>
      <c r="K159" s="10">
        <v>6157</v>
      </c>
      <c r="L159" s="11">
        <v>5006</v>
      </c>
      <c r="N159" s="11">
        <f>L159-L159*E159</f>
        <v>5006</v>
      </c>
      <c r="O159" s="3">
        <f t="shared" si="29"/>
        <v>41.716666666666669</v>
      </c>
      <c r="P159" s="32">
        <f t="shared" si="30"/>
        <v>500.6</v>
      </c>
      <c r="Q159" s="3">
        <f t="shared" si="31"/>
        <v>0</v>
      </c>
      <c r="R159" s="33">
        <f t="shared" si="32"/>
        <v>500.6</v>
      </c>
      <c r="S159" s="34">
        <v>1</v>
      </c>
      <c r="T159" s="33">
        <f t="shared" si="33"/>
        <v>500.6</v>
      </c>
      <c r="U159" s="32">
        <f t="shared" si="34"/>
        <v>166.86666666662873</v>
      </c>
      <c r="V159" s="33">
        <f t="shared" si="35"/>
        <v>166.86666666662873</v>
      </c>
      <c r="W159" s="34">
        <v>1</v>
      </c>
      <c r="X159" s="33">
        <f t="shared" si="36"/>
        <v>166.86666666662873</v>
      </c>
      <c r="Y159" s="32">
        <f t="shared" si="37"/>
        <v>667.46666666662873</v>
      </c>
      <c r="Z159" s="33">
        <f t="shared" si="38"/>
        <v>4588.8333333333712</v>
      </c>
      <c r="AA159" s="4">
        <f t="shared" si="39"/>
        <v>2015.9166666666667</v>
      </c>
      <c r="AB159" s="3">
        <f t="shared" si="40"/>
        <v>2017.25</v>
      </c>
      <c r="AC159" s="35">
        <f>$H159+(($D159-1)/12)</f>
        <v>2025.9166666666667</v>
      </c>
      <c r="AD159" s="4">
        <f t="shared" si="41"/>
        <v>2016.25</v>
      </c>
      <c r="AE159" s="3">
        <f t="shared" si="42"/>
        <v>-8.3333333333333329E-2</v>
      </c>
    </row>
    <row r="160" spans="1:31" x14ac:dyDescent="0.25">
      <c r="A160" s="45" t="s">
        <v>262</v>
      </c>
      <c r="B160" s="3" t="s">
        <v>227</v>
      </c>
      <c r="C160" s="44">
        <v>2015</v>
      </c>
      <c r="D160" s="38">
        <v>12</v>
      </c>
      <c r="E160" s="29">
        <v>0</v>
      </c>
      <c r="F160" s="41" t="s">
        <v>64</v>
      </c>
      <c r="G160" s="4">
        <v>10</v>
      </c>
      <c r="H160" s="28">
        <f>C160+G160</f>
        <v>2025</v>
      </c>
      <c r="K160" s="10">
        <v>6157</v>
      </c>
      <c r="L160" s="11">
        <v>6478</v>
      </c>
      <c r="N160" s="11">
        <f>L160-L160*E160</f>
        <v>6478</v>
      </c>
      <c r="O160" s="3">
        <f t="shared" si="29"/>
        <v>53.983333333333327</v>
      </c>
      <c r="P160" s="32">
        <f t="shared" si="30"/>
        <v>647.79999999999995</v>
      </c>
      <c r="Q160" s="3">
        <f t="shared" si="31"/>
        <v>0</v>
      </c>
      <c r="R160" s="33">
        <f t="shared" si="32"/>
        <v>647.79999999999995</v>
      </c>
      <c r="S160" s="34">
        <v>1</v>
      </c>
      <c r="T160" s="33">
        <f t="shared" si="33"/>
        <v>647.79999999999995</v>
      </c>
      <c r="U160" s="32">
        <f t="shared" si="34"/>
        <v>215.93333333328422</v>
      </c>
      <c r="V160" s="33">
        <f t="shared" si="35"/>
        <v>215.93333333328422</v>
      </c>
      <c r="W160" s="34">
        <v>1</v>
      </c>
      <c r="X160" s="33">
        <f t="shared" si="36"/>
        <v>215.93333333328422</v>
      </c>
      <c r="Y160" s="32">
        <f t="shared" si="37"/>
        <v>863.73333333328424</v>
      </c>
      <c r="Z160" s="33">
        <f t="shared" si="38"/>
        <v>5938.1666666667152</v>
      </c>
      <c r="AA160" s="4">
        <f t="shared" si="39"/>
        <v>2015.9166666666667</v>
      </c>
      <c r="AB160" s="3">
        <f t="shared" si="40"/>
        <v>2017.25</v>
      </c>
      <c r="AC160" s="35">
        <f>$H160+(($D160-1)/12)</f>
        <v>2025.9166666666667</v>
      </c>
      <c r="AD160" s="4">
        <f t="shared" si="41"/>
        <v>2016.25</v>
      </c>
      <c r="AE160" s="3">
        <f t="shared" si="42"/>
        <v>-8.3333333333333329E-2</v>
      </c>
    </row>
    <row r="161" spans="1:31" x14ac:dyDescent="0.25">
      <c r="A161" s="45" t="s">
        <v>263</v>
      </c>
      <c r="B161" s="3" t="s">
        <v>225</v>
      </c>
      <c r="C161" s="44">
        <v>2015</v>
      </c>
      <c r="D161" s="38">
        <v>12</v>
      </c>
      <c r="E161" s="29">
        <v>0</v>
      </c>
      <c r="F161" s="41" t="s">
        <v>64</v>
      </c>
      <c r="G161" s="4">
        <v>10</v>
      </c>
      <c r="H161" s="28">
        <f>C161+G161</f>
        <v>2025</v>
      </c>
      <c r="K161" s="10">
        <v>6157</v>
      </c>
      <c r="L161" s="11">
        <v>7396</v>
      </c>
      <c r="N161" s="11">
        <f>L161-L161*E161</f>
        <v>7396</v>
      </c>
      <c r="O161" s="3">
        <f t="shared" si="29"/>
        <v>61.633333333333333</v>
      </c>
      <c r="P161" s="32">
        <f t="shared" si="30"/>
        <v>739.6</v>
      </c>
      <c r="Q161" s="3">
        <f t="shared" si="31"/>
        <v>0</v>
      </c>
      <c r="R161" s="33">
        <f t="shared" si="32"/>
        <v>739.6</v>
      </c>
      <c r="S161" s="34">
        <v>1</v>
      </c>
      <c r="T161" s="33">
        <f t="shared" si="33"/>
        <v>739.6</v>
      </c>
      <c r="U161" s="32">
        <f t="shared" si="34"/>
        <v>246.53333333327728</v>
      </c>
      <c r="V161" s="33">
        <f t="shared" si="35"/>
        <v>246.53333333327728</v>
      </c>
      <c r="W161" s="34">
        <v>1</v>
      </c>
      <c r="X161" s="33">
        <f t="shared" si="36"/>
        <v>246.53333333327728</v>
      </c>
      <c r="Y161" s="32">
        <f t="shared" si="37"/>
        <v>986.13333333327728</v>
      </c>
      <c r="Z161" s="33">
        <f t="shared" si="38"/>
        <v>6779.6666666667224</v>
      </c>
      <c r="AA161" s="4">
        <f t="shared" si="39"/>
        <v>2015.9166666666667</v>
      </c>
      <c r="AB161" s="3">
        <f t="shared" si="40"/>
        <v>2017.25</v>
      </c>
      <c r="AC161" s="35">
        <f>$H161+(($D161-1)/12)</f>
        <v>2025.9166666666667</v>
      </c>
      <c r="AD161" s="4">
        <f t="shared" si="41"/>
        <v>2016.25</v>
      </c>
      <c r="AE161" s="3">
        <f t="shared" si="42"/>
        <v>-8.3333333333333329E-2</v>
      </c>
    </row>
    <row r="162" spans="1:31" x14ac:dyDescent="0.25">
      <c r="A162" s="45" t="s">
        <v>264</v>
      </c>
      <c r="B162" s="3" t="s">
        <v>250</v>
      </c>
      <c r="C162" s="44">
        <v>2016</v>
      </c>
      <c r="D162" s="38">
        <v>4</v>
      </c>
      <c r="E162" s="29">
        <v>0</v>
      </c>
      <c r="F162" s="41" t="s">
        <v>64</v>
      </c>
      <c r="G162" s="4">
        <v>10</v>
      </c>
      <c r="H162" s="28">
        <f>C162+G162</f>
        <v>2026</v>
      </c>
      <c r="K162" s="10">
        <v>6157</v>
      </c>
      <c r="L162" s="11">
        <v>11453</v>
      </c>
      <c r="N162" s="11">
        <f>L162-L162*E162</f>
        <v>11453</v>
      </c>
      <c r="O162" s="3">
        <f t="shared" si="29"/>
        <v>95.441666666666663</v>
      </c>
      <c r="P162" s="32">
        <f t="shared" si="30"/>
        <v>1145.3</v>
      </c>
      <c r="Q162" s="3">
        <f t="shared" si="31"/>
        <v>0</v>
      </c>
      <c r="R162" s="33">
        <f t="shared" si="32"/>
        <v>1145.3</v>
      </c>
      <c r="S162" s="34">
        <v>1</v>
      </c>
      <c r="T162" s="33">
        <f t="shared" si="33"/>
        <v>1145.3</v>
      </c>
      <c r="U162" s="32">
        <f t="shared" si="34"/>
        <v>0</v>
      </c>
      <c r="V162" s="33">
        <f t="shared" si="35"/>
        <v>0</v>
      </c>
      <c r="W162" s="34">
        <v>1</v>
      </c>
      <c r="X162" s="33">
        <f t="shared" si="36"/>
        <v>0</v>
      </c>
      <c r="Y162" s="32">
        <f t="shared" si="37"/>
        <v>1145.3</v>
      </c>
      <c r="Z162" s="33">
        <f t="shared" si="38"/>
        <v>5153.8500000000004</v>
      </c>
      <c r="AA162" s="4">
        <f t="shared" si="39"/>
        <v>2016.25</v>
      </c>
      <c r="AB162" s="3">
        <f t="shared" si="40"/>
        <v>2017.25</v>
      </c>
      <c r="AC162" s="35">
        <f>$H162+(($D162-1)/12)</f>
        <v>2026.25</v>
      </c>
      <c r="AD162" s="4">
        <f t="shared" si="41"/>
        <v>2016.25</v>
      </c>
      <c r="AE162" s="3">
        <f t="shared" si="42"/>
        <v>-8.3333333333333329E-2</v>
      </c>
    </row>
    <row r="163" spans="1:31" x14ac:dyDescent="0.25">
      <c r="A163" s="45" t="s">
        <v>265</v>
      </c>
      <c r="B163" s="3" t="s">
        <v>266</v>
      </c>
      <c r="C163" s="44">
        <v>2016</v>
      </c>
      <c r="D163" s="38">
        <v>4</v>
      </c>
      <c r="E163" s="29">
        <v>0</v>
      </c>
      <c r="F163" s="41" t="s">
        <v>64</v>
      </c>
      <c r="G163" s="4">
        <v>10</v>
      </c>
      <c r="H163" s="28">
        <f>C163+G163</f>
        <v>2026</v>
      </c>
      <c r="K163" s="10">
        <v>6157</v>
      </c>
      <c r="L163" s="11">
        <v>8209</v>
      </c>
      <c r="N163" s="11">
        <f>L163-L163*E163</f>
        <v>8209</v>
      </c>
      <c r="O163" s="3">
        <f t="shared" si="29"/>
        <v>68.408333333333331</v>
      </c>
      <c r="P163" s="32">
        <f t="shared" si="30"/>
        <v>820.9</v>
      </c>
      <c r="Q163" s="3">
        <f t="shared" si="31"/>
        <v>0</v>
      </c>
      <c r="R163" s="33">
        <f t="shared" si="32"/>
        <v>820.9</v>
      </c>
      <c r="S163" s="34">
        <v>1</v>
      </c>
      <c r="T163" s="33">
        <f t="shared" si="33"/>
        <v>820.9</v>
      </c>
      <c r="U163" s="32">
        <f t="shared" si="34"/>
        <v>0</v>
      </c>
      <c r="V163" s="33">
        <f t="shared" si="35"/>
        <v>0</v>
      </c>
      <c r="W163" s="34">
        <v>1</v>
      </c>
      <c r="X163" s="33">
        <f t="shared" si="36"/>
        <v>0</v>
      </c>
      <c r="Y163" s="32">
        <f t="shared" si="37"/>
        <v>820.9</v>
      </c>
      <c r="Z163" s="33">
        <f t="shared" si="38"/>
        <v>3694.05</v>
      </c>
      <c r="AA163" s="4">
        <f t="shared" si="39"/>
        <v>2016.25</v>
      </c>
      <c r="AB163" s="3">
        <f t="shared" si="40"/>
        <v>2017.25</v>
      </c>
      <c r="AC163" s="35">
        <f>$H163+(($D163-1)/12)</f>
        <v>2026.25</v>
      </c>
      <c r="AD163" s="4">
        <f t="shared" si="41"/>
        <v>2016.25</v>
      </c>
      <c r="AE163" s="3">
        <f t="shared" si="42"/>
        <v>-8.3333333333333329E-2</v>
      </c>
    </row>
    <row r="164" spans="1:31" x14ac:dyDescent="0.25">
      <c r="A164" s="45" t="s">
        <v>267</v>
      </c>
      <c r="B164" s="3" t="s">
        <v>268</v>
      </c>
      <c r="C164" s="44">
        <v>2016</v>
      </c>
      <c r="D164" s="38">
        <v>5</v>
      </c>
      <c r="E164" s="29">
        <v>0</v>
      </c>
      <c r="F164" s="41" t="s">
        <v>64</v>
      </c>
      <c r="G164" s="4">
        <v>10</v>
      </c>
      <c r="H164" s="28">
        <f>C164+G164</f>
        <v>2026</v>
      </c>
      <c r="K164" s="10">
        <v>6157</v>
      </c>
      <c r="L164" s="11">
        <v>16333</v>
      </c>
      <c r="N164" s="11">
        <f>L164-L164*E164</f>
        <v>16333</v>
      </c>
      <c r="O164" s="3">
        <f t="shared" si="29"/>
        <v>136.10833333333332</v>
      </c>
      <c r="P164" s="32">
        <f t="shared" si="30"/>
        <v>1497.1916666667903</v>
      </c>
      <c r="Q164" s="3">
        <f t="shared" si="31"/>
        <v>0</v>
      </c>
      <c r="R164" s="33">
        <f t="shared" si="32"/>
        <v>1497.1916666667903</v>
      </c>
      <c r="S164" s="34">
        <v>1</v>
      </c>
      <c r="T164" s="33">
        <f t="shared" si="33"/>
        <v>1497.1916666667903</v>
      </c>
      <c r="U164" s="32">
        <f t="shared" si="34"/>
        <v>0</v>
      </c>
      <c r="V164" s="33">
        <f t="shared" si="35"/>
        <v>0</v>
      </c>
      <c r="W164" s="34">
        <v>1</v>
      </c>
      <c r="X164" s="33">
        <f t="shared" si="36"/>
        <v>0</v>
      </c>
      <c r="Y164" s="32">
        <f t="shared" si="37"/>
        <v>1497.1916666667903</v>
      </c>
      <c r="Z164" s="33">
        <f t="shared" si="38"/>
        <v>7417.9041666666053</v>
      </c>
      <c r="AA164" s="4">
        <f t="shared" si="39"/>
        <v>2016.3333333333333</v>
      </c>
      <c r="AB164" s="3">
        <f t="shared" si="40"/>
        <v>2017.25</v>
      </c>
      <c r="AC164" s="35">
        <f>$H164+(($D164-1)/12)</f>
        <v>2026.3333333333333</v>
      </c>
      <c r="AD164" s="4">
        <f t="shared" si="41"/>
        <v>2016.25</v>
      </c>
      <c r="AE164" s="3">
        <f t="shared" si="42"/>
        <v>-8.3333333333333329E-2</v>
      </c>
    </row>
    <row r="165" spans="1:31" x14ac:dyDescent="0.25">
      <c r="A165" s="45" t="s">
        <v>269</v>
      </c>
      <c r="B165" s="3" t="s">
        <v>270</v>
      </c>
      <c r="C165" s="44">
        <v>2016</v>
      </c>
      <c r="D165" s="38">
        <v>6</v>
      </c>
      <c r="E165" s="29">
        <v>0</v>
      </c>
      <c r="F165" s="41" t="s">
        <v>64</v>
      </c>
      <c r="G165" s="4">
        <v>10</v>
      </c>
      <c r="H165" s="28">
        <f>C165+G165</f>
        <v>2026</v>
      </c>
      <c r="K165" s="10">
        <v>6157</v>
      </c>
      <c r="L165" s="11">
        <v>12669</v>
      </c>
      <c r="N165" s="11">
        <f>L165-L165*E165</f>
        <v>12669</v>
      </c>
      <c r="O165" s="3">
        <f t="shared" si="29"/>
        <v>105.575</v>
      </c>
      <c r="P165" s="32">
        <f t="shared" si="30"/>
        <v>1055.749999999904</v>
      </c>
      <c r="Q165" s="3">
        <f t="shared" si="31"/>
        <v>0</v>
      </c>
      <c r="R165" s="33">
        <f t="shared" si="32"/>
        <v>1055.749999999904</v>
      </c>
      <c r="S165" s="34">
        <v>1</v>
      </c>
      <c r="T165" s="33">
        <f t="shared" si="33"/>
        <v>1055.749999999904</v>
      </c>
      <c r="U165" s="32">
        <f t="shared" si="34"/>
        <v>0</v>
      </c>
      <c r="V165" s="33">
        <f t="shared" si="35"/>
        <v>0</v>
      </c>
      <c r="W165" s="34">
        <v>1</v>
      </c>
      <c r="X165" s="33">
        <f t="shared" si="36"/>
        <v>0</v>
      </c>
      <c r="Y165" s="32">
        <f t="shared" si="37"/>
        <v>1055.749999999904</v>
      </c>
      <c r="Z165" s="33">
        <f t="shared" si="38"/>
        <v>5806.6250000000482</v>
      </c>
      <c r="AA165" s="4">
        <f t="shared" si="39"/>
        <v>2016.4166666666667</v>
      </c>
      <c r="AB165" s="3">
        <f t="shared" si="40"/>
        <v>2017.25</v>
      </c>
      <c r="AC165" s="35">
        <f>$H165+(($D165-1)/12)</f>
        <v>2026.4166666666667</v>
      </c>
      <c r="AD165" s="4">
        <f t="shared" si="41"/>
        <v>2016.25</v>
      </c>
      <c r="AE165" s="3">
        <f t="shared" si="42"/>
        <v>-8.3333333333333329E-2</v>
      </c>
    </row>
    <row r="166" spans="1:31" x14ac:dyDescent="0.25">
      <c r="A166" s="45" t="s">
        <v>271</v>
      </c>
      <c r="B166" s="3" t="s">
        <v>272</v>
      </c>
      <c r="C166" s="44">
        <v>2016</v>
      </c>
      <c r="D166" s="38">
        <v>8</v>
      </c>
      <c r="E166" s="29">
        <v>0</v>
      </c>
      <c r="F166" s="41" t="s">
        <v>64</v>
      </c>
      <c r="G166" s="4">
        <v>10</v>
      </c>
      <c r="H166" s="28">
        <f>C166+G166</f>
        <v>2026</v>
      </c>
      <c r="K166" s="10">
        <v>6157</v>
      </c>
      <c r="L166" s="11">
        <v>28029</v>
      </c>
      <c r="N166" s="11">
        <f>L166-L166*E166</f>
        <v>28029</v>
      </c>
      <c r="O166" s="3">
        <f t="shared" si="29"/>
        <v>233.57500000000002</v>
      </c>
      <c r="P166" s="32">
        <f t="shared" si="30"/>
        <v>1868.6000000002125</v>
      </c>
      <c r="Q166" s="3">
        <f t="shared" si="31"/>
        <v>0</v>
      </c>
      <c r="R166" s="33">
        <f t="shared" si="32"/>
        <v>1868.6000000002125</v>
      </c>
      <c r="S166" s="34">
        <v>1</v>
      </c>
      <c r="T166" s="33">
        <f t="shared" si="33"/>
        <v>1868.6000000002125</v>
      </c>
      <c r="U166" s="32">
        <f t="shared" si="34"/>
        <v>0</v>
      </c>
      <c r="V166" s="33">
        <f t="shared" si="35"/>
        <v>0</v>
      </c>
      <c r="W166" s="34">
        <v>1</v>
      </c>
      <c r="X166" s="33">
        <f t="shared" si="36"/>
        <v>0</v>
      </c>
      <c r="Y166" s="32">
        <f t="shared" si="37"/>
        <v>1868.6000000002125</v>
      </c>
      <c r="Z166" s="33">
        <f t="shared" si="38"/>
        <v>13080.199999999893</v>
      </c>
      <c r="AA166" s="4">
        <f t="shared" si="39"/>
        <v>2016.5833333333333</v>
      </c>
      <c r="AB166" s="3">
        <f t="shared" si="40"/>
        <v>2017.25</v>
      </c>
      <c r="AC166" s="35">
        <f>$H166+(($D166-1)/12)</f>
        <v>2026.5833333333333</v>
      </c>
      <c r="AD166" s="4">
        <f t="shared" si="41"/>
        <v>2016.25</v>
      </c>
      <c r="AE166" s="3">
        <f t="shared" si="42"/>
        <v>-8.3333333333333329E-2</v>
      </c>
    </row>
    <row r="167" spans="1:31" x14ac:dyDescent="0.25">
      <c r="A167" s="45" t="s">
        <v>273</v>
      </c>
      <c r="B167" s="3" t="s">
        <v>274</v>
      </c>
      <c r="C167" s="44">
        <v>2016</v>
      </c>
      <c r="D167" s="38">
        <v>8</v>
      </c>
      <c r="E167" s="29">
        <v>0</v>
      </c>
      <c r="F167" s="41" t="s">
        <v>64</v>
      </c>
      <c r="G167" s="4">
        <v>10</v>
      </c>
      <c r="H167" s="28">
        <f>C167+G167</f>
        <v>2026</v>
      </c>
      <c r="K167" s="10">
        <v>6157</v>
      </c>
      <c r="L167" s="11">
        <v>15578</v>
      </c>
      <c r="N167" s="11">
        <f>L167-L167*E167</f>
        <v>15578</v>
      </c>
      <c r="O167" s="3">
        <f t="shared" si="29"/>
        <v>129.81666666666666</v>
      </c>
      <c r="P167" s="32">
        <f t="shared" si="30"/>
        <v>1038.5333333334513</v>
      </c>
      <c r="Q167" s="3">
        <f t="shared" si="31"/>
        <v>0</v>
      </c>
      <c r="R167" s="33">
        <f t="shared" si="32"/>
        <v>1038.5333333334513</v>
      </c>
      <c r="S167" s="34">
        <v>1</v>
      </c>
      <c r="T167" s="33">
        <f t="shared" si="33"/>
        <v>1038.5333333334513</v>
      </c>
      <c r="U167" s="32">
        <f t="shared" si="34"/>
        <v>0</v>
      </c>
      <c r="V167" s="33">
        <f t="shared" si="35"/>
        <v>0</v>
      </c>
      <c r="W167" s="34">
        <v>1</v>
      </c>
      <c r="X167" s="33">
        <f t="shared" si="36"/>
        <v>0</v>
      </c>
      <c r="Y167" s="32">
        <f t="shared" si="37"/>
        <v>1038.5333333334513</v>
      </c>
      <c r="Z167" s="33">
        <f t="shared" si="38"/>
        <v>7269.7333333332745</v>
      </c>
      <c r="AA167" s="4">
        <f t="shared" si="39"/>
        <v>2016.5833333333333</v>
      </c>
      <c r="AB167" s="3">
        <f t="shared" si="40"/>
        <v>2017.25</v>
      </c>
      <c r="AC167" s="35">
        <f>$H167+(($D167-1)/12)</f>
        <v>2026.5833333333333</v>
      </c>
      <c r="AD167" s="4">
        <f t="shared" si="41"/>
        <v>2016.25</v>
      </c>
      <c r="AE167" s="3">
        <f t="shared" si="42"/>
        <v>-8.3333333333333329E-2</v>
      </c>
    </row>
    <row r="168" spans="1:31" x14ac:dyDescent="0.25">
      <c r="A168" s="45" t="s">
        <v>275</v>
      </c>
      <c r="B168" s="3" t="s">
        <v>276</v>
      </c>
      <c r="C168" s="44">
        <v>2016</v>
      </c>
      <c r="D168" s="38">
        <v>8</v>
      </c>
      <c r="E168" s="29">
        <v>0</v>
      </c>
      <c r="F168" s="41" t="s">
        <v>64</v>
      </c>
      <c r="G168" s="4">
        <v>10</v>
      </c>
      <c r="H168" s="28">
        <f>C168+G168</f>
        <v>2026</v>
      </c>
      <c r="K168" s="10">
        <v>6157</v>
      </c>
      <c r="L168" s="11">
        <v>21508</v>
      </c>
      <c r="N168" s="11">
        <f>L168-L168*E168</f>
        <v>21508</v>
      </c>
      <c r="O168" s="3">
        <f t="shared" si="29"/>
        <v>179.23333333333335</v>
      </c>
      <c r="P168" s="32">
        <f t="shared" si="30"/>
        <v>1433.8666666668298</v>
      </c>
      <c r="Q168" s="3">
        <f t="shared" si="31"/>
        <v>0</v>
      </c>
      <c r="R168" s="33">
        <f t="shared" si="32"/>
        <v>1433.8666666668298</v>
      </c>
      <c r="S168" s="34">
        <v>1</v>
      </c>
      <c r="T168" s="33">
        <f t="shared" si="33"/>
        <v>1433.8666666668298</v>
      </c>
      <c r="U168" s="32">
        <f t="shared" si="34"/>
        <v>0</v>
      </c>
      <c r="V168" s="33">
        <f t="shared" si="35"/>
        <v>0</v>
      </c>
      <c r="W168" s="34">
        <v>1</v>
      </c>
      <c r="X168" s="33">
        <f t="shared" si="36"/>
        <v>0</v>
      </c>
      <c r="Y168" s="32">
        <f t="shared" si="37"/>
        <v>1433.8666666668298</v>
      </c>
      <c r="Z168" s="33">
        <f t="shared" si="38"/>
        <v>10037.066666666586</v>
      </c>
      <c r="AA168" s="4">
        <f t="shared" si="39"/>
        <v>2016.5833333333333</v>
      </c>
      <c r="AB168" s="3">
        <f t="shared" si="40"/>
        <v>2017.25</v>
      </c>
      <c r="AC168" s="35">
        <f>$H168+(($D168-1)/12)</f>
        <v>2026.5833333333333</v>
      </c>
      <c r="AD168" s="4">
        <f t="shared" si="41"/>
        <v>2016.25</v>
      </c>
      <c r="AE168" s="3">
        <f t="shared" si="42"/>
        <v>-8.3333333333333329E-2</v>
      </c>
    </row>
    <row r="169" spans="1:31" x14ac:dyDescent="0.25">
      <c r="A169" s="45" t="s">
        <v>277</v>
      </c>
      <c r="B169" s="3" t="s">
        <v>253</v>
      </c>
      <c r="C169" s="44">
        <v>2016</v>
      </c>
      <c r="D169" s="38">
        <v>10</v>
      </c>
      <c r="E169" s="29">
        <v>0</v>
      </c>
      <c r="F169" s="41" t="s">
        <v>64</v>
      </c>
      <c r="G169" s="4">
        <v>10</v>
      </c>
      <c r="H169" s="28">
        <f>C169+G169</f>
        <v>2026</v>
      </c>
      <c r="K169" s="10">
        <v>6157</v>
      </c>
      <c r="L169" s="11">
        <v>10190</v>
      </c>
      <c r="N169" s="11">
        <f>L169-L169*E169</f>
        <v>10190</v>
      </c>
      <c r="O169" s="3">
        <f t="shared" si="29"/>
        <v>84.916666666666671</v>
      </c>
      <c r="P169" s="32">
        <f t="shared" si="30"/>
        <v>509.5</v>
      </c>
      <c r="Q169" s="3">
        <f t="shared" si="31"/>
        <v>0</v>
      </c>
      <c r="R169" s="33">
        <f t="shared" si="32"/>
        <v>509.5</v>
      </c>
      <c r="S169" s="34">
        <v>1</v>
      </c>
      <c r="T169" s="33">
        <f t="shared" si="33"/>
        <v>509.5</v>
      </c>
      <c r="U169" s="32">
        <f t="shared" si="34"/>
        <v>0</v>
      </c>
      <c r="V169" s="33">
        <f t="shared" si="35"/>
        <v>0</v>
      </c>
      <c r="W169" s="34">
        <v>1</v>
      </c>
      <c r="X169" s="33">
        <f t="shared" si="36"/>
        <v>0</v>
      </c>
      <c r="Y169" s="32">
        <f t="shared" si="37"/>
        <v>509.5</v>
      </c>
      <c r="Z169" s="33">
        <f t="shared" si="38"/>
        <v>4840.25</v>
      </c>
      <c r="AA169" s="4">
        <f t="shared" si="39"/>
        <v>2016.75</v>
      </c>
      <c r="AB169" s="3">
        <f t="shared" si="40"/>
        <v>2017.25</v>
      </c>
      <c r="AC169" s="35">
        <f>$H169+(($D169-1)/12)</f>
        <v>2026.75</v>
      </c>
      <c r="AD169" s="4">
        <f t="shared" si="41"/>
        <v>2016.25</v>
      </c>
      <c r="AE169" s="3">
        <f t="shared" si="42"/>
        <v>-8.3333333333333329E-2</v>
      </c>
    </row>
    <row r="170" spans="1:31" x14ac:dyDescent="0.25">
      <c r="A170" s="45" t="s">
        <v>278</v>
      </c>
      <c r="B170" s="3" t="s">
        <v>279</v>
      </c>
      <c r="C170" s="44">
        <v>2016</v>
      </c>
      <c r="D170" s="38">
        <v>11</v>
      </c>
      <c r="E170" s="29">
        <v>0</v>
      </c>
      <c r="F170" s="41" t="s">
        <v>64</v>
      </c>
      <c r="G170" s="4">
        <v>10</v>
      </c>
      <c r="H170" s="28">
        <f>C170+G170</f>
        <v>2026</v>
      </c>
      <c r="K170" s="10">
        <v>6157</v>
      </c>
      <c r="L170" s="11">
        <v>3176</v>
      </c>
      <c r="N170" s="11">
        <f>L170-L170*E170</f>
        <v>3176</v>
      </c>
      <c r="O170" s="3">
        <f t="shared" si="29"/>
        <v>26.466666666666669</v>
      </c>
      <c r="P170" s="32">
        <f t="shared" si="30"/>
        <v>132.33333333335742</v>
      </c>
      <c r="Q170" s="3">
        <f t="shared" si="31"/>
        <v>0</v>
      </c>
      <c r="R170" s="33">
        <f t="shared" si="32"/>
        <v>132.33333333335742</v>
      </c>
      <c r="S170" s="34">
        <v>1</v>
      </c>
      <c r="T170" s="33">
        <f t="shared" si="33"/>
        <v>132.33333333335742</v>
      </c>
      <c r="U170" s="32">
        <f t="shared" si="34"/>
        <v>0</v>
      </c>
      <c r="V170" s="33">
        <f t="shared" si="35"/>
        <v>0</v>
      </c>
      <c r="W170" s="34">
        <v>1</v>
      </c>
      <c r="X170" s="33">
        <f t="shared" si="36"/>
        <v>0</v>
      </c>
      <c r="Y170" s="32">
        <f t="shared" si="37"/>
        <v>132.33333333335742</v>
      </c>
      <c r="Z170" s="33">
        <f t="shared" si="38"/>
        <v>1521.8333333333212</v>
      </c>
      <c r="AA170" s="4">
        <f t="shared" si="39"/>
        <v>2016.8333333333333</v>
      </c>
      <c r="AB170" s="3">
        <f t="shared" si="40"/>
        <v>2017.25</v>
      </c>
      <c r="AC170" s="35">
        <f>$H170+(($D170-1)/12)</f>
        <v>2026.8333333333333</v>
      </c>
      <c r="AD170" s="4">
        <f t="shared" si="41"/>
        <v>2016.25</v>
      </c>
      <c r="AE170" s="3">
        <f t="shared" si="42"/>
        <v>-8.3333333333333329E-2</v>
      </c>
    </row>
    <row r="171" spans="1:31" x14ac:dyDescent="0.25">
      <c r="A171" s="43" t="s">
        <v>280</v>
      </c>
      <c r="B171" s="3" t="s">
        <v>281</v>
      </c>
      <c r="C171" s="44">
        <v>2016</v>
      </c>
      <c r="D171" s="38">
        <v>12</v>
      </c>
      <c r="E171" s="29">
        <v>0</v>
      </c>
      <c r="F171" s="41" t="s">
        <v>64</v>
      </c>
      <c r="G171" s="4">
        <v>10</v>
      </c>
      <c r="H171" s="28">
        <f>C171+G171</f>
        <v>2026</v>
      </c>
      <c r="K171" s="10">
        <v>7500</v>
      </c>
      <c r="L171" s="11">
        <v>4614</v>
      </c>
      <c r="N171" s="11">
        <f>L171-L171*E171</f>
        <v>4614</v>
      </c>
      <c r="O171" s="3">
        <f t="shared" si="29"/>
        <v>38.449999999999996</v>
      </c>
      <c r="P171" s="32">
        <f t="shared" si="30"/>
        <v>153.79999999996502</v>
      </c>
      <c r="Q171" s="3">
        <f t="shared" si="31"/>
        <v>0</v>
      </c>
      <c r="R171" s="33">
        <f t="shared" si="32"/>
        <v>153.79999999996502</v>
      </c>
      <c r="S171" s="34">
        <v>1</v>
      </c>
      <c r="T171" s="33">
        <f t="shared" si="33"/>
        <v>153.79999999996502</v>
      </c>
      <c r="U171" s="32">
        <f t="shared" si="34"/>
        <v>0</v>
      </c>
      <c r="V171" s="33">
        <f t="shared" si="35"/>
        <v>0</v>
      </c>
      <c r="W171" s="34">
        <v>1</v>
      </c>
      <c r="X171" s="33">
        <f t="shared" si="36"/>
        <v>0</v>
      </c>
      <c r="Y171" s="32">
        <f t="shared" si="37"/>
        <v>153.79999999996502</v>
      </c>
      <c r="Z171" s="33">
        <f t="shared" si="38"/>
        <v>2230.1000000000176</v>
      </c>
      <c r="AA171" s="4">
        <f t="shared" si="39"/>
        <v>2016.9166666666667</v>
      </c>
      <c r="AB171" s="3">
        <f t="shared" si="40"/>
        <v>2017.25</v>
      </c>
      <c r="AC171" s="35">
        <f>$H171+(($D171-1)/12)</f>
        <v>2026.9166666666667</v>
      </c>
      <c r="AD171" s="4">
        <f t="shared" si="41"/>
        <v>2016.25</v>
      </c>
      <c r="AE171" s="3">
        <f t="shared" si="42"/>
        <v>-8.3333333333333329E-2</v>
      </c>
    </row>
    <row r="172" spans="1:31" x14ac:dyDescent="0.25">
      <c r="A172" s="43" t="s">
        <v>282</v>
      </c>
      <c r="B172" s="3" t="s">
        <v>283</v>
      </c>
      <c r="C172" s="44">
        <v>2016</v>
      </c>
      <c r="D172" s="38">
        <v>12</v>
      </c>
      <c r="E172" s="29">
        <v>0</v>
      </c>
      <c r="F172" s="41" t="s">
        <v>64</v>
      </c>
      <c r="G172" s="4">
        <v>10</v>
      </c>
      <c r="H172" s="28">
        <f>C172+G172</f>
        <v>2026</v>
      </c>
      <c r="K172" s="10">
        <v>7500</v>
      </c>
      <c r="L172" s="11">
        <v>4866</v>
      </c>
      <c r="N172" s="11">
        <f>L172-L172*E172</f>
        <v>4866</v>
      </c>
      <c r="O172" s="3">
        <f t="shared" si="29"/>
        <v>40.550000000000004</v>
      </c>
      <c r="P172" s="32">
        <f t="shared" si="30"/>
        <v>162.19999999996313</v>
      </c>
      <c r="Q172" s="3">
        <f t="shared" si="31"/>
        <v>0</v>
      </c>
      <c r="R172" s="33">
        <f t="shared" si="32"/>
        <v>162.19999999996313</v>
      </c>
      <c r="S172" s="34">
        <v>1</v>
      </c>
      <c r="T172" s="33">
        <f t="shared" si="33"/>
        <v>162.19999999996313</v>
      </c>
      <c r="U172" s="32">
        <f t="shared" si="34"/>
        <v>0</v>
      </c>
      <c r="V172" s="33">
        <f t="shared" si="35"/>
        <v>0</v>
      </c>
      <c r="W172" s="34">
        <v>1</v>
      </c>
      <c r="X172" s="33">
        <f t="shared" si="36"/>
        <v>0</v>
      </c>
      <c r="Y172" s="32">
        <f t="shared" si="37"/>
        <v>162.19999999996313</v>
      </c>
      <c r="Z172" s="33">
        <f t="shared" si="38"/>
        <v>2351.9000000000183</v>
      </c>
      <c r="AA172" s="4">
        <f t="shared" si="39"/>
        <v>2016.9166666666667</v>
      </c>
      <c r="AB172" s="3">
        <f t="shared" si="40"/>
        <v>2017.25</v>
      </c>
      <c r="AC172" s="35">
        <f>$H172+(($D172-1)/12)</f>
        <v>2026.9166666666667</v>
      </c>
      <c r="AD172" s="4">
        <f t="shared" si="41"/>
        <v>2016.25</v>
      </c>
      <c r="AE172" s="3">
        <f t="shared" si="42"/>
        <v>-8.3333333333333329E-2</v>
      </c>
    </row>
    <row r="173" spans="1:31" x14ac:dyDescent="0.25">
      <c r="A173" s="43" t="s">
        <v>280</v>
      </c>
      <c r="B173" s="3" t="s">
        <v>284</v>
      </c>
      <c r="C173" s="44">
        <v>2016</v>
      </c>
      <c r="D173" s="38">
        <v>12</v>
      </c>
      <c r="E173" s="29">
        <v>0</v>
      </c>
      <c r="F173" s="41" t="s">
        <v>64</v>
      </c>
      <c r="G173" s="4">
        <v>10</v>
      </c>
      <c r="H173" s="28">
        <f>C173+G173</f>
        <v>2026</v>
      </c>
      <c r="K173" s="10">
        <v>7500</v>
      </c>
      <c r="L173" s="11">
        <v>10929</v>
      </c>
      <c r="N173" s="11">
        <f>L173-L173*E173</f>
        <v>10929</v>
      </c>
      <c r="O173" s="3">
        <f>N173/G173/12</f>
        <v>91.075000000000003</v>
      </c>
      <c r="P173" s="32">
        <f>IF(M173&gt;0,0,IF(OR(AA173&gt;AB173,AC173&lt;AD173),0,IF(AND(AC173&gt;=AD173,AC173&lt;=AB173),O173*((AC173-AD173)*12),IF(AND(AD173&lt;=AA173,AB173&gt;=AA173),((AB173-AA173)*12)*O173,IF(AC173&gt;AB173,12*O173,0)))))</f>
        <v>364.29999999991719</v>
      </c>
      <c r="Q173" s="3">
        <f t="shared" si="31"/>
        <v>0</v>
      </c>
      <c r="R173" s="33">
        <f>IF(Q173&gt;0,Q173,P173)</f>
        <v>364.29999999991719</v>
      </c>
      <c r="S173" s="34">
        <v>1</v>
      </c>
      <c r="T173" s="33">
        <f>S173*R173</f>
        <v>364.29999999991719</v>
      </c>
      <c r="U173" s="32">
        <f t="shared" si="34"/>
        <v>0</v>
      </c>
      <c r="V173" s="33">
        <f>U173*S173</f>
        <v>0</v>
      </c>
      <c r="W173" s="34">
        <v>1</v>
      </c>
      <c r="X173" s="33">
        <f>V173*W173</f>
        <v>0</v>
      </c>
      <c r="Y173" s="32">
        <f>IF(M173&gt;0,0,X173+T173*W173)*W173</f>
        <v>364.29999999991719</v>
      </c>
      <c r="Z173" s="33">
        <f>IF(M173&gt;0,(L173-X173)/2,IF(AA173&gt;=AD173,(((L173*S173)*W173)-Y173)/2,((((L173*S173)*W173)-X173)+(((L173*S173)*W173)-Y173))/2))</f>
        <v>5282.3500000000413</v>
      </c>
      <c r="AA173" s="4">
        <f t="shared" si="39"/>
        <v>2016.9166666666667</v>
      </c>
      <c r="AB173" s="3">
        <f t="shared" si="40"/>
        <v>2017.25</v>
      </c>
      <c r="AC173" s="35">
        <f>$H173+(($D173-1)/12)</f>
        <v>2026.9166666666667</v>
      </c>
      <c r="AD173" s="4">
        <f t="shared" si="41"/>
        <v>2016.25</v>
      </c>
      <c r="AE173" s="3">
        <f t="shared" si="42"/>
        <v>-8.3333333333333329E-2</v>
      </c>
    </row>
    <row r="174" spans="1:31" x14ac:dyDescent="0.25">
      <c r="A174" s="45" t="s">
        <v>285</v>
      </c>
      <c r="B174" s="3" t="s">
        <v>286</v>
      </c>
      <c r="C174" s="44">
        <v>2017</v>
      </c>
      <c r="D174" s="38">
        <v>2</v>
      </c>
      <c r="E174" s="29">
        <v>0</v>
      </c>
      <c r="F174" s="41" t="s">
        <v>64</v>
      </c>
      <c r="G174" s="4">
        <v>10</v>
      </c>
      <c r="H174" s="28">
        <f>C174+G174</f>
        <v>2027</v>
      </c>
      <c r="K174" s="10">
        <v>6157</v>
      </c>
      <c r="L174" s="11">
        <v>19925</v>
      </c>
      <c r="N174" s="11">
        <f>L174-L174*E174</f>
        <v>19925</v>
      </c>
      <c r="O174" s="3">
        <f>N174/G174/12</f>
        <v>166.04166666666666</v>
      </c>
      <c r="P174" s="32">
        <f>IF(M174&gt;0,0,IF(OR(AA174&gt;AB174,AC174&lt;AD174),0,IF(AND(AC174&gt;=AD174,AC174&lt;=AB174),O174*((AC174-AD174)*12),IF(AND(AD174&lt;=AA174,AB174&gt;=AA174),((AB174-AA174)*12)*O174,IF(AC174&gt;AB174,12*O174,0)))))</f>
        <v>332.08333333348435</v>
      </c>
      <c r="Q174" s="3">
        <f t="shared" si="31"/>
        <v>0</v>
      </c>
      <c r="R174" s="33">
        <f>IF(Q174&gt;0,Q174,P174)</f>
        <v>332.08333333348435</v>
      </c>
      <c r="S174" s="34">
        <v>1</v>
      </c>
      <c r="T174" s="33">
        <f>S174*R174</f>
        <v>332.08333333348435</v>
      </c>
      <c r="U174" s="32">
        <f t="shared" si="34"/>
        <v>0</v>
      </c>
      <c r="V174" s="33">
        <f>U174*S174</f>
        <v>0</v>
      </c>
      <c r="W174" s="34">
        <v>1</v>
      </c>
      <c r="X174" s="33">
        <f>V174*W174</f>
        <v>0</v>
      </c>
      <c r="Y174" s="32">
        <f>IF(M174&gt;0,0,X174+T174*W174)*W174</f>
        <v>332.08333333348435</v>
      </c>
      <c r="Z174" s="33">
        <f>IF(M174&gt;0,(L174-X174)/2,IF(AA174&gt;=AD174,(((L174*S174)*W174)-Y174)/2,((((L174*S174)*W174)-X174)+(((L174*S174)*W174)-Y174))/2))</f>
        <v>9796.4583333332575</v>
      </c>
      <c r="AA174" s="4">
        <f t="shared" si="39"/>
        <v>2017.0833333333333</v>
      </c>
      <c r="AB174" s="3">
        <f t="shared" si="40"/>
        <v>2017.25</v>
      </c>
      <c r="AC174" s="35">
        <f>$H174+(($D174-1)/12)</f>
        <v>2027.0833333333333</v>
      </c>
      <c r="AD174" s="4">
        <f t="shared" si="41"/>
        <v>2016.25</v>
      </c>
      <c r="AE174" s="3">
        <f t="shared" si="42"/>
        <v>-8.3333333333333329E-2</v>
      </c>
    </row>
    <row r="175" spans="1:31" x14ac:dyDescent="0.25">
      <c r="A175" s="45" t="s">
        <v>287</v>
      </c>
      <c r="B175" s="3" t="s">
        <v>288</v>
      </c>
      <c r="C175" s="44">
        <v>2017</v>
      </c>
      <c r="D175" s="38">
        <v>2</v>
      </c>
      <c r="E175" s="29">
        <v>0</v>
      </c>
      <c r="F175" s="41" t="s">
        <v>64</v>
      </c>
      <c r="G175" s="4">
        <v>10</v>
      </c>
      <c r="H175" s="28">
        <f>C175+G175</f>
        <v>2027</v>
      </c>
      <c r="K175" s="10">
        <v>6157</v>
      </c>
      <c r="L175" s="11">
        <v>17620</v>
      </c>
      <c r="N175" s="11">
        <f>L175-L175*E175</f>
        <v>17620</v>
      </c>
      <c r="O175" s="3">
        <f>N175/G175/12</f>
        <v>146.83333333333334</v>
      </c>
      <c r="P175" s="32">
        <f>IF(M175&gt;0,0,IF(OR(AA175&gt;AB175,AC175&lt;AD175),0,IF(AND(AC175&gt;=AD175,AC175&lt;=AB175),O175*((AC175-AD175)*12),IF(AND(AD175&lt;=AA175,AB175&gt;=AA175),((AB175-AA175)*12)*O175,IF(AC175&gt;AB175,12*O175,0)))))</f>
        <v>293.66666666680021</v>
      </c>
      <c r="Q175" s="3">
        <f t="shared" si="31"/>
        <v>0</v>
      </c>
      <c r="R175" s="33">
        <f>IF(Q175&gt;0,Q175,P175)</f>
        <v>293.66666666680021</v>
      </c>
      <c r="S175" s="34">
        <v>1</v>
      </c>
      <c r="T175" s="33">
        <f>S175*R175</f>
        <v>293.66666666680021</v>
      </c>
      <c r="U175" s="32">
        <f t="shared" si="34"/>
        <v>0</v>
      </c>
      <c r="V175" s="33">
        <f>U175*S175</f>
        <v>0</v>
      </c>
      <c r="W175" s="34">
        <v>1</v>
      </c>
      <c r="X175" s="33">
        <f>V175*W175</f>
        <v>0</v>
      </c>
      <c r="Y175" s="32">
        <f>IF(M175&gt;0,0,X175+T175*W175)*W175</f>
        <v>293.66666666680021</v>
      </c>
      <c r="Z175" s="33">
        <f>IF(M175&gt;0,(L175-X175)/2,IF(AA175&gt;=AD175,(((L175*S175)*W175)-Y175)/2,((((L175*S175)*W175)-X175)+(((L175*S175)*W175)-Y175))/2))</f>
        <v>8663.1666666666006</v>
      </c>
      <c r="AA175" s="4">
        <f t="shared" si="39"/>
        <v>2017.0833333333333</v>
      </c>
      <c r="AB175" s="3">
        <f t="shared" si="40"/>
        <v>2017.25</v>
      </c>
      <c r="AC175" s="35">
        <f>$H175+(($D175-1)/12)</f>
        <v>2027.0833333333333</v>
      </c>
      <c r="AD175" s="4">
        <f t="shared" si="41"/>
        <v>2016.25</v>
      </c>
      <c r="AE175" s="3">
        <f t="shared" si="42"/>
        <v>-8.3333333333333329E-2</v>
      </c>
    </row>
    <row r="176" spans="1:31" x14ac:dyDescent="0.25">
      <c r="A176" s="45" t="s">
        <v>289</v>
      </c>
      <c r="B176" s="3" t="s">
        <v>290</v>
      </c>
      <c r="C176" s="44">
        <v>2016</v>
      </c>
      <c r="D176" s="38">
        <v>4</v>
      </c>
      <c r="E176" s="29">
        <v>0</v>
      </c>
      <c r="F176" s="41" t="s">
        <v>64</v>
      </c>
      <c r="G176" s="4">
        <v>5</v>
      </c>
      <c r="H176" s="28">
        <f>C176+G176</f>
        <v>2021</v>
      </c>
      <c r="K176" s="10">
        <v>6157</v>
      </c>
      <c r="L176" s="11">
        <v>35247</v>
      </c>
      <c r="N176" s="11">
        <f>L176-L176*E176</f>
        <v>35247</v>
      </c>
      <c r="O176" s="3">
        <f>N176/G176/12</f>
        <v>587.44999999999993</v>
      </c>
      <c r="P176" s="32">
        <f>IF(M176&gt;0,0,IF(OR(AA176&gt;AB176,AC176&lt;AD176),0,IF(AND(AC176&gt;=AD176,AC176&lt;=AB176),O176*((AC176-AD176)*12),IF(AND(AD176&lt;=AA176,AB176&gt;=AA176),((AB176-AA176)*12)*O176,IF(AC176&gt;AB176,12*O176,0)))))</f>
        <v>7049.4</v>
      </c>
      <c r="Q176" s="3">
        <f t="shared" si="31"/>
        <v>0</v>
      </c>
      <c r="R176" s="33">
        <f>IF(Q176&gt;0,Q176,P176)</f>
        <v>7049.4</v>
      </c>
      <c r="S176" s="34">
        <v>1</v>
      </c>
      <c r="T176" s="33">
        <f>S176*R176</f>
        <v>7049.4</v>
      </c>
      <c r="U176" s="32">
        <f t="shared" si="34"/>
        <v>0</v>
      </c>
      <c r="V176" s="33">
        <f>U176*S176</f>
        <v>0</v>
      </c>
      <c r="W176" s="34">
        <v>1</v>
      </c>
      <c r="X176" s="33">
        <f>V176*W176</f>
        <v>0</v>
      </c>
      <c r="Y176" s="32">
        <f>IF(M176&gt;0,0,X176+T176*W176)*W176</f>
        <v>7049.4</v>
      </c>
      <c r="Z176" s="33">
        <f>IF(M176&gt;0,(L176-X176)/2,IF(AA176&gt;=AD176,(((L176*S176)*W176)-Y176)/2,((((L176*S176)*W176)-X176)+(((L176*S176)*W176)-Y176))/2))</f>
        <v>14098.8</v>
      </c>
      <c r="AA176" s="4">
        <f t="shared" si="39"/>
        <v>2016.25</v>
      </c>
      <c r="AB176" s="3">
        <f t="shared" si="40"/>
        <v>2017.25</v>
      </c>
      <c r="AC176" s="35">
        <f>$H176+(($D176-1)/12)</f>
        <v>2021.25</v>
      </c>
      <c r="AD176" s="4">
        <f t="shared" si="41"/>
        <v>2016.25</v>
      </c>
      <c r="AE176" s="3">
        <f t="shared" si="42"/>
        <v>-8.3333333333333329E-2</v>
      </c>
    </row>
    <row r="177" spans="1:31" x14ac:dyDescent="0.25">
      <c r="A177" s="43"/>
      <c r="C177" s="46"/>
      <c r="D177" s="47"/>
      <c r="E177" s="29"/>
      <c r="F177" s="41"/>
      <c r="G177" s="4"/>
      <c r="H177" s="28"/>
    </row>
    <row r="178" spans="1:31" x14ac:dyDescent="0.25">
      <c r="A178" s="40"/>
      <c r="C178" s="48"/>
      <c r="D178" s="47"/>
      <c r="E178" s="37"/>
      <c r="F178" s="37"/>
      <c r="G178" s="37"/>
      <c r="O178" s="10">
        <f>SUM(O12:O177)</f>
        <v>40254.708592380972</v>
      </c>
      <c r="P178" s="10">
        <f>SUM(P12:P94)</f>
        <v>188090.8562333298</v>
      </c>
      <c r="R178" s="10">
        <f>SUM(R12:R177)</f>
        <v>253819.32123333056</v>
      </c>
      <c r="T178" s="10">
        <f>SUM(T12:T177)</f>
        <v>228292.04027605944</v>
      </c>
      <c r="Z178" s="10">
        <f>SUM(Z12:Z177)</f>
        <v>1555333.4438504234</v>
      </c>
    </row>
    <row r="179" spans="1:31" x14ac:dyDescent="0.25">
      <c r="A179" s="40"/>
      <c r="C179" s="48"/>
      <c r="D179" s="47"/>
      <c r="E179" s="37"/>
      <c r="F179" s="37"/>
      <c r="G179" s="37"/>
    </row>
    <row r="180" spans="1:31" x14ac:dyDescent="0.25">
      <c r="A180" s="40"/>
      <c r="C180" s="48"/>
      <c r="D180" s="47"/>
      <c r="E180" s="37"/>
      <c r="F180" s="37"/>
      <c r="G180" s="37"/>
      <c r="S180" s="49" t="s">
        <v>291</v>
      </c>
      <c r="T180" s="3">
        <f>SUM(T13:T47)</f>
        <v>127495.84653332968</v>
      </c>
    </row>
    <row r="181" spans="1:31" x14ac:dyDescent="0.25">
      <c r="A181" s="40"/>
      <c r="C181" s="48"/>
      <c r="D181" s="47"/>
      <c r="E181" s="37"/>
      <c r="F181" s="37"/>
      <c r="G181" s="37"/>
      <c r="S181" s="49" t="s">
        <v>292</v>
      </c>
      <c r="T181" s="3">
        <f>SUM(T48:T176)</f>
        <v>100796.19374272955</v>
      </c>
    </row>
    <row r="182" spans="1:31" x14ac:dyDescent="0.25">
      <c r="A182" s="40"/>
      <c r="C182" s="48"/>
      <c r="D182" s="47"/>
      <c r="E182" s="37"/>
      <c r="F182" s="37"/>
      <c r="G182" s="37"/>
    </row>
    <row r="183" spans="1:31" x14ac:dyDescent="0.25">
      <c r="A183" s="40"/>
      <c r="C183" s="48"/>
      <c r="D183" s="47"/>
      <c r="E183" s="37"/>
      <c r="F183" s="37"/>
    </row>
    <row r="184" spans="1:31" x14ac:dyDescent="0.25">
      <c r="A184" s="40"/>
      <c r="C184" s="48"/>
      <c r="D184" s="47"/>
      <c r="E184" s="37"/>
      <c r="F184" s="37"/>
      <c r="T184" s="3">
        <f>SUM(T180:T181)</f>
        <v>228292.04027605924</v>
      </c>
    </row>
    <row r="185" spans="1:31" x14ac:dyDescent="0.25">
      <c r="A185" s="40"/>
      <c r="C185" s="48"/>
      <c r="D185" s="47"/>
      <c r="E185" s="37"/>
      <c r="F185" s="37"/>
    </row>
    <row r="186" spans="1:31" x14ac:dyDescent="0.25">
      <c r="A186" s="40" t="s">
        <v>293</v>
      </c>
      <c r="C186" s="48"/>
      <c r="D186" s="47"/>
      <c r="E186" s="37"/>
      <c r="F186" s="37"/>
    </row>
    <row r="187" spans="1:31" x14ac:dyDescent="0.25">
      <c r="A187" s="43" t="s">
        <v>294</v>
      </c>
      <c r="B187" s="3" t="s">
        <v>295</v>
      </c>
      <c r="C187" s="44">
        <v>2013</v>
      </c>
      <c r="D187" s="38">
        <v>5</v>
      </c>
      <c r="E187" s="29">
        <v>0</v>
      </c>
      <c r="F187" s="41" t="s">
        <v>64</v>
      </c>
      <c r="G187" s="4">
        <v>3</v>
      </c>
      <c r="H187" s="28">
        <f>C187+G187</f>
        <v>2016</v>
      </c>
      <c r="K187" s="10">
        <v>68721.56</v>
      </c>
      <c r="L187" s="11">
        <v>2087</v>
      </c>
      <c r="N187" s="11">
        <f>L187-L187*E187</f>
        <v>2087</v>
      </c>
      <c r="O187" s="3">
        <f>N187/G187/12</f>
        <v>57.972222222222221</v>
      </c>
      <c r="P187" s="32">
        <f>IF(M187&gt;0,0,IF(OR(AA187&gt;AB187,AC187&lt;AD187),0,IF(AND(AC187&gt;=AD187,AC187&lt;=AB187),O187*((AC187-AD187)*12),IF(AND(AD187&lt;=AA187,AB187&gt;=AA187),((AB187-AA187)*12)*O187,IF(AC187&gt;AB187,12*O187,0)))))</f>
        <v>57.972222222169499</v>
      </c>
      <c r="Q187" s="3">
        <f>IF(M187=0,0,IF(AND(AE187&gt;=AD187,AE187&lt;=AC187),((AE187-AD187)*12)*O187,0))</f>
        <v>0</v>
      </c>
      <c r="R187" s="33">
        <f>IF(Q187&gt;0,Q187,P187)</f>
        <v>57.972222222169499</v>
      </c>
      <c r="S187" s="34">
        <v>0.2432</v>
      </c>
      <c r="T187" s="33">
        <f>S187*R187</f>
        <v>14.098844444431622</v>
      </c>
      <c r="U187" s="32">
        <f>IF(AA187&gt;AB187,0,IF(AC187&lt;AD187,N187,IF(AND(AC187&gt;=AD187,AC187&lt;=AB187),(N187-R187),IF(AND(AD187&lt;=AA187,AB187&gt;=AA187),0,IF(AC187&gt;AB187,((AD187-AA187)*12)*O187,0)))))</f>
        <v>2029.0277777778306</v>
      </c>
      <c r="V187" s="33">
        <f>U187*S187</f>
        <v>493.45955555556839</v>
      </c>
      <c r="W187" s="34">
        <v>1</v>
      </c>
      <c r="X187" s="33">
        <f>V187*W187</f>
        <v>493.45955555556839</v>
      </c>
      <c r="Y187" s="32">
        <f>IF(M187&gt;0,0,X187+T187*W187)*W187</f>
        <v>507.55840000000001</v>
      </c>
      <c r="Z187" s="33">
        <f>IF(M187&gt;0,(L187-X187)/2,IF(AA187&gt;=AD187,(((L187*S187)*W187)-Y187)/2,((((L187*S187)*W187)-X187)+(((L187*S187)*W187)-Y187))/2))</f>
        <v>7.0494222222158101</v>
      </c>
      <c r="AA187" s="4">
        <f>$C187+(($D187-1)/12)</f>
        <v>2013.3333333333333</v>
      </c>
      <c r="AB187" s="3">
        <f>($N$5+1)-($N$2/12)</f>
        <v>2017.25</v>
      </c>
      <c r="AC187" s="35">
        <f>$H187+(($D187-1)/12)</f>
        <v>2016.3333333333333</v>
      </c>
      <c r="AD187" s="4">
        <f>$N$4+($N$3/12)</f>
        <v>2016.25</v>
      </c>
      <c r="AE187" s="3">
        <f>$I187+(($J187-1)/12)</f>
        <v>-8.3333333333333329E-2</v>
      </c>
    </row>
    <row r="188" spans="1:31" x14ac:dyDescent="0.25">
      <c r="A188" s="43" t="s">
        <v>296</v>
      </c>
      <c r="B188" s="3" t="s">
        <v>297</v>
      </c>
      <c r="C188" s="44">
        <v>2016</v>
      </c>
      <c r="D188" s="38">
        <v>4</v>
      </c>
      <c r="E188" s="29">
        <v>0</v>
      </c>
      <c r="F188" s="41" t="s">
        <v>64</v>
      </c>
      <c r="G188" s="4">
        <v>3</v>
      </c>
      <c r="H188" s="28">
        <f>C188+G188</f>
        <v>2019</v>
      </c>
      <c r="K188" s="10">
        <v>68721.56</v>
      </c>
      <c r="L188" s="11">
        <v>4319</v>
      </c>
      <c r="N188" s="11">
        <f>L188-L188*E188</f>
        <v>4319</v>
      </c>
      <c r="O188" s="3">
        <f>N188/G188/12</f>
        <v>119.97222222222223</v>
      </c>
      <c r="P188" s="32">
        <f>IF(M188&gt;0,0,IF(OR(AA188&gt;AB188,AC188&lt;AD188),0,IF(AND(AC188&gt;=AD188,AC188&lt;=AB188),O188*((AC188-AD188)*12),IF(AND(AD188&lt;=AA188,AB188&gt;=AA188),((AB188-AA188)*12)*O188,IF(AC188&gt;AB188,12*O188,0)))))</f>
        <v>1439.6666666666667</v>
      </c>
      <c r="Q188" s="3">
        <f>IF(M188=0,0,IF(AND(AE188&gt;=AD188,AE188&lt;=AC188),((AE188-AD188)*12)*O188,0))</f>
        <v>0</v>
      </c>
      <c r="R188" s="33">
        <f>IF(Q188&gt;0,Q188,P188)</f>
        <v>1439.6666666666667</v>
      </c>
      <c r="S188" s="34">
        <v>0.2432</v>
      </c>
      <c r="T188" s="33">
        <f>S188*R188</f>
        <v>350.12693333333334</v>
      </c>
      <c r="U188" s="32">
        <f>IF(AA188&gt;AB188,0,IF(AC188&lt;AD188,N188,IF(AND(AC188&gt;=AD188,AC188&lt;=AB188),(N188-R188),IF(AND(AD188&lt;=AA188,AB188&gt;=AA188),0,IF(AC188&gt;AB188,((AD188-AA188)*12)*O188,0)))))</f>
        <v>0</v>
      </c>
      <c r="V188" s="33">
        <f>U188*S188</f>
        <v>0</v>
      </c>
      <c r="W188" s="34">
        <v>1</v>
      </c>
      <c r="X188" s="33">
        <f>V188*W188</f>
        <v>0</v>
      </c>
      <c r="Y188" s="32">
        <f>IF(M188&gt;0,0,X188+T188*W188)*W188</f>
        <v>350.12693333333334</v>
      </c>
      <c r="Z188" s="33">
        <f>IF(M188&gt;0,(L188-X188)/2,IF(AA188&gt;=AD188,(((L188*S188)*W188)-Y188)/2,((((L188*S188)*W188)-X188)+(((L188*S188)*W188)-Y188))/2))</f>
        <v>350.12693333333328</v>
      </c>
      <c r="AA188" s="4">
        <f>$C188+(($D188-1)/12)</f>
        <v>2016.25</v>
      </c>
      <c r="AB188" s="3">
        <f>($N$5+1)-($N$2/12)</f>
        <v>2017.25</v>
      </c>
      <c r="AC188" s="35">
        <f>$H188+(($D188-1)/12)</f>
        <v>2019.25</v>
      </c>
      <c r="AD188" s="4">
        <f>$N$4+($N$3/12)</f>
        <v>2016.25</v>
      </c>
      <c r="AE188" s="3">
        <f>$I188+(($J188-1)/12)</f>
        <v>-8.3333333333333329E-2</v>
      </c>
    </row>
    <row r="189" spans="1:31" ht="15" customHeight="1" x14ac:dyDescent="0.25">
      <c r="A189" s="40"/>
      <c r="C189" s="48"/>
      <c r="D189" s="47"/>
      <c r="E189" s="37"/>
      <c r="F189" s="37"/>
      <c r="Z189" s="4">
        <f>SUM(Z187:Z188)</f>
        <v>357.17635555554909</v>
      </c>
    </row>
    <row r="190" spans="1:31" x14ac:dyDescent="0.25">
      <c r="A190" s="40"/>
      <c r="C190" s="48"/>
      <c r="D190" s="47"/>
      <c r="E190" s="37"/>
      <c r="F190" s="37"/>
    </row>
    <row r="191" spans="1:31" x14ac:dyDescent="0.25">
      <c r="A191" s="40" t="s">
        <v>298</v>
      </c>
      <c r="C191" s="48"/>
      <c r="D191" s="47"/>
      <c r="E191" s="37"/>
      <c r="F191" s="37"/>
    </row>
    <row r="192" spans="1:31" x14ac:dyDescent="0.25">
      <c r="A192" s="43" t="s">
        <v>299</v>
      </c>
      <c r="B192" s="43" t="s">
        <v>300</v>
      </c>
      <c r="C192" s="44">
        <v>2015</v>
      </c>
      <c r="D192" s="38">
        <v>5</v>
      </c>
      <c r="E192" s="29">
        <v>0</v>
      </c>
      <c r="F192" s="41" t="s">
        <v>64</v>
      </c>
      <c r="G192" s="4">
        <v>3</v>
      </c>
      <c r="H192" s="28">
        <f>C192+G192</f>
        <v>2018</v>
      </c>
      <c r="K192" s="10">
        <v>1630.5</v>
      </c>
      <c r="L192" s="11">
        <v>4033</v>
      </c>
      <c r="N192" s="11">
        <f>L192-L192*E192</f>
        <v>4033</v>
      </c>
      <c r="O192" s="3">
        <f>N192/G192/12</f>
        <v>112.02777777777777</v>
      </c>
      <c r="P192" s="32">
        <f>IF(M192&gt;0,0,IF(OR(AA192&gt;AB192,AC192&lt;AD192),0,IF(AND(AC192&gt;=AD192,AC192&lt;=AB192),O192*((AC192-AD192)*12),IF(AND(AD192&lt;=AA192,AB192&gt;=AA192),((AB192-AA192)*12)*O192,IF(AC192&gt;AB192,12*O192,0)))))</f>
        <v>1344.3333333333333</v>
      </c>
      <c r="Q192" s="3">
        <f>IF(M192=0,0,IF(AND(AE192&gt;=AD192,AE192&lt;=AC192),((AE192-AD192)*12)*O192,0))</f>
        <v>0</v>
      </c>
      <c r="R192" s="33">
        <f>IF(Q192&gt;0,Q192,P192)</f>
        <v>1344.3333333333333</v>
      </c>
      <c r="S192" s="34">
        <v>0.2432</v>
      </c>
      <c r="T192" s="33">
        <f>S192*R192</f>
        <v>326.94186666666667</v>
      </c>
      <c r="U192" s="32">
        <f>IF(AA192&gt;AB192,0,IF(AC192&lt;AD192,N192,IF(AND(AC192&gt;=AD192,AC192&lt;=AB192),(N192-R192),IF(AND(AD192&lt;=AA192,AB192&gt;=AA192),0,IF(AC192&gt;AB192,((AD192-AA192)*12)*O192,0)))))</f>
        <v>1232.3055555556573</v>
      </c>
      <c r="V192" s="33">
        <f>U192*S192</f>
        <v>299.69671111113587</v>
      </c>
      <c r="W192" s="34">
        <v>1</v>
      </c>
      <c r="X192" s="33">
        <f>V192*W192</f>
        <v>299.69671111113587</v>
      </c>
      <c r="Y192" s="32">
        <f>IF(M192&gt;0,0,X192+T192*W192)*W192</f>
        <v>626.63857777780254</v>
      </c>
      <c r="Z192" s="33">
        <f>IF(M192&gt;0,(L192-X192)/2,IF(AA192&gt;=AD192,(((L192*S192)*W192)-Y192)/2,((((L192*S192)*W192)-X192)+(((L192*S192)*W192)-Y192))/2))</f>
        <v>517.65795555553086</v>
      </c>
      <c r="AA192" s="4">
        <f>$C192+(($D192-1)/12)</f>
        <v>2015.3333333333333</v>
      </c>
      <c r="AB192" s="3">
        <f>($N$5+1)-($N$2/12)</f>
        <v>2017.25</v>
      </c>
      <c r="AC192" s="35">
        <f>$H192+(($D192-1)/12)</f>
        <v>2018.3333333333333</v>
      </c>
      <c r="AD192" s="4">
        <f>$N$4+($N$3/12)</f>
        <v>2016.25</v>
      </c>
      <c r="AE192" s="3">
        <f>$I192+(($J192-1)/12)</f>
        <v>-8.3333333333333329E-2</v>
      </c>
    </row>
    <row r="193" spans="1:31" x14ac:dyDescent="0.25">
      <c r="A193" s="43" t="s">
        <v>301</v>
      </c>
      <c r="B193" s="43" t="s">
        <v>302</v>
      </c>
      <c r="C193" s="44">
        <v>2016</v>
      </c>
      <c r="D193" s="38">
        <v>9</v>
      </c>
      <c r="E193" s="29">
        <v>0</v>
      </c>
      <c r="F193" s="41" t="s">
        <v>64</v>
      </c>
      <c r="G193" s="4">
        <v>3</v>
      </c>
      <c r="H193" s="28">
        <f>C193+G193</f>
        <v>2019</v>
      </c>
      <c r="K193" s="10">
        <v>1630.5</v>
      </c>
      <c r="L193" s="11">
        <v>3995</v>
      </c>
      <c r="N193" s="11">
        <f>L193-L193*E193</f>
        <v>3995</v>
      </c>
      <c r="O193" s="3">
        <f>N193/G193/12</f>
        <v>110.97222222222223</v>
      </c>
      <c r="P193" s="32">
        <f>IF(M193&gt;0,0,IF(OR(AA193&gt;AB193,AC193&lt;AD193),0,IF(AND(AC193&gt;=AD193,AC193&lt;=AB193),O193*((AC193-AD193)*12),IF(AND(AD193&lt;=AA193,AB193&gt;=AA193),((AB193-AA193)*12)*O193,IF(AC193&gt;AB193,12*O193,0)))))</f>
        <v>776.8055555554547</v>
      </c>
      <c r="Q193" s="3">
        <f>IF(M193=0,0,IF(AND(AE193&gt;=AD193,AE193&lt;=AC193),((AE193-AD193)*12)*O193,0))</f>
        <v>0</v>
      </c>
      <c r="R193" s="33">
        <f>IF(Q193&gt;0,Q193,P193)</f>
        <v>776.8055555554547</v>
      </c>
      <c r="S193" s="34">
        <v>0.2432</v>
      </c>
      <c r="T193" s="33">
        <f>S193*R193</f>
        <v>188.91911111108658</v>
      </c>
      <c r="U193" s="32">
        <f>IF(AA193&gt;AB193,0,IF(AC193&lt;AD193,N193,IF(AND(AC193&gt;=AD193,AC193&lt;=AB193),(N193-R193),IF(AND(AD193&lt;=AA193,AB193&gt;=AA193),0,IF(AC193&gt;AB193,((AD193-AA193)*12)*O193,0)))))</f>
        <v>0</v>
      </c>
      <c r="V193" s="33">
        <f>U193*S193</f>
        <v>0</v>
      </c>
      <c r="W193" s="34">
        <v>1</v>
      </c>
      <c r="X193" s="33">
        <f>V193*W193</f>
        <v>0</v>
      </c>
      <c r="Y193" s="32">
        <f>IF(M193&gt;0,0,X193+T193*W193)*W193</f>
        <v>188.91911111108658</v>
      </c>
      <c r="Z193" s="33">
        <f>IF(M193&gt;0,(L193-X193)/2,IF(AA193&gt;=AD193,(((L193*S193)*W193)-Y193)/2,((((L193*S193)*W193)-X193)+(((L193*S193)*W193)-Y193))/2))</f>
        <v>391.33244444445666</v>
      </c>
      <c r="AA193" s="4">
        <f>$C193+(($D193-1)/12)</f>
        <v>2016.6666666666667</v>
      </c>
      <c r="AB193" s="3">
        <f>($N$5+1)-($N$2/12)</f>
        <v>2017.25</v>
      </c>
      <c r="AC193" s="35">
        <f>$H193+(($D193-1)/12)</f>
        <v>2019.6666666666667</v>
      </c>
      <c r="AD193" s="4">
        <f>$N$4+($N$3/12)</f>
        <v>2016.25</v>
      </c>
      <c r="AE193" s="3">
        <f>$I193+(($J193-1)/12)</f>
        <v>-8.3333333333333329E-2</v>
      </c>
    </row>
    <row r="194" spans="1:31" ht="15" customHeight="1" x14ac:dyDescent="0.25">
      <c r="A194" s="40"/>
      <c r="C194" s="48"/>
      <c r="D194" s="47"/>
      <c r="E194" s="37"/>
      <c r="F194" s="37"/>
      <c r="Z194" s="4">
        <f>SUM(Z192:Z193)</f>
        <v>908.99039999998752</v>
      </c>
    </row>
    <row r="195" spans="1:31" x14ac:dyDescent="0.25">
      <c r="A195" s="40" t="s">
        <v>303</v>
      </c>
      <c r="C195" s="48"/>
      <c r="D195" s="47"/>
      <c r="E195" s="37"/>
      <c r="F195" s="37"/>
    </row>
    <row r="196" spans="1:31" x14ac:dyDescent="0.25">
      <c r="A196" s="40" t="s">
        <v>304</v>
      </c>
      <c r="C196" s="48"/>
      <c r="D196" s="47"/>
      <c r="E196" s="37"/>
      <c r="F196" s="37"/>
    </row>
    <row r="197" spans="1:31" ht="15.75" x14ac:dyDescent="0.25">
      <c r="A197" s="36">
        <v>346</v>
      </c>
      <c r="B197" s="1" t="s">
        <v>304</v>
      </c>
      <c r="C197" s="28">
        <v>2010</v>
      </c>
      <c r="D197" s="26">
        <v>2</v>
      </c>
      <c r="E197" s="29">
        <v>0.33</v>
      </c>
      <c r="F197" s="16" t="s">
        <v>64</v>
      </c>
      <c r="G197" s="4">
        <v>5</v>
      </c>
      <c r="H197" s="28">
        <f>C197+G197</f>
        <v>2015</v>
      </c>
      <c r="K197" s="10">
        <v>15271.5</v>
      </c>
      <c r="L197" s="30">
        <v>15272</v>
      </c>
      <c r="M197" s="32"/>
      <c r="N197" s="31">
        <f>L197-L197*E197</f>
        <v>10232.24</v>
      </c>
      <c r="O197" s="32">
        <f>N197/G197/12</f>
        <v>170.53733333333332</v>
      </c>
      <c r="P197" s="32">
        <f>IF(M197&gt;0,0,IF(OR(AA197&gt;AB197,AC197&lt;AD197),0,IF(AND(AC197&gt;=AD197,AC197&lt;=AB197),O197*((AC197-AD197)*12),IF(AND(AD197&lt;=AA197,AB197&gt;=AA197),((AB197-AA197)*12)*O197,IF(AC197&gt;AB197,12*O197,0)))))</f>
        <v>0</v>
      </c>
      <c r="Q197" s="3">
        <f>IF(M197=0,0,IF(AND(AE197&gt;=AD197,AE197&lt;=AC197),((AE197-AD197)*12)*O197,0))</f>
        <v>0</v>
      </c>
      <c r="R197" s="33">
        <f>IF(Q197&gt;0,Q197,P197)</f>
        <v>0</v>
      </c>
      <c r="S197" s="34">
        <v>0.95</v>
      </c>
      <c r="T197" s="33">
        <f>S197*R197</f>
        <v>0</v>
      </c>
      <c r="U197" s="32">
        <f>IF(AA197&gt;AB197,0,IF(AC197&lt;AD197,N197,IF(AND(AC197&gt;=AD197,AC197&lt;=AB197),(N197-R197),IF(AND(AD197&lt;=AA197,AB197&gt;=AA197),0,IF(AC197&gt;AB197,((AD197-AA197)*12)*O197,0)))))</f>
        <v>10232.24</v>
      </c>
      <c r="V197" s="33">
        <f>U197*S197</f>
        <v>9720.6279999999988</v>
      </c>
      <c r="W197" s="34">
        <v>1</v>
      </c>
      <c r="X197" s="33">
        <f>V197*W197</f>
        <v>9720.6279999999988</v>
      </c>
      <c r="Y197" s="32">
        <f>IF(M197&gt;0,0,X197+T197*W197)*W197</f>
        <v>9720.6279999999988</v>
      </c>
      <c r="Z197" s="33">
        <f>IF(M197&gt;0,(L197-X197)/2,IF(AA197&gt;=AD197,(((L197*S197)*W197)-Y197)/2,((((L197*S197)*W197)-X197)+(((L197*S197)*W197)-Y197))/2))</f>
        <v>4787.7720000000008</v>
      </c>
      <c r="AA197" s="35">
        <f>$C197+(($D197-1)/12)</f>
        <v>2010.0833333333333</v>
      </c>
      <c r="AB197" s="3">
        <f>($N$5+1)-($N$2/12)</f>
        <v>2017.25</v>
      </c>
      <c r="AC197" s="35">
        <f>$H197+(($D197-1)/12)</f>
        <v>2015.0833333333333</v>
      </c>
      <c r="AD197" s="4">
        <f>$N$4+($N$3/12)</f>
        <v>2016.25</v>
      </c>
      <c r="AE197" s="3">
        <f>$I197+(($J197-1)/12)</f>
        <v>-8.3333333333333329E-2</v>
      </c>
    </row>
    <row r="198" spans="1:31" ht="15.75" x14ac:dyDescent="0.25">
      <c r="A198" s="36">
        <v>3400</v>
      </c>
      <c r="B198" s="1" t="s">
        <v>305</v>
      </c>
      <c r="C198" s="28">
        <v>2016</v>
      </c>
      <c r="D198" s="26">
        <v>10</v>
      </c>
      <c r="E198" s="29">
        <v>0.33</v>
      </c>
      <c r="F198" s="16" t="s">
        <v>64</v>
      </c>
      <c r="G198" s="4">
        <v>5</v>
      </c>
      <c r="H198" s="28">
        <f>C198+G198</f>
        <v>2021</v>
      </c>
      <c r="K198" s="10">
        <v>15271.5</v>
      </c>
      <c r="L198" s="30">
        <v>85023</v>
      </c>
      <c r="M198" s="32"/>
      <c r="N198" s="31">
        <f>L198-L198*E198</f>
        <v>56965.41</v>
      </c>
      <c r="O198" s="32">
        <f>N198/G198/12</f>
        <v>949.42349999999999</v>
      </c>
      <c r="P198" s="32">
        <f>IF(M198&gt;0,0,IF(OR(AA198&gt;AB198,AC198&lt;AD198),0,IF(AND(AC198&gt;=AD198,AC198&lt;=AB198),O198*((AC198-AD198)*12),IF(AND(AD198&lt;=AA198,AB198&gt;=AA198),((AB198-AA198)*12)*O198,IF(AC198&gt;AB198,12*O198,0)))))</f>
        <v>5696.5410000000002</v>
      </c>
      <c r="Q198" s="3">
        <f>IF(M198=0,0,IF(AND(AE198&gt;=AD198,AE198&lt;=AC198),((AE198-AD198)*12)*O198,0))</f>
        <v>0</v>
      </c>
      <c r="R198" s="33">
        <f>IF(Q198&gt;0,Q198,P198)</f>
        <v>5696.5410000000002</v>
      </c>
      <c r="S198" s="34">
        <v>0.2432</v>
      </c>
      <c r="T198" s="33">
        <f>S198*R198</f>
        <v>1385.3987712000001</v>
      </c>
      <c r="U198" s="32">
        <f>IF(AA198&gt;AB198,0,IF(AC198&lt;AD198,N198,IF(AND(AC198&gt;=AD198,AC198&lt;=AB198),(N198-R198),IF(AND(AD198&lt;=AA198,AB198&gt;=AA198),0,IF(AC198&gt;AB198,((AD198-AA198)*12)*O198,0)))))</f>
        <v>0</v>
      </c>
      <c r="V198" s="33">
        <f>U198*S198</f>
        <v>0</v>
      </c>
      <c r="W198" s="34">
        <v>1</v>
      </c>
      <c r="X198" s="33">
        <f>V198*W198</f>
        <v>0</v>
      </c>
      <c r="Y198" s="32">
        <f>IF(M198&gt;0,0,X198+T198*W198)*W198</f>
        <v>1385.3987712000001</v>
      </c>
      <c r="Z198" s="33">
        <f>IF(M198&gt;0,(L198-X198)/2,IF(AA198&gt;=AD198,(((L198*S198)*W198)-Y198)/2,((((L198*S198)*W198)-X198)+(((L198*S198)*W198)-Y198))/2))</f>
        <v>9646.0974143999993</v>
      </c>
      <c r="AA198" s="35">
        <f>$C198+(($D198-1)/12)</f>
        <v>2016.75</v>
      </c>
      <c r="AB198" s="3">
        <f>($N$5+1)-($N$2/12)</f>
        <v>2017.25</v>
      </c>
      <c r="AC198" s="35">
        <f>$H198+(($D198-1)/12)</f>
        <v>2021.75</v>
      </c>
      <c r="AD198" s="4">
        <f>$N$4+($N$3/12)</f>
        <v>2016.25</v>
      </c>
      <c r="AE198" s="3">
        <f>$I198+(($J198-1)/12)</f>
        <v>-8.3333333333333329E-2</v>
      </c>
    </row>
    <row r="199" spans="1:31" x14ac:dyDescent="0.25">
      <c r="A199" s="37"/>
      <c r="B199" s="37"/>
      <c r="C199" s="37"/>
      <c r="D199" s="47"/>
      <c r="E199" s="37"/>
      <c r="F199" s="37"/>
      <c r="Z199" s="4">
        <f>SUM(Z197:Z198)</f>
        <v>14433.8694144</v>
      </c>
    </row>
    <row r="200" spans="1:31" x14ac:dyDescent="0.25">
      <c r="A200" s="50" t="s">
        <v>306</v>
      </c>
      <c r="B200" s="37"/>
      <c r="C200" s="37"/>
      <c r="D200" s="47"/>
      <c r="E200" s="37"/>
      <c r="F200" s="37"/>
    </row>
    <row r="201" spans="1:31" x14ac:dyDescent="0.25">
      <c r="A201" s="43" t="s">
        <v>307</v>
      </c>
      <c r="B201" s="43" t="s">
        <v>308</v>
      </c>
      <c r="C201" s="44">
        <v>2010</v>
      </c>
      <c r="D201" s="38">
        <v>11</v>
      </c>
      <c r="E201" s="29">
        <v>0</v>
      </c>
      <c r="F201" s="41" t="s">
        <v>64</v>
      </c>
      <c r="G201" s="4">
        <v>7</v>
      </c>
      <c r="H201" s="28">
        <f>C201+G201</f>
        <v>2017</v>
      </c>
      <c r="K201" s="10">
        <f>4043.23+351.76</f>
        <v>4394.99</v>
      </c>
      <c r="L201" s="11">
        <v>4395</v>
      </c>
      <c r="N201" s="11">
        <f>L201-L201*E201</f>
        <v>4395</v>
      </c>
      <c r="O201" s="3">
        <f t="shared" ref="O201:O206" si="43">N201/G201/12</f>
        <v>52.321428571428577</v>
      </c>
      <c r="P201" s="32">
        <f t="shared" ref="P201:P206" si="44">IF(M201&gt;0,0,IF(OR(AA201&gt;AB201,AC201&lt;AD201),0,IF(AND(AC201&gt;=AD201,AC201&lt;=AB201),O201*((AC201-AD201)*12),IF(AND(AD201&lt;=AA201,AB201&gt;=AA201),((AB201-AA201)*12)*O201,IF(AC201&gt;AB201,12*O201,0)))))</f>
        <v>627.85714285714289</v>
      </c>
      <c r="Q201" s="3">
        <f t="shared" ref="Q201:Q206" si="45">IF(M201=0,0,IF(AND(AE201&gt;=AD201,AE201&lt;=AC201),((AE201-AD201)*12)*O201,0))</f>
        <v>0</v>
      </c>
      <c r="R201" s="33">
        <f t="shared" ref="R201:R206" si="46">IF(Q201&gt;0,Q201,P201)</f>
        <v>627.85714285714289</v>
      </c>
      <c r="S201" s="34">
        <v>0.2432</v>
      </c>
      <c r="T201" s="33">
        <f t="shared" ref="T201:T206" si="47">S201*R201</f>
        <v>152.69485714285716</v>
      </c>
      <c r="U201" s="32">
        <f t="shared" ref="U201:U206" si="48">IF(AA201&gt;AB201,0,IF(AC201&lt;AD201,N201,IF(AND(AC201&gt;=AD201,AC201&lt;=AB201),(N201-R201),IF(AND(AD201&lt;=AA201,AB201&gt;=AA201),0,IF(AC201&gt;AB201,((AD201-AA201)*12)*O201,0)))))</f>
        <v>3400.8928571429051</v>
      </c>
      <c r="V201" s="33">
        <f t="shared" ref="V201:V206" si="49">U201*S201</f>
        <v>827.09714285715449</v>
      </c>
      <c r="W201" s="34">
        <v>1</v>
      </c>
      <c r="X201" s="33">
        <f t="shared" ref="X201:X206" si="50">V201*W201</f>
        <v>827.09714285715449</v>
      </c>
      <c r="Y201" s="32">
        <f t="shared" ref="Y201:Y206" si="51">IF(M201&gt;0,0,X201+T201*W201)*W201</f>
        <v>979.79200000001163</v>
      </c>
      <c r="Z201" s="33">
        <f t="shared" ref="Z201:Z206" si="52">IF(M201&gt;0,(L201-X201)/2,IF(AA201&gt;=AD201,(((L201*S201)*W201)-Y201)/2,((((L201*S201)*W201)-X201)+(((L201*S201)*W201)-Y201))/2))</f>
        <v>165.41942857141697</v>
      </c>
      <c r="AA201" s="4">
        <f t="shared" ref="AA201:AA206" si="53">$C201+(($D201-1)/12)</f>
        <v>2010.8333333333333</v>
      </c>
      <c r="AB201" s="3">
        <f t="shared" ref="AB201:AB206" si="54">($N$5+1)-($N$2/12)</f>
        <v>2017.25</v>
      </c>
      <c r="AC201" s="35">
        <f>$H201+(($D201-1)/12)</f>
        <v>2017.8333333333333</v>
      </c>
      <c r="AD201" s="4">
        <f t="shared" ref="AD201:AD206" si="55">$N$4+($N$3/12)</f>
        <v>2016.25</v>
      </c>
      <c r="AE201" s="3">
        <f t="shared" ref="AE201:AE206" si="56">$I201+(($J201-1)/12)</f>
        <v>-8.3333333333333329E-2</v>
      </c>
    </row>
    <row r="202" spans="1:31" x14ac:dyDescent="0.25">
      <c r="A202" s="43" t="s">
        <v>309</v>
      </c>
      <c r="B202" s="43" t="s">
        <v>310</v>
      </c>
      <c r="C202" s="44">
        <v>2012</v>
      </c>
      <c r="D202" s="38">
        <v>11</v>
      </c>
      <c r="E202" s="29">
        <v>0</v>
      </c>
      <c r="F202" s="41" t="s">
        <v>64</v>
      </c>
      <c r="G202" s="4">
        <v>7</v>
      </c>
      <c r="H202" s="28">
        <f>C202+G202</f>
        <v>2019</v>
      </c>
      <c r="K202" s="10">
        <v>2494.67</v>
      </c>
      <c r="L202" s="11">
        <v>2495</v>
      </c>
      <c r="N202" s="11">
        <f>L202-L202*E202</f>
        <v>2495</v>
      </c>
      <c r="O202" s="3">
        <f t="shared" si="43"/>
        <v>29.702380952380953</v>
      </c>
      <c r="P202" s="32">
        <f t="shared" si="44"/>
        <v>356.42857142857144</v>
      </c>
      <c r="Q202" s="3">
        <f t="shared" si="45"/>
        <v>0</v>
      </c>
      <c r="R202" s="33">
        <f t="shared" si="46"/>
        <v>356.42857142857144</v>
      </c>
      <c r="S202" s="34">
        <v>0.2432</v>
      </c>
      <c r="T202" s="33">
        <f t="shared" si="47"/>
        <v>86.683428571428578</v>
      </c>
      <c r="U202" s="32">
        <f t="shared" si="48"/>
        <v>1217.7976190476461</v>
      </c>
      <c r="V202" s="33">
        <f t="shared" si="49"/>
        <v>296.16838095238751</v>
      </c>
      <c r="W202" s="34">
        <v>1</v>
      </c>
      <c r="X202" s="33">
        <f t="shared" si="50"/>
        <v>296.16838095238751</v>
      </c>
      <c r="Y202" s="32">
        <f t="shared" si="51"/>
        <v>382.85180952381609</v>
      </c>
      <c r="Z202" s="33">
        <f t="shared" si="52"/>
        <v>267.27390476189817</v>
      </c>
      <c r="AA202" s="4">
        <f t="shared" si="53"/>
        <v>2012.8333333333333</v>
      </c>
      <c r="AB202" s="3">
        <f t="shared" si="54"/>
        <v>2017.25</v>
      </c>
      <c r="AC202" s="35">
        <f>$H202+(($D202-1)/12)</f>
        <v>2019.8333333333333</v>
      </c>
      <c r="AD202" s="4">
        <f t="shared" si="55"/>
        <v>2016.25</v>
      </c>
      <c r="AE202" s="3">
        <f t="shared" si="56"/>
        <v>-8.3333333333333329E-2</v>
      </c>
    </row>
    <row r="203" spans="1:31" x14ac:dyDescent="0.25">
      <c r="A203" s="43" t="s">
        <v>311</v>
      </c>
      <c r="B203" s="43" t="s">
        <v>312</v>
      </c>
      <c r="C203" s="44">
        <v>2014</v>
      </c>
      <c r="D203" s="38">
        <v>10</v>
      </c>
      <c r="E203" s="29">
        <v>0</v>
      </c>
      <c r="F203" s="41" t="s">
        <v>64</v>
      </c>
      <c r="G203" s="4">
        <v>7</v>
      </c>
      <c r="H203" s="28">
        <f>C203+G203</f>
        <v>2021</v>
      </c>
      <c r="K203" s="10">
        <v>2494.67</v>
      </c>
      <c r="L203" s="11">
        <v>8416</v>
      </c>
      <c r="N203" s="11">
        <f>L203-L203*E203</f>
        <v>8416</v>
      </c>
      <c r="O203" s="3">
        <f t="shared" si="43"/>
        <v>100.19047619047619</v>
      </c>
      <c r="P203" s="32">
        <f t="shared" si="44"/>
        <v>1202.2857142857142</v>
      </c>
      <c r="Q203" s="3">
        <f t="shared" si="45"/>
        <v>0</v>
      </c>
      <c r="R203" s="33">
        <f t="shared" si="46"/>
        <v>1202.2857142857142</v>
      </c>
      <c r="S203" s="34">
        <v>0.2432</v>
      </c>
      <c r="T203" s="33">
        <f t="shared" si="47"/>
        <v>292.39588571428573</v>
      </c>
      <c r="U203" s="32">
        <f t="shared" si="48"/>
        <v>1803.4285714285713</v>
      </c>
      <c r="V203" s="33">
        <f t="shared" si="49"/>
        <v>438.59382857142856</v>
      </c>
      <c r="W203" s="34">
        <v>1</v>
      </c>
      <c r="X203" s="33">
        <f t="shared" si="50"/>
        <v>438.59382857142856</v>
      </c>
      <c r="Y203" s="32">
        <f t="shared" si="51"/>
        <v>730.98971428571429</v>
      </c>
      <c r="Z203" s="33">
        <f t="shared" si="52"/>
        <v>1461.9794285714286</v>
      </c>
      <c r="AA203" s="4">
        <f t="shared" si="53"/>
        <v>2014.75</v>
      </c>
      <c r="AB203" s="3">
        <f t="shared" si="54"/>
        <v>2017.25</v>
      </c>
      <c r="AC203" s="35">
        <f>$H203+(($D203-1)/12)</f>
        <v>2021.75</v>
      </c>
      <c r="AD203" s="4">
        <f t="shared" si="55"/>
        <v>2016.25</v>
      </c>
      <c r="AE203" s="3">
        <f t="shared" si="56"/>
        <v>-8.3333333333333329E-2</v>
      </c>
    </row>
    <row r="204" spans="1:31" x14ac:dyDescent="0.25">
      <c r="A204" s="43" t="s">
        <v>313</v>
      </c>
      <c r="B204" s="43" t="s">
        <v>314</v>
      </c>
      <c r="C204" s="44">
        <v>2015</v>
      </c>
      <c r="D204" s="38">
        <v>5</v>
      </c>
      <c r="E204" s="29">
        <v>0</v>
      </c>
      <c r="F204" s="41" t="s">
        <v>64</v>
      </c>
      <c r="G204" s="4">
        <v>5</v>
      </c>
      <c r="H204" s="28">
        <f>C204+G204</f>
        <v>2020</v>
      </c>
      <c r="K204" s="10">
        <v>2494.67</v>
      </c>
      <c r="L204" s="11">
        <v>13269</v>
      </c>
      <c r="N204" s="11">
        <f>L204-L204*E204</f>
        <v>13269</v>
      </c>
      <c r="O204" s="3">
        <f t="shared" si="43"/>
        <v>221.15</v>
      </c>
      <c r="P204" s="32">
        <f t="shared" si="44"/>
        <v>2653.8</v>
      </c>
      <c r="Q204" s="3">
        <f t="shared" si="45"/>
        <v>0</v>
      </c>
      <c r="R204" s="33">
        <f t="shared" si="46"/>
        <v>2653.8</v>
      </c>
      <c r="S204" s="34">
        <v>0.2432</v>
      </c>
      <c r="T204" s="33">
        <f t="shared" si="47"/>
        <v>645.40416000000005</v>
      </c>
      <c r="U204" s="32">
        <f t="shared" si="48"/>
        <v>2432.6500000002011</v>
      </c>
      <c r="V204" s="33">
        <f t="shared" si="49"/>
        <v>591.62048000004893</v>
      </c>
      <c r="W204" s="34">
        <v>1</v>
      </c>
      <c r="X204" s="33">
        <f t="shared" si="50"/>
        <v>591.62048000004893</v>
      </c>
      <c r="Y204" s="32">
        <f t="shared" si="51"/>
        <v>1237.024640000049</v>
      </c>
      <c r="Z204" s="33">
        <f t="shared" si="52"/>
        <v>2312.6982399999506</v>
      </c>
      <c r="AA204" s="4">
        <f t="shared" si="53"/>
        <v>2015.3333333333333</v>
      </c>
      <c r="AB204" s="3">
        <f t="shared" si="54"/>
        <v>2017.25</v>
      </c>
      <c r="AC204" s="35">
        <f>$H204+(($D204-1)/12)</f>
        <v>2020.3333333333333</v>
      </c>
      <c r="AD204" s="4">
        <f t="shared" si="55"/>
        <v>2016.25</v>
      </c>
      <c r="AE204" s="3">
        <f t="shared" si="56"/>
        <v>-8.3333333333333329E-2</v>
      </c>
    </row>
    <row r="205" spans="1:31" x14ac:dyDescent="0.25">
      <c r="A205" s="43" t="s">
        <v>315</v>
      </c>
      <c r="B205" s="43" t="s">
        <v>316</v>
      </c>
      <c r="C205" s="44">
        <v>2016</v>
      </c>
      <c r="D205" s="38">
        <v>8</v>
      </c>
      <c r="E205" s="29">
        <v>0</v>
      </c>
      <c r="F205" s="41" t="s">
        <v>64</v>
      </c>
      <c r="G205" s="4">
        <v>7</v>
      </c>
      <c r="H205" s="28">
        <f>C205+G205</f>
        <v>2023</v>
      </c>
      <c r="K205" s="10">
        <v>2494.67</v>
      </c>
      <c r="L205" s="11">
        <v>7864</v>
      </c>
      <c r="N205" s="11">
        <f>L205-L205*E205</f>
        <v>7864</v>
      </c>
      <c r="O205" s="3">
        <f t="shared" si="43"/>
        <v>93.619047619047606</v>
      </c>
      <c r="P205" s="32">
        <f t="shared" si="44"/>
        <v>748.952380952466</v>
      </c>
      <c r="Q205" s="3">
        <f t="shared" si="45"/>
        <v>0</v>
      </c>
      <c r="R205" s="33">
        <f t="shared" si="46"/>
        <v>748.952380952466</v>
      </c>
      <c r="S205" s="34">
        <v>0.2432</v>
      </c>
      <c r="T205" s="33">
        <f t="shared" si="47"/>
        <v>182.14521904763973</v>
      </c>
      <c r="U205" s="32">
        <f t="shared" si="48"/>
        <v>0</v>
      </c>
      <c r="V205" s="33">
        <f t="shared" si="49"/>
        <v>0</v>
      </c>
      <c r="W205" s="34">
        <v>1</v>
      </c>
      <c r="X205" s="33">
        <f t="shared" si="50"/>
        <v>0</v>
      </c>
      <c r="Y205" s="32">
        <f t="shared" si="51"/>
        <v>182.14521904763973</v>
      </c>
      <c r="Z205" s="33">
        <f t="shared" si="52"/>
        <v>865.18979047618006</v>
      </c>
      <c r="AA205" s="4">
        <f t="shared" si="53"/>
        <v>2016.5833333333333</v>
      </c>
      <c r="AB205" s="3">
        <f t="shared" si="54"/>
        <v>2017.25</v>
      </c>
      <c r="AC205" s="35">
        <f>$H205+(($D205-1)/12)</f>
        <v>2023.5833333333333</v>
      </c>
      <c r="AD205" s="4">
        <f t="shared" si="55"/>
        <v>2016.25</v>
      </c>
      <c r="AE205" s="3">
        <f t="shared" si="56"/>
        <v>-8.3333333333333329E-2</v>
      </c>
    </row>
    <row r="206" spans="1:31" x14ac:dyDescent="0.25">
      <c r="A206" s="43" t="s">
        <v>317</v>
      </c>
      <c r="B206" s="43" t="s">
        <v>318</v>
      </c>
      <c r="C206" s="44">
        <v>2016</v>
      </c>
      <c r="D206" s="38">
        <v>12</v>
      </c>
      <c r="E206" s="29">
        <v>0</v>
      </c>
      <c r="F206" s="41" t="s">
        <v>64</v>
      </c>
      <c r="G206" s="4">
        <v>5</v>
      </c>
      <c r="H206" s="28">
        <f>C206+G206</f>
        <v>2021</v>
      </c>
      <c r="K206" s="10">
        <v>2494.67</v>
      </c>
      <c r="L206" s="11">
        <v>19825</v>
      </c>
      <c r="N206" s="11">
        <f>L206-L206*E206</f>
        <v>19825</v>
      </c>
      <c r="O206" s="3">
        <f t="shared" si="43"/>
        <v>330.41666666666669</v>
      </c>
      <c r="P206" s="32">
        <f t="shared" si="44"/>
        <v>1321.6666666663662</v>
      </c>
      <c r="Q206" s="3">
        <f t="shared" si="45"/>
        <v>0</v>
      </c>
      <c r="R206" s="33">
        <f t="shared" si="46"/>
        <v>1321.6666666663662</v>
      </c>
      <c r="S206" s="34">
        <v>0.2432</v>
      </c>
      <c r="T206" s="33">
        <f t="shared" si="47"/>
        <v>321.42933333326027</v>
      </c>
      <c r="U206" s="32">
        <f t="shared" si="48"/>
        <v>0</v>
      </c>
      <c r="V206" s="33">
        <f t="shared" si="49"/>
        <v>0</v>
      </c>
      <c r="W206" s="34">
        <v>1</v>
      </c>
      <c r="X206" s="33">
        <f t="shared" si="50"/>
        <v>0</v>
      </c>
      <c r="Y206" s="32">
        <f t="shared" si="51"/>
        <v>321.42933333326027</v>
      </c>
      <c r="Z206" s="33">
        <f t="shared" si="52"/>
        <v>2250.0053333333699</v>
      </c>
      <c r="AA206" s="4">
        <f t="shared" si="53"/>
        <v>2016.9166666666667</v>
      </c>
      <c r="AB206" s="3">
        <f t="shared" si="54"/>
        <v>2017.25</v>
      </c>
      <c r="AC206" s="35">
        <f>$H206+(($D206-1)/12)</f>
        <v>2021.9166666666667</v>
      </c>
      <c r="AD206" s="4">
        <f t="shared" si="55"/>
        <v>2016.25</v>
      </c>
      <c r="AE206" s="3">
        <f t="shared" si="56"/>
        <v>-8.3333333333333329E-2</v>
      </c>
    </row>
    <row r="207" spans="1:31" x14ac:dyDescent="0.25">
      <c r="A207" s="37"/>
      <c r="B207" s="37"/>
      <c r="C207" s="37"/>
      <c r="D207" s="47"/>
      <c r="E207" s="37"/>
      <c r="F207" s="37"/>
      <c r="Z207" s="4">
        <f>SUM(Z201:Z206)</f>
        <v>7322.5661257142438</v>
      </c>
    </row>
    <row r="208" spans="1:31" x14ac:dyDescent="0.25">
      <c r="A208" s="50" t="s">
        <v>319</v>
      </c>
      <c r="B208" s="37"/>
      <c r="C208" s="37"/>
      <c r="D208" s="47"/>
      <c r="E208" s="37"/>
      <c r="F208" s="37"/>
    </row>
    <row r="209" spans="1:31" x14ac:dyDescent="0.25">
      <c r="A209" s="43" t="s">
        <v>320</v>
      </c>
      <c r="B209" s="43" t="s">
        <v>321</v>
      </c>
      <c r="C209" s="44">
        <v>2009</v>
      </c>
      <c r="D209" s="38">
        <v>1</v>
      </c>
      <c r="E209" s="29">
        <v>0</v>
      </c>
      <c r="F209" s="41" t="s">
        <v>64</v>
      </c>
      <c r="G209" s="4">
        <v>15</v>
      </c>
      <c r="H209" s="28">
        <f>C209+G209</f>
        <v>2024</v>
      </c>
      <c r="K209" s="10">
        <v>7038</v>
      </c>
      <c r="L209" s="11">
        <v>7038</v>
      </c>
      <c r="N209" s="11">
        <f>L209-L209*E209</f>
        <v>7038</v>
      </c>
      <c r="O209" s="3">
        <f t="shared" ref="O209:O215" si="57">N209/G209/12</f>
        <v>39.1</v>
      </c>
      <c r="P209" s="32">
        <f t="shared" ref="P209:P215" si="58">IF(M209&gt;0,0,IF(OR(AA209&gt;AB209,AC209&lt;AD209),0,IF(AND(AC209&gt;=AD209,AC209&lt;=AB209),O209*((AC209-AD209)*12),IF(AND(AD209&lt;=AA209,AB209&gt;=AA209),((AB209-AA209)*12)*O209,IF(AC209&gt;AB209,12*O209,0)))))</f>
        <v>469.20000000000005</v>
      </c>
      <c r="Q209" s="3">
        <f t="shared" ref="Q209:Q215" si="59">IF(M209=0,0,IF(AND(AE209&gt;=AD209,AE209&lt;=AC209),((AE209-AD209)*12)*O209,0))</f>
        <v>0</v>
      </c>
      <c r="R209" s="33">
        <f t="shared" ref="R209:R215" si="60">IF(Q209&gt;0,Q209,P209)</f>
        <v>469.20000000000005</v>
      </c>
      <c r="S209" s="34">
        <v>0.41570000000000001</v>
      </c>
      <c r="T209" s="33">
        <f t="shared" ref="T209:T215" si="61">S209*R209</f>
        <v>195.04644000000002</v>
      </c>
      <c r="U209" s="32">
        <f t="shared" ref="U209:U215" si="62">IF(AA209&gt;AB209,0,IF(AC209&lt;AD209,N209,IF(AND(AC209&gt;=AD209,AC209&lt;=AB209),(N209-R209),IF(AND(AD209&lt;=AA209,AB209&gt;=AA209),0,IF(AC209&gt;AB209,((AD209-AA209)*12)*O209,0)))))</f>
        <v>3401.7000000000003</v>
      </c>
      <c r="V209" s="33">
        <f t="shared" ref="V209:V215" si="63">U209*S209</f>
        <v>1414.0866900000001</v>
      </c>
      <c r="W209" s="34">
        <v>1</v>
      </c>
      <c r="X209" s="33">
        <f t="shared" ref="X209:X215" si="64">V209*W209</f>
        <v>1414.0866900000001</v>
      </c>
      <c r="Y209" s="32">
        <f t="shared" ref="Y209:Y215" si="65">IF(M209&gt;0,0,X209+T209*W209)*W209</f>
        <v>1609.1331300000002</v>
      </c>
      <c r="Z209" s="33">
        <f t="shared" ref="Z209:Z215" si="66">IF(M209&gt;0,(L209-X209)/2,IF(AA209&gt;=AD209,(((L209*S209)*W209)-Y209)/2,((((L209*S209)*W209)-X209)+(((L209*S209)*W209)-Y209))/2))</f>
        <v>1414.0866900000001</v>
      </c>
      <c r="AA209" s="4">
        <f t="shared" ref="AA209:AA215" si="67">$C209+(($D209-1)/12)</f>
        <v>2009</v>
      </c>
      <c r="AB209" s="3">
        <f t="shared" ref="AB209:AB215" si="68">($N$5+1)-($N$2/12)</f>
        <v>2017.25</v>
      </c>
      <c r="AC209" s="35">
        <f>$H209+(($D209-1)/12)</f>
        <v>2024</v>
      </c>
      <c r="AD209" s="4">
        <f t="shared" ref="AD209:AD215" si="69">$N$4+($N$3/12)</f>
        <v>2016.25</v>
      </c>
      <c r="AE209" s="3">
        <f t="shared" ref="AE209:AE215" si="70">$I209+(($J209-1)/12)</f>
        <v>-8.3333333333333329E-2</v>
      </c>
    </row>
    <row r="210" spans="1:31" x14ac:dyDescent="0.25">
      <c r="A210" s="43" t="s">
        <v>322</v>
      </c>
      <c r="B210" s="43" t="s">
        <v>323</v>
      </c>
      <c r="C210" s="44">
        <v>2009</v>
      </c>
      <c r="D210" s="38">
        <v>11</v>
      </c>
      <c r="E210" s="29">
        <v>0</v>
      </c>
      <c r="F210" s="41" t="s">
        <v>64</v>
      </c>
      <c r="G210" s="4">
        <v>15</v>
      </c>
      <c r="H210" s="28">
        <f>C210+G210</f>
        <v>2024</v>
      </c>
      <c r="K210" s="10">
        <v>14887.65</v>
      </c>
      <c r="L210" s="11">
        <v>14888</v>
      </c>
      <c r="N210" s="11">
        <f>L210-L210*E210</f>
        <v>14888</v>
      </c>
      <c r="O210" s="3">
        <f t="shared" si="57"/>
        <v>82.711111111111109</v>
      </c>
      <c r="P210" s="32">
        <f t="shared" si="58"/>
        <v>992.5333333333333</v>
      </c>
      <c r="Q210" s="3">
        <f t="shared" si="59"/>
        <v>0</v>
      </c>
      <c r="R210" s="33">
        <f t="shared" si="60"/>
        <v>992.5333333333333</v>
      </c>
      <c r="S210" s="34">
        <v>0.41570000000000001</v>
      </c>
      <c r="T210" s="33">
        <f t="shared" si="61"/>
        <v>412.59610666666669</v>
      </c>
      <c r="U210" s="32">
        <f t="shared" si="62"/>
        <v>6368.755555555631</v>
      </c>
      <c r="V210" s="33">
        <f t="shared" si="63"/>
        <v>2647.491684444476</v>
      </c>
      <c r="W210" s="34">
        <v>1</v>
      </c>
      <c r="X210" s="33">
        <f t="shared" si="64"/>
        <v>2647.491684444476</v>
      </c>
      <c r="Y210" s="32">
        <f t="shared" si="65"/>
        <v>3060.0877911111429</v>
      </c>
      <c r="Z210" s="33">
        <f t="shared" si="66"/>
        <v>3335.1518622221906</v>
      </c>
      <c r="AA210" s="4">
        <f t="shared" si="67"/>
        <v>2009.8333333333333</v>
      </c>
      <c r="AB210" s="3">
        <f t="shared" si="68"/>
        <v>2017.25</v>
      </c>
      <c r="AC210" s="35">
        <f>$H210+(($D210-1)/12)</f>
        <v>2024.8333333333333</v>
      </c>
      <c r="AD210" s="4">
        <f t="shared" si="69"/>
        <v>2016.25</v>
      </c>
      <c r="AE210" s="3">
        <f t="shared" si="70"/>
        <v>-8.3333333333333329E-2</v>
      </c>
    </row>
    <row r="211" spans="1:31" x14ac:dyDescent="0.25">
      <c r="A211" s="43" t="s">
        <v>322</v>
      </c>
      <c r="B211" s="43" t="s">
        <v>324</v>
      </c>
      <c r="C211" s="44">
        <v>2010</v>
      </c>
      <c r="D211" s="38">
        <v>10</v>
      </c>
      <c r="E211" s="29">
        <v>0</v>
      </c>
      <c r="F211" s="41" t="s">
        <v>64</v>
      </c>
      <c r="G211" s="4">
        <v>15</v>
      </c>
      <c r="H211" s="28">
        <f>C211+G211</f>
        <v>2025</v>
      </c>
      <c r="K211" s="10">
        <f>2880.3+250.59</f>
        <v>3130.8900000000003</v>
      </c>
      <c r="L211" s="11">
        <v>3131</v>
      </c>
      <c r="N211" s="11">
        <f>L211-L211*E211</f>
        <v>3131</v>
      </c>
      <c r="O211" s="3">
        <f t="shared" si="57"/>
        <v>17.394444444444442</v>
      </c>
      <c r="P211" s="32">
        <f t="shared" si="58"/>
        <v>208.73333333333329</v>
      </c>
      <c r="Q211" s="3">
        <f t="shared" si="59"/>
        <v>0</v>
      </c>
      <c r="R211" s="33">
        <f t="shared" si="60"/>
        <v>208.73333333333329</v>
      </c>
      <c r="S211" s="34">
        <v>0.2432</v>
      </c>
      <c r="T211" s="33">
        <f t="shared" si="61"/>
        <v>50.763946666666655</v>
      </c>
      <c r="U211" s="32">
        <f t="shared" si="62"/>
        <v>1148.0333333333331</v>
      </c>
      <c r="V211" s="33">
        <f t="shared" si="63"/>
        <v>279.20170666666661</v>
      </c>
      <c r="W211" s="34">
        <v>1</v>
      </c>
      <c r="X211" s="33">
        <f t="shared" si="64"/>
        <v>279.20170666666661</v>
      </c>
      <c r="Y211" s="32">
        <f t="shared" si="65"/>
        <v>329.96565333333325</v>
      </c>
      <c r="Z211" s="33">
        <f t="shared" si="66"/>
        <v>456.87552000000005</v>
      </c>
      <c r="AA211" s="4">
        <f t="shared" si="67"/>
        <v>2010.75</v>
      </c>
      <c r="AB211" s="3">
        <f t="shared" si="68"/>
        <v>2017.25</v>
      </c>
      <c r="AC211" s="35">
        <f>$H211+(($D211-1)/12)</f>
        <v>2025.75</v>
      </c>
      <c r="AD211" s="4">
        <f t="shared" si="69"/>
        <v>2016.25</v>
      </c>
      <c r="AE211" s="3">
        <f t="shared" si="70"/>
        <v>-8.3333333333333329E-2</v>
      </c>
    </row>
    <row r="212" spans="1:31" x14ac:dyDescent="0.25">
      <c r="A212" s="43" t="s">
        <v>325</v>
      </c>
      <c r="B212" s="43" t="s">
        <v>326</v>
      </c>
      <c r="C212" s="44">
        <v>2010</v>
      </c>
      <c r="D212" s="38">
        <v>11</v>
      </c>
      <c r="E212" s="29">
        <v>0</v>
      </c>
      <c r="F212" s="41" t="s">
        <v>64</v>
      </c>
      <c r="G212" s="4">
        <v>15</v>
      </c>
      <c r="H212" s="28">
        <f>C212+G212</f>
        <v>2025</v>
      </c>
      <c r="K212" s="10">
        <f>37658.04</f>
        <v>37658.04</v>
      </c>
      <c r="L212" s="11">
        <v>37658</v>
      </c>
      <c r="N212" s="11">
        <f>L212-L212*E212</f>
        <v>37658</v>
      </c>
      <c r="O212" s="3">
        <f t="shared" si="57"/>
        <v>209.21111111111111</v>
      </c>
      <c r="P212" s="32">
        <f t="shared" si="58"/>
        <v>2510.5333333333333</v>
      </c>
      <c r="Q212" s="3">
        <f t="shared" si="59"/>
        <v>0</v>
      </c>
      <c r="R212" s="33">
        <f t="shared" si="60"/>
        <v>2510.5333333333333</v>
      </c>
      <c r="S212" s="34">
        <v>0.2432</v>
      </c>
      <c r="T212" s="33">
        <f t="shared" si="61"/>
        <v>610.56170666666662</v>
      </c>
      <c r="U212" s="32">
        <f t="shared" si="62"/>
        <v>13598.722222222412</v>
      </c>
      <c r="V212" s="33">
        <f t="shared" si="63"/>
        <v>3307.2092444444907</v>
      </c>
      <c r="W212" s="34">
        <v>1</v>
      </c>
      <c r="X212" s="33">
        <f t="shared" si="64"/>
        <v>3307.2092444444907</v>
      </c>
      <c r="Y212" s="32">
        <f t="shared" si="65"/>
        <v>3917.770951111157</v>
      </c>
      <c r="Z212" s="33">
        <f t="shared" si="66"/>
        <v>5545.9355022221771</v>
      </c>
      <c r="AA212" s="4">
        <f t="shared" si="67"/>
        <v>2010.8333333333333</v>
      </c>
      <c r="AB212" s="3">
        <f t="shared" si="68"/>
        <v>2017.25</v>
      </c>
      <c r="AC212" s="35">
        <f>$H212+(($D212-1)/12)</f>
        <v>2025.8333333333333</v>
      </c>
      <c r="AD212" s="4">
        <f t="shared" si="69"/>
        <v>2016.25</v>
      </c>
      <c r="AE212" s="3">
        <f t="shared" si="70"/>
        <v>-8.3333333333333329E-2</v>
      </c>
    </row>
    <row r="213" spans="1:31" x14ac:dyDescent="0.25">
      <c r="A213" s="43" t="s">
        <v>327</v>
      </c>
      <c r="B213" s="43" t="s">
        <v>328</v>
      </c>
      <c r="C213" s="44">
        <v>2011</v>
      </c>
      <c r="D213" s="38">
        <v>5</v>
      </c>
      <c r="E213" s="29">
        <v>0</v>
      </c>
      <c r="F213" s="41" t="s">
        <v>64</v>
      </c>
      <c r="G213" s="4">
        <v>15</v>
      </c>
      <c r="H213" s="28">
        <f>C213+G213</f>
        <v>2026</v>
      </c>
      <c r="K213" s="10">
        <f>3196.2+278.07</f>
        <v>3474.27</v>
      </c>
      <c r="L213" s="11">
        <v>3474</v>
      </c>
      <c r="N213" s="11">
        <f>L213-L213*E213</f>
        <v>3474</v>
      </c>
      <c r="O213" s="3">
        <f t="shared" si="57"/>
        <v>19.3</v>
      </c>
      <c r="P213" s="32">
        <f t="shared" si="58"/>
        <v>231.60000000000002</v>
      </c>
      <c r="Q213" s="3">
        <f t="shared" si="59"/>
        <v>0</v>
      </c>
      <c r="R213" s="33">
        <f t="shared" si="60"/>
        <v>231.60000000000002</v>
      </c>
      <c r="S213" s="34">
        <v>0.2432</v>
      </c>
      <c r="T213" s="33">
        <f t="shared" si="61"/>
        <v>56.325120000000005</v>
      </c>
      <c r="U213" s="32">
        <f t="shared" si="62"/>
        <v>1138.7000000000176</v>
      </c>
      <c r="V213" s="33">
        <f t="shared" si="63"/>
        <v>276.93184000000429</v>
      </c>
      <c r="W213" s="34">
        <v>1</v>
      </c>
      <c r="X213" s="33">
        <f t="shared" si="64"/>
        <v>276.93184000000429</v>
      </c>
      <c r="Y213" s="32">
        <f t="shared" si="65"/>
        <v>333.25696000000431</v>
      </c>
      <c r="Z213" s="33">
        <f t="shared" si="66"/>
        <v>539.78239999999573</v>
      </c>
      <c r="AA213" s="4">
        <f t="shared" si="67"/>
        <v>2011.3333333333333</v>
      </c>
      <c r="AB213" s="3">
        <f t="shared" si="68"/>
        <v>2017.25</v>
      </c>
      <c r="AC213" s="35">
        <f>$H213+(($D213-1)/12)</f>
        <v>2026.3333333333333</v>
      </c>
      <c r="AD213" s="4">
        <f t="shared" si="69"/>
        <v>2016.25</v>
      </c>
      <c r="AE213" s="3">
        <f t="shared" si="70"/>
        <v>-8.3333333333333329E-2</v>
      </c>
    </row>
    <row r="214" spans="1:31" x14ac:dyDescent="0.25">
      <c r="A214" s="43" t="s">
        <v>329</v>
      </c>
      <c r="B214" s="43" t="s">
        <v>330</v>
      </c>
      <c r="C214" s="44">
        <v>2012</v>
      </c>
      <c r="D214" s="38">
        <v>12</v>
      </c>
      <c r="E214" s="29">
        <v>0</v>
      </c>
      <c r="F214" s="41" t="s">
        <v>64</v>
      </c>
      <c r="G214" s="4">
        <v>15</v>
      </c>
      <c r="H214" s="28">
        <f>C214+G214</f>
        <v>2027</v>
      </c>
      <c r="K214" s="10">
        <v>5411.09</v>
      </c>
      <c r="L214" s="11">
        <v>5411</v>
      </c>
      <c r="N214" s="11">
        <f>L214-L214*E214</f>
        <v>5411</v>
      </c>
      <c r="O214" s="3">
        <f t="shared" si="57"/>
        <v>30.061111111111114</v>
      </c>
      <c r="P214" s="32">
        <f t="shared" si="58"/>
        <v>360.73333333333335</v>
      </c>
      <c r="Q214" s="3">
        <f t="shared" si="59"/>
        <v>0</v>
      </c>
      <c r="R214" s="33">
        <f t="shared" si="60"/>
        <v>360.73333333333335</v>
      </c>
      <c r="S214" s="34">
        <v>0.2432</v>
      </c>
      <c r="T214" s="33">
        <f t="shared" si="61"/>
        <v>87.730346666666676</v>
      </c>
      <c r="U214" s="32">
        <f t="shared" si="62"/>
        <v>1202.4444444444173</v>
      </c>
      <c r="V214" s="33">
        <f t="shared" si="63"/>
        <v>292.4344888888823</v>
      </c>
      <c r="W214" s="34">
        <v>1</v>
      </c>
      <c r="X214" s="33">
        <f t="shared" si="64"/>
        <v>292.4344888888823</v>
      </c>
      <c r="Y214" s="32">
        <f t="shared" si="65"/>
        <v>380.16483555554896</v>
      </c>
      <c r="Z214" s="33">
        <f t="shared" si="66"/>
        <v>979.6555377777845</v>
      </c>
      <c r="AA214" s="4">
        <f t="shared" si="67"/>
        <v>2012.9166666666667</v>
      </c>
      <c r="AB214" s="3">
        <f t="shared" si="68"/>
        <v>2017.25</v>
      </c>
      <c r="AC214" s="35">
        <f>$H214+(($D214-1)/12)</f>
        <v>2027.9166666666667</v>
      </c>
      <c r="AD214" s="4">
        <f t="shared" si="69"/>
        <v>2016.25</v>
      </c>
      <c r="AE214" s="3">
        <f t="shared" si="70"/>
        <v>-8.3333333333333329E-2</v>
      </c>
    </row>
    <row r="215" spans="1:31" x14ac:dyDescent="0.25">
      <c r="A215" s="43" t="s">
        <v>331</v>
      </c>
      <c r="B215" s="43" t="s">
        <v>332</v>
      </c>
      <c r="C215" s="44">
        <v>2014</v>
      </c>
      <c r="D215" s="38">
        <v>10</v>
      </c>
      <c r="E215" s="29">
        <v>0</v>
      </c>
      <c r="F215" s="41" t="s">
        <v>64</v>
      </c>
      <c r="G215" s="4">
        <v>15</v>
      </c>
      <c r="H215" s="28">
        <f>C215+G215</f>
        <v>2029</v>
      </c>
      <c r="K215" s="10">
        <v>5411.09</v>
      </c>
      <c r="L215" s="11">
        <v>13076</v>
      </c>
      <c r="N215" s="11">
        <f>L215-L215*E215</f>
        <v>13076</v>
      </c>
      <c r="O215" s="3">
        <f t="shared" si="57"/>
        <v>72.644444444444446</v>
      </c>
      <c r="P215" s="32">
        <f t="shared" si="58"/>
        <v>871.73333333333335</v>
      </c>
      <c r="Q215" s="3">
        <f t="shared" si="59"/>
        <v>0</v>
      </c>
      <c r="R215" s="33">
        <f t="shared" si="60"/>
        <v>871.73333333333335</v>
      </c>
      <c r="S215" s="34">
        <v>0.2432</v>
      </c>
      <c r="T215" s="33">
        <f t="shared" si="61"/>
        <v>212.00554666666667</v>
      </c>
      <c r="U215" s="32">
        <f t="shared" si="62"/>
        <v>1307.5999999999999</v>
      </c>
      <c r="V215" s="33">
        <f t="shared" si="63"/>
        <v>318.00831999999997</v>
      </c>
      <c r="W215" s="34">
        <v>1</v>
      </c>
      <c r="X215" s="33">
        <f t="shared" si="64"/>
        <v>318.00831999999997</v>
      </c>
      <c r="Y215" s="32">
        <f t="shared" si="65"/>
        <v>530.01386666666667</v>
      </c>
      <c r="Z215" s="33">
        <f t="shared" si="66"/>
        <v>2756.0721066666665</v>
      </c>
      <c r="AA215" s="4">
        <f t="shared" si="67"/>
        <v>2014.75</v>
      </c>
      <c r="AB215" s="3">
        <f t="shared" si="68"/>
        <v>2017.25</v>
      </c>
      <c r="AC215" s="35">
        <f>$H215+(($D215-1)/12)</f>
        <v>2029.75</v>
      </c>
      <c r="AD215" s="4">
        <f t="shared" si="69"/>
        <v>2016.25</v>
      </c>
      <c r="AE215" s="3">
        <f t="shared" si="70"/>
        <v>-8.3333333333333329E-2</v>
      </c>
    </row>
    <row r="216" spans="1:31" x14ac:dyDescent="0.25">
      <c r="Z216" s="4">
        <f>SUM(Z209:Z215)</f>
        <v>15027.559618888814</v>
      </c>
    </row>
    <row r="218" spans="1:31" x14ac:dyDescent="0.25">
      <c r="Y218" s="49" t="s">
        <v>333</v>
      </c>
      <c r="Z218" s="33">
        <f>+Z216+Z207+Z199+Z194+Z189+Z178</f>
        <v>1593383.6057649821</v>
      </c>
    </row>
  </sheetData>
  <pageMargins left="0.25" right="0.25" top="0.5" bottom="0.5" header="0.5" footer="0.5"/>
  <pageSetup scale="51" fitToHeight="0" orientation="landscape" r:id="rId1"/>
  <headerFooter alignWithMargins="0">
    <oddFooter>&amp;C&amp;F  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AFCBB3-E87A-4827-8D74-A0B5ED279EEA}"/>
</file>

<file path=customXml/itemProps2.xml><?xml version="1.0" encoding="utf-8"?>
<ds:datastoreItem xmlns:ds="http://schemas.openxmlformats.org/officeDocument/2006/customXml" ds:itemID="{8338DA6A-8B6D-4B39-A200-0D530A713363}"/>
</file>

<file path=customXml/itemProps3.xml><?xml version="1.0" encoding="utf-8"?>
<ds:datastoreItem xmlns:ds="http://schemas.openxmlformats.org/officeDocument/2006/customXml" ds:itemID="{1D0AA39F-0743-403C-A9DA-4951AD024E9A}"/>
</file>

<file path=customXml/itemProps4.xml><?xml version="1.0" encoding="utf-8"?>
<ds:datastoreItem xmlns:ds="http://schemas.openxmlformats.org/officeDocument/2006/customXml" ds:itemID="{9C8DAB76-071B-411D-A533-B9A871F8F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Depreciation</vt:lpstr>
      <vt:lpstr>Depreciation!Print_Area</vt:lpstr>
      <vt:lpstr>Depreciation!Print_Titles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2017-05-16T18:54:09Z</cp:lastPrinted>
  <dcterms:created xsi:type="dcterms:W3CDTF">2017-05-16T18:52:41Z</dcterms:created>
  <dcterms:modified xsi:type="dcterms:W3CDTF">2017-05-16T18:54:25Z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0x0101006E56B4D1795A2E4DB2F0B01679ED314A00DBBA9F0D04E3F7429C5E12A00B635887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