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C19" i="16" l="1"/>
  <c r="F14" i="18" l="1"/>
  <c r="E19" i="3" l="1"/>
  <c r="D19" i="3"/>
  <c r="D22" i="10" l="1"/>
  <c r="E54" i="13"/>
  <c r="D54" i="10" s="1"/>
  <c r="D53" i="13"/>
  <c r="C53" i="13"/>
  <c r="E52" i="13"/>
  <c r="D52" i="10" s="1"/>
  <c r="E51" i="13"/>
  <c r="D51" i="10" s="1"/>
  <c r="E50" i="13"/>
  <c r="E53" i="13" s="1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5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50" i="10" l="1"/>
  <c r="D21" i="10"/>
  <c r="E24" i="13"/>
  <c r="E36" i="13"/>
  <c r="D16" i="10"/>
  <c r="D25" i="13"/>
  <c r="D32" i="10"/>
  <c r="E15" i="13"/>
  <c r="D9" i="10"/>
  <c r="C31" i="13"/>
  <c r="C41" i="13" s="1"/>
  <c r="C56" i="13"/>
  <c r="C55" i="13"/>
  <c r="E25" i="13" l="1"/>
  <c r="D30" i="13"/>
  <c r="E28" i="13"/>
  <c r="C57" i="13"/>
  <c r="C49" i="13"/>
  <c r="C58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I37" i="12" s="1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I32" i="12" s="1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E25" i="1" s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C15" i="10" l="1"/>
  <c r="C25" i="10" s="1"/>
  <c r="D20" i="3"/>
  <c r="D21" i="3" s="1"/>
  <c r="C31" i="1"/>
  <c r="C41" i="1" s="1"/>
  <c r="G46" i="5"/>
  <c r="C20" i="16" s="1"/>
  <c r="C21" i="16" s="1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I45" i="2" s="1"/>
  <c r="F45" i="5" s="1"/>
  <c r="F46" i="5" s="1"/>
  <c r="F48" i="5" s="1"/>
  <c r="C49" i="1"/>
  <c r="C58" i="1"/>
  <c r="C57" i="1"/>
  <c r="H46" i="2"/>
  <c r="H48" i="2" s="1"/>
  <c r="D34" i="2"/>
  <c r="D41" i="10"/>
  <c r="G48" i="2"/>
  <c r="B48" i="2"/>
  <c r="B46" i="5"/>
  <c r="G48" i="5"/>
  <c r="B25" i="5"/>
  <c r="C48" i="5"/>
  <c r="D49" i="10" l="1"/>
  <c r="C22" i="16"/>
  <c r="C24" i="16" s="1"/>
  <c r="C25" i="16" s="1"/>
  <c r="F15" i="18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E56" i="1" l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<sst xmlns="http://schemas.openxmlformats.org/spreadsheetml/2006/main" count="643" uniqueCount="269">
  <si>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</si>
  <si>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</si>
  <si>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</si>
  <si>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</si>
  <si>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</si>
  <si>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</si>
  <si>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</si>
  <si>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</si>
  <si>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</si>
  <si>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</si>
  <si>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</si>
  <si>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</si>
  <si>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</si>
  <si>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</si>
  <si>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</si>
  <si>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</si>
  <si>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</si>
  <si>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</si>
  <si>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</si>
  <si>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</si>
  <si>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</si>
  <si>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</si>
  <si>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</si>
  <si>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</si>
  <si>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</si>
  <si>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</si>
  <si>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</si>
  <si>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</si>
  <si>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</si>
  <si>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</si>
  <si>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</si>
  <si>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</si>
  <si>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</si>
  <si>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</si>
  <si>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</si>
  <si>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</si>
  <si>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</si>
  <si>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</si>
  <si>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</si>
  <si>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</si>
  <si>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</si>
  <si>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</si>
  <si>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</si>
  <si>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</si>
  <si>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</si>
  <si>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</si>
  <si>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</si>
  <si>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</si>
  <si>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</si>
  <si>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</si>
  <si>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</si>
  <si>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</si>
  <si>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</si>
  <si>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</si>
  <si>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</si>
  <si>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</si>
  <si>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</si>
  <si>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</si>
  <si>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</si>
  <si>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</si>
  <si>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</si>
  <si>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</si>
  <si>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</si>
  <si>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</si>
  <si>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</si>
  <si>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</si>
  <si>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</si>
  <si>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</si>
  <si>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</si>
  <si>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</si>
  <si>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</si>
  <si>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</si>
  <si>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</si>
  <si>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</si>
  <si>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</si>
  <si>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</si>
  <si>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</si>
  <si>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</si>
  <si>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</si>
  <si>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</si>
  <si>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</si>
  <si>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</si>
  <si>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</si>
  <si>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</si>
  <si>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</si>
  <si>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</si>
  <si>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</si>
  <si>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</si>
  <si>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</si>
  <si>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</si>
  <si>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</si>
  <si>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</si>
  <si>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</si>
  <si>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</si>
  <si>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</si>
  <si>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</si>
  <si>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</si>
  <si>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</si>
  <si>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</si>
  <si>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</si>
  <si>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</si>
  <si>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</si>
  <si>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</si>
  <si>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</si>
  <si>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</si>
  <si>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</si>
  <si>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</si>
  <si>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</si>
  <si>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</si>
  <si>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</si>
  <si>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</si>
  <si>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</si>
  <si>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</si>
  <si>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</si>
  <si>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</si>
  <si>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</si>
  <si>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</si>
  <si>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</si>
  <si>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</si>
  <si>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</si>
  <si>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</si>
  <si>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</si>
  <si>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</si>
  <si>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</si>
  <si>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</si>
  <si>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</si>
  <si>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</si>
  <si>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</si>
  <si>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</si>
  <si>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</si>
  <si>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</si>
  <si>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</si>
  <si>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</si>
  <si>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</si>
  <si>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</si>
  <si>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</si>
  <si>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</si>
  <si>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</si>
  <si>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</si>
  <si>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</si>
  <si>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</si>
  <si>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</si>
  <si>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</si>
  <si>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</si>
  <si>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</si>
  <si>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</si>
  <si>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</si>
  <si>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</si>
  <si>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</si>
  <si>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</si>
  <si>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</si>
  <si>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</si>
  <si>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</si>
  <si>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</si>
  <si>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</si>
  <si>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</si>
  <si>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</si>
  <si>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</si>
  <si>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</si>
  <si>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</si>
  <si>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</si>
  <si>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</si>
  <si>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</si>
  <si>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</si>
  <si>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</si>
  <si>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</si>
  <si>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</si>
  <si>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</si>
  <si>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</si>
  <si>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</si>
  <si>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</si>
  <si>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</si>
  <si>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</si>
  <si>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</si>
  <si>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</si>
  <si>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</si>
  <si>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</si>
  <si>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</si>
  <si>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</si>
  <si>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</si>
  <si>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</si>
  <si>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</si>
  <si>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</si>
  <si>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</si>
  <si>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</si>
  <si>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</si>
  <si>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</si>
  <si>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</si>
  <si>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</si>
  <si>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</si>
  <si>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</si>
  <si>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</si>
  <si>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</si>
  <si>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</si>
  <si>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</si>
  <si>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</si>
  <si>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</si>
  <si>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</si>
  <si>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</si>
  <si>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</si>
  <si>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</si>
  <si>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</si>
  <si>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</si>
  <si>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</si>
  <si>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</si>
  <si>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</si>
  <si>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</si>
  <si>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</si>
  <si>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</si>
  <si>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</si>
  <si>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</si>
  <si>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</si>
  <si>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</si>
  <si>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</si>
  <si>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</si>
  <si>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</si>
  <si>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</si>
  <si>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</si>
  <si>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</si>
  <si>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</si>
  <si>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</si>
  <si>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</si>
  <si>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</si>
  <si>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</si>
  <si>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</si>
  <si>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</si>
  <si>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</si>
  <si>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</si>
  <si>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</si>
  <si>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</si>
  <si>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</si>
  <si>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</si>
  <si>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</si>
  <si>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</si>
  <si>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</si>
  <si>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</si>
  <si>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</si>
  <si>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</si>
  <si>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</si>
  <si>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</si>
  <si>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</si>
  <si>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</si>
  <si>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</si>
  <si>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</si>
  <si>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</si>
  <si>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</si>
  <si>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</si>
  <si>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</si>
  <si>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</si>
  <si>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</si>
  <si>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</si>
  <si>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</si>
  <si>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</si>
  <si>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</si>
  <si>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</si>
  <si>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</si>
  <si>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</si>
  <si>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</si>
  <si>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</si>
  <si>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</si>
  <si>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</si>
  <si>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</si>
  <si>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</si>
  <si>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</si>
  <si>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</si>
  <si>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</si>
  <si>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</si>
  <si>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</si>
  <si>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McDaniel Telephone Co.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</si>
</sst>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/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268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313440.12</v>
      </c>
      <c r="E9" s="56">
        <v>331543.28000000003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296321.55000000005</v>
      </c>
      <c r="E11" s="53">
        <v>242646.23</v>
      </c>
    </row>
    <row r="12" spans="1:5" x14ac:dyDescent="0.25">
      <c r="A12" s="11" t="s">
        <v>217</v>
      </c>
      <c r="B12" s="18" t="s">
        <v>260</v>
      </c>
      <c r="C12" s="11"/>
      <c r="D12" s="53">
        <v>211115.89</v>
      </c>
      <c r="E12" s="53">
        <v>506982.69999999995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18802.95</v>
      </c>
      <c r="E14" s="53">
        <v>1273.8</v>
      </c>
    </row>
    <row r="15" spans="1:5" x14ac:dyDescent="0.25">
      <c r="A15" s="11" t="s">
        <v>219</v>
      </c>
      <c r="B15" s="18" t="s">
        <v>169</v>
      </c>
      <c r="C15" s="11"/>
      <c r="D15" s="53">
        <v>114043</v>
      </c>
      <c r="E15" s="53">
        <v>199340.61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808879</v>
      </c>
      <c r="E16" s="53">
        <v>402321</v>
      </c>
    </row>
    <row r="17" spans="1:5" x14ac:dyDescent="0.25">
      <c r="A17" s="11">
        <v>5</v>
      </c>
      <c r="B17" s="18" t="s">
        <v>241</v>
      </c>
      <c r="C17" s="11"/>
      <c r="D17" s="53">
        <v>0</v>
      </c>
      <c r="E17" s="53">
        <v>117030.61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1762602.51</v>
      </c>
      <c r="E19" s="36">
        <f>E9+E11+E12+E14+E15+E16+E17+E18</f>
        <v>1801138.2300000002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1762602.51</v>
      </c>
      <c r="E20" s="38">
        <f>IncomeStmtSummary!D10</f>
        <v>1801138.2300000002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/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zoomScaleNormal="100" workbookViewId="0"/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">
        <v>268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3613186.0800000047</v>
      </c>
    </row>
    <row r="11" spans="1:3" x14ac:dyDescent="0.25">
      <c r="A11" s="78">
        <v>2</v>
      </c>
      <c r="B11" s="83" t="s">
        <v>206</v>
      </c>
      <c r="C11" s="105">
        <f>'RateBase '!E15</f>
        <v>3315690.1099999994</v>
      </c>
    </row>
    <row r="12" spans="1:3" x14ac:dyDescent="0.25">
      <c r="A12" s="78">
        <v>3</v>
      </c>
      <c r="B12" s="98" t="s">
        <v>207</v>
      </c>
      <c r="C12" s="85">
        <f>(C10+C11)/2</f>
        <v>3464438.0950000021</v>
      </c>
    </row>
    <row r="13" spans="1:3" x14ac:dyDescent="0.25">
      <c r="A13" s="78">
        <v>4</v>
      </c>
      <c r="B13" s="83" t="s">
        <v>208</v>
      </c>
      <c r="C13" s="60">
        <f>IncomeStmtSummary!D31</f>
        <v>122074.78000000014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122074.78000000014</v>
      </c>
    </row>
    <row r="16" spans="1:3" x14ac:dyDescent="0.25">
      <c r="A16" s="78">
        <v>7</v>
      </c>
      <c r="B16" s="98" t="s">
        <v>209</v>
      </c>
      <c r="C16" s="86">
        <f>C15/C12</f>
        <v>3.5236530904155204E-2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f>'BalanceSheet(Summary)'!F46</f>
        <v>10126488.239999998</v>
      </c>
    </row>
    <row r="20" spans="1:7" x14ac:dyDescent="0.25">
      <c r="A20" s="78">
        <v>9</v>
      </c>
      <c r="B20" s="83" t="s">
        <v>214</v>
      </c>
      <c r="C20" s="88">
        <f>'BalanceSheet(Summary)'!G46</f>
        <v>5040641.7299999995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7583564.9849999994</v>
      </c>
    </row>
    <row r="22" spans="1:7" x14ac:dyDescent="0.25">
      <c r="A22" s="78">
        <v>11</v>
      </c>
      <c r="B22" s="83" t="s">
        <v>215</v>
      </c>
      <c r="C22" s="53">
        <f>IncomeStmtSummary!D41</f>
        <v>625882.99</v>
      </c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625882.99</v>
      </c>
    </row>
    <row r="25" spans="1:7" x14ac:dyDescent="0.25">
      <c r="A25" s="95">
        <v>14</v>
      </c>
      <c r="B25" s="102" t="s">
        <v>211</v>
      </c>
      <c r="C25" s="89">
        <f>C24/C21</f>
        <v>8.2531499530626107E-2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5884318.7700000005</v>
      </c>
      <c r="C10" s="57"/>
      <c r="D10" s="60">
        <f>SUM(B10:C10)</f>
        <v>5884318.7700000005</v>
      </c>
      <c r="E10" s="18"/>
      <c r="F10" s="18" t="s">
        <v>78</v>
      </c>
      <c r="G10" s="53">
        <v>474393.29000000004</v>
      </c>
      <c r="H10" s="57"/>
      <c r="I10" s="60">
        <f>SUM(G10:H10)</f>
        <v>474393.29000000004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45700.71</v>
      </c>
      <c r="H12" s="57"/>
      <c r="I12" s="60">
        <f t="shared" si="0"/>
        <v>45700.71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15459.85</v>
      </c>
      <c r="C14" s="57"/>
      <c r="D14" s="60">
        <f t="shared" ref="D14:D15" si="1">SUM(B14:C14)</f>
        <v>15459.85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170340.35000000003</v>
      </c>
      <c r="C17" s="57"/>
      <c r="D17" s="60">
        <f>SUM(B17:C17)</f>
        <v>170340.35000000003</v>
      </c>
      <c r="E17" s="19"/>
      <c r="F17" s="18" t="s">
        <v>87</v>
      </c>
      <c r="G17" s="53">
        <v>57724</v>
      </c>
      <c r="H17" s="57"/>
      <c r="I17" s="60">
        <f t="shared" si="0"/>
        <v>57724</v>
      </c>
    </row>
    <row r="18" spans="1:9" x14ac:dyDescent="0.25">
      <c r="A18" s="18" t="s">
        <v>47</v>
      </c>
      <c r="B18" s="53">
        <v>528521.28</v>
      </c>
      <c r="C18" s="57"/>
      <c r="D18" s="60">
        <f t="shared" ref="D18:D24" si="2">SUM(B18:C18)</f>
        <v>528521.28</v>
      </c>
      <c r="E18" s="18"/>
      <c r="F18" s="18" t="s">
        <v>88</v>
      </c>
      <c r="G18" s="53">
        <v>26176.809999999998</v>
      </c>
      <c r="H18" s="57"/>
      <c r="I18" s="60">
        <f t="shared" si="0"/>
        <v>26176.809999999998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19375.789999999997</v>
      </c>
      <c r="H19" s="67"/>
      <c r="I19" s="61">
        <f t="shared" si="0"/>
        <v>19375.789999999997</v>
      </c>
    </row>
    <row r="20" spans="1:9" x14ac:dyDescent="0.25">
      <c r="A20" s="18" t="s">
        <v>48</v>
      </c>
      <c r="B20" s="53">
        <v>186.96</v>
      </c>
      <c r="C20" s="57"/>
      <c r="D20" s="60">
        <f t="shared" si="2"/>
        <v>186.96</v>
      </c>
      <c r="E20" s="18"/>
      <c r="F20" s="18" t="s">
        <v>120</v>
      </c>
      <c r="G20" s="60">
        <f>SUM(G10:G19)</f>
        <v>623370.60000000009</v>
      </c>
      <c r="H20" s="60">
        <f>SUM(H10:H19)</f>
        <v>0</v>
      </c>
      <c r="I20" s="60">
        <f t="shared" ref="I20" si="3">SUM(I10:I19)</f>
        <v>623370.60000000009</v>
      </c>
    </row>
    <row r="21" spans="1:9" x14ac:dyDescent="0.25">
      <c r="A21" s="18" t="s">
        <v>49</v>
      </c>
      <c r="B21" s="53">
        <v>34608.949999999997</v>
      </c>
      <c r="C21" s="55"/>
      <c r="D21" s="60">
        <f t="shared" si="2"/>
        <v>34608.949999999997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6455.4</v>
      </c>
      <c r="C23" s="57"/>
      <c r="D23" s="60">
        <f t="shared" si="2"/>
        <v>6455.4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6639891.5600000005</v>
      </c>
      <c r="C25" s="60">
        <f>C10+C11+C13+C14+C15+C17+C18+C19+C20+C21+C22+C23+C24</f>
        <v>0</v>
      </c>
      <c r="D25" s="60">
        <f t="shared" ref="D25" si="5">D10+D11+D13+D14+D15+D17+D18+D19+D20+D21+D22+D23+D24</f>
        <v>6639891.5600000005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9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48103.12</v>
      </c>
      <c r="C34" s="72">
        <f>-1*(C25+C29+C30+C32+C33+C35+C36+C37+C46)</f>
        <v>40309</v>
      </c>
      <c r="D34" s="60">
        <f t="shared" si="7"/>
        <v>88412.12</v>
      </c>
      <c r="E34" s="18"/>
      <c r="F34" s="18" t="s">
        <v>103</v>
      </c>
      <c r="G34" s="53">
        <v>-3776.9999999999927</v>
      </c>
      <c r="H34" s="57"/>
      <c r="I34" s="60">
        <f>SUM(G34:H34)</f>
        <v>-3776.9999999999927</v>
      </c>
    </row>
    <row r="35" spans="1:9" x14ac:dyDescent="0.25">
      <c r="A35" s="18" t="s">
        <v>62</v>
      </c>
      <c r="B35" s="53">
        <v>0</v>
      </c>
      <c r="C35" s="57"/>
      <c r="D35" s="60">
        <f t="shared" si="7"/>
        <v>0</v>
      </c>
      <c r="E35" s="18"/>
      <c r="F35" s="18" t="s">
        <v>151</v>
      </c>
      <c r="G35" s="53">
        <v>1046154.4800000001</v>
      </c>
      <c r="H35" s="53">
        <v>-20326</v>
      </c>
      <c r="I35" s="60">
        <f t="shared" ref="I35:I36" si="8">SUM(G35:H35)</f>
        <v>1025828.4800000001</v>
      </c>
    </row>
    <row r="36" spans="1:9" x14ac:dyDescent="0.25">
      <c r="A36" s="18" t="s">
        <v>63</v>
      </c>
      <c r="B36" s="53">
        <v>-2.59</v>
      </c>
      <c r="C36" s="57"/>
      <c r="D36" s="60">
        <f t="shared" si="7"/>
        <v>-2.59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9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1042377.4800000001</v>
      </c>
      <c r="H37" s="60">
        <f t="shared" ref="H37:I37" si="9">SUM(H34:H36)</f>
        <v>-20326</v>
      </c>
      <c r="I37" s="60">
        <f t="shared" si="9"/>
        <v>1022051.4800000001</v>
      </c>
    </row>
    <row r="38" spans="1:9" x14ac:dyDescent="0.25">
      <c r="A38" s="18" t="s">
        <v>65</v>
      </c>
      <c r="B38" s="60">
        <f>B29+B30+B32+B33+B34+B35+B36+B37</f>
        <v>48100.530000000006</v>
      </c>
      <c r="C38" s="60">
        <f>C29+C30+C32+C33+C34+C35+C36+C37</f>
        <v>40309</v>
      </c>
      <c r="D38" s="60">
        <f t="shared" ref="D38" si="10">D29+D30+D32+D33+D34+D35+D36+D37</f>
        <v>88409.53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26200</v>
      </c>
      <c r="H39" s="23"/>
      <c r="I39" s="60">
        <f>SUM(G39:H39)</f>
        <v>26200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0</v>
      </c>
      <c r="H40" s="23"/>
      <c r="I40" s="60">
        <f t="shared" ref="I40:I45" si="11">SUM(G40:H40)</f>
        <v>0</v>
      </c>
    </row>
    <row r="41" spans="1:9" x14ac:dyDescent="0.25">
      <c r="A41" s="18" t="s">
        <v>190</v>
      </c>
      <c r="B41" s="53">
        <v>14699532.030000003</v>
      </c>
      <c r="C41" s="53">
        <v>-62760</v>
      </c>
      <c r="D41" s="60">
        <f>SUM(B41:C41)</f>
        <v>14636772.030000003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9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9" x14ac:dyDescent="0.25">
      <c r="A43" s="18" t="s">
        <v>69</v>
      </c>
      <c r="B43" s="53">
        <v>448366.10000000009</v>
      </c>
      <c r="C43" s="53"/>
      <c r="D43" s="60">
        <f t="shared" si="12"/>
        <v>448366.10000000009</v>
      </c>
      <c r="E43" s="18"/>
      <c r="F43" s="18" t="s">
        <v>111</v>
      </c>
      <c r="G43" s="53">
        <v>15007.2</v>
      </c>
      <c r="H43" s="23"/>
      <c r="I43" s="60">
        <f t="shared" si="11"/>
        <v>15007.2</v>
      </c>
    </row>
    <row r="44" spans="1:9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9" x14ac:dyDescent="0.25">
      <c r="A45" s="18" t="s">
        <v>121</v>
      </c>
      <c r="B45" s="54">
        <v>-10063979.899999999</v>
      </c>
      <c r="C45" s="54">
        <v>22451</v>
      </c>
      <c r="D45" s="61">
        <f t="shared" si="12"/>
        <v>-10041528.899999999</v>
      </c>
      <c r="E45" s="18"/>
      <c r="F45" s="18" t="s">
        <v>181</v>
      </c>
      <c r="G45" s="54">
        <v>10064955.039999999</v>
      </c>
      <c r="H45" s="106">
        <f>-1*(H20+H32+H37)</f>
        <v>20326</v>
      </c>
      <c r="I45" s="61">
        <f t="shared" si="11"/>
        <v>10085281.039999999</v>
      </c>
    </row>
    <row r="46" spans="1:9" x14ac:dyDescent="0.25">
      <c r="A46" s="18" t="s">
        <v>71</v>
      </c>
      <c r="B46" s="60">
        <f>B41+B42+B43+B44+B45</f>
        <v>5083918.2300000042</v>
      </c>
      <c r="C46" s="60">
        <f t="shared" ref="C46:D46" si="13">C41+C42+C43+C44+C45</f>
        <v>-40309</v>
      </c>
      <c r="D46" s="60">
        <f t="shared" si="13"/>
        <v>5043609.2300000042</v>
      </c>
      <c r="E46" s="18"/>
      <c r="F46" s="18" t="s">
        <v>114</v>
      </c>
      <c r="G46" s="60">
        <f>SUM(G39:G45)</f>
        <v>10106162.239999998</v>
      </c>
      <c r="H46" s="63">
        <f t="shared" ref="H46:I46" si="14">SUM(H39:H45)</f>
        <v>20326</v>
      </c>
      <c r="I46" s="60">
        <f t="shared" si="14"/>
        <v>10126488.239999998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11771910.320000004</v>
      </c>
      <c r="C48" s="62">
        <f t="shared" ref="C48:D48" si="15">C25+C38+C46</f>
        <v>0</v>
      </c>
      <c r="D48" s="62">
        <f t="shared" si="15"/>
        <v>11771910.320000004</v>
      </c>
      <c r="E48" s="18"/>
      <c r="F48" s="22" t="s">
        <v>115</v>
      </c>
      <c r="G48" s="62">
        <f>G20+G32+G37+G46</f>
        <v>11771910.319999998</v>
      </c>
      <c r="H48" s="62">
        <f t="shared" ref="H48:I48" si="16">H20+H32+H37+H46</f>
        <v>0</v>
      </c>
      <c r="I48" s="62">
        <f t="shared" si="16"/>
        <v>11771910.319999998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1349938.27</v>
      </c>
      <c r="C10" s="57"/>
      <c r="D10" s="60">
        <f>SUM(B10:C10)</f>
        <v>1349938.27</v>
      </c>
      <c r="E10" s="18"/>
      <c r="F10" s="18" t="s">
        <v>78</v>
      </c>
      <c r="G10" s="53">
        <v>322811.33</v>
      </c>
      <c r="H10" s="57"/>
      <c r="I10" s="60">
        <f>SUM(G10:H10)</f>
        <v>322811.33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47732.11</v>
      </c>
      <c r="H12" s="57"/>
      <c r="I12" s="60">
        <f t="shared" si="0"/>
        <v>47732.11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87585.18</v>
      </c>
      <c r="C14" s="57"/>
      <c r="D14" s="60">
        <f t="shared" ref="D14:D15" si="1">SUM(B14:C14)</f>
        <v>87585.18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168651.50000000003</v>
      </c>
      <c r="C17" s="57"/>
      <c r="D17" s="60">
        <f>SUM(B17:C17)</f>
        <v>168651.50000000003</v>
      </c>
      <c r="E17" s="19"/>
      <c r="F17" s="18" t="s">
        <v>87</v>
      </c>
      <c r="G17" s="53">
        <v>58234</v>
      </c>
      <c r="H17" s="57"/>
      <c r="I17" s="60">
        <f t="shared" si="0"/>
        <v>58234</v>
      </c>
    </row>
    <row r="18" spans="1:9" x14ac:dyDescent="0.25">
      <c r="A18" s="18" t="s">
        <v>47</v>
      </c>
      <c r="B18" s="53">
        <v>370235.14</v>
      </c>
      <c r="C18" s="57"/>
      <c r="D18" s="60">
        <f t="shared" ref="D18:D24" si="2">SUM(B18:C18)</f>
        <v>370235.14</v>
      </c>
      <c r="E18" s="18"/>
      <c r="F18" s="18" t="s">
        <v>88</v>
      </c>
      <c r="G18" s="53">
        <v>22672.190000000002</v>
      </c>
      <c r="H18" s="57"/>
      <c r="I18" s="60">
        <f t="shared" si="0"/>
        <v>22672.190000000002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25110.240000000002</v>
      </c>
      <c r="H19" s="67"/>
      <c r="I19" s="61">
        <f t="shared" si="0"/>
        <v>25110.240000000002</v>
      </c>
    </row>
    <row r="20" spans="1:9" x14ac:dyDescent="0.25">
      <c r="A20" s="18" t="s">
        <v>48</v>
      </c>
      <c r="B20" s="53">
        <v>135.28</v>
      </c>
      <c r="C20" s="57"/>
      <c r="D20" s="60">
        <f t="shared" si="2"/>
        <v>135.28</v>
      </c>
      <c r="E20" s="18"/>
      <c r="F20" s="18" t="s">
        <v>120</v>
      </c>
      <c r="G20" s="60">
        <f>SUM(G10:G19)</f>
        <v>476559.87</v>
      </c>
      <c r="H20" s="60">
        <f>SUM(H10:H19)</f>
        <v>0</v>
      </c>
      <c r="I20" s="60">
        <f t="shared" ref="I20" si="3">SUM(I10:I19)</f>
        <v>476559.87</v>
      </c>
    </row>
    <row r="21" spans="1:9" x14ac:dyDescent="0.25">
      <c r="A21" s="18" t="s">
        <v>49</v>
      </c>
      <c r="B21" s="53">
        <v>37824.9</v>
      </c>
      <c r="C21" s="55"/>
      <c r="D21" s="60">
        <f t="shared" si="2"/>
        <v>37824.9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6455.4</v>
      </c>
      <c r="C23" s="57"/>
      <c r="D23" s="60">
        <f t="shared" si="2"/>
        <v>6455.4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2020825.6699999997</v>
      </c>
      <c r="C25" s="60">
        <f>C10+C11+C13+C14+C15+C17+C18+C19+C20+C21+C22+C23+C24</f>
        <v>0</v>
      </c>
      <c r="D25" s="60">
        <f t="shared" ref="D25" si="5">D10+D11+D13+D14+D15+D17+D18+D19+D20+D21+D22+D23+D24</f>
        <v>2020825.6699999997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11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29201.230000000003</v>
      </c>
      <c r="C34" s="72">
        <f>-1*(C25+C29+C30+C32+C33+C35+C36+C37+C46)</f>
        <v>39402</v>
      </c>
      <c r="D34" s="60">
        <f t="shared" si="7"/>
        <v>68603.23000000001</v>
      </c>
      <c r="E34" s="18"/>
      <c r="F34" s="18" t="s">
        <v>103</v>
      </c>
      <c r="G34" s="53">
        <v>-33314</v>
      </c>
      <c r="H34" s="57"/>
      <c r="I34" s="60">
        <f>SUM(G34:H34)</f>
        <v>-33314</v>
      </c>
    </row>
    <row r="35" spans="1:11" x14ac:dyDescent="0.25">
      <c r="A35" s="18" t="s">
        <v>62</v>
      </c>
      <c r="B35" s="53">
        <v>4333.33</v>
      </c>
      <c r="C35" s="57"/>
      <c r="D35" s="60">
        <f t="shared" si="7"/>
        <v>4333.33</v>
      </c>
      <c r="E35" s="18"/>
      <c r="F35" s="18" t="s">
        <v>151</v>
      </c>
      <c r="G35" s="53">
        <v>957789.3</v>
      </c>
      <c r="H35" s="53">
        <v>-16457</v>
      </c>
      <c r="I35" s="60">
        <f t="shared" ref="I35:I36" si="8">SUM(G35:H35)</f>
        <v>941332.3</v>
      </c>
    </row>
    <row r="36" spans="1:11" x14ac:dyDescent="0.25">
      <c r="A36" s="18" t="s">
        <v>63</v>
      </c>
      <c r="B36" s="53">
        <v>-2.59</v>
      </c>
      <c r="C36" s="57"/>
      <c r="D36" s="60">
        <f t="shared" si="7"/>
        <v>-2.59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11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924475.3</v>
      </c>
      <c r="H37" s="60">
        <f t="shared" ref="H37:I37" si="9">SUM(H34:H36)</f>
        <v>-16457</v>
      </c>
      <c r="I37" s="60">
        <f t="shared" si="9"/>
        <v>908018.3</v>
      </c>
    </row>
    <row r="38" spans="1:11" x14ac:dyDescent="0.25">
      <c r="A38" s="18" t="s">
        <v>65</v>
      </c>
      <c r="B38" s="60">
        <f>B29+B30+B32+B33+B34+B35+B36+B37</f>
        <v>33531.970000000008</v>
      </c>
      <c r="C38" s="60">
        <f>C29+C30+C32+C33+C34+C35+C36+C37</f>
        <v>39402</v>
      </c>
      <c r="D38" s="60">
        <f t="shared" ref="D38" si="10">D29+D30+D32+D33+D34+D35+D36+D37</f>
        <v>72933.970000000016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26200</v>
      </c>
      <c r="H39" s="23"/>
      <c r="I39" s="60">
        <f>SUM(G39:H39)</f>
        <v>26200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0</v>
      </c>
      <c r="H40" s="23"/>
      <c r="I40" s="60">
        <f t="shared" ref="I40:I45" si="11">SUM(G40:H40)</f>
        <v>0</v>
      </c>
    </row>
    <row r="41" spans="1:11" x14ac:dyDescent="0.25">
      <c r="A41" s="18" t="s">
        <v>190</v>
      </c>
      <c r="B41" s="53">
        <v>15075679.169999998</v>
      </c>
      <c r="C41" s="53">
        <v>-64887</v>
      </c>
      <c r="D41" s="60">
        <f>SUM(B41:C41)</f>
        <v>15010792.169999998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11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11" x14ac:dyDescent="0.25">
      <c r="A43" s="18" t="s">
        <v>69</v>
      </c>
      <c r="B43" s="53">
        <v>110630.72999999995</v>
      </c>
      <c r="C43" s="53"/>
      <c r="D43" s="60">
        <f t="shared" si="12"/>
        <v>110630.72999999995</v>
      </c>
      <c r="E43" s="18"/>
      <c r="F43" s="18" t="s">
        <v>111</v>
      </c>
      <c r="G43" s="53">
        <v>31146.7</v>
      </c>
      <c r="H43" s="23"/>
      <c r="I43" s="60">
        <f t="shared" si="11"/>
        <v>31146.7</v>
      </c>
      <c r="K43" s="68"/>
    </row>
    <row r="44" spans="1:11" x14ac:dyDescent="0.25">
      <c r="A44" s="18" t="s">
        <v>70</v>
      </c>
      <c r="B44" s="53">
        <v>25762.32</v>
      </c>
      <c r="C44" s="53"/>
      <c r="D44" s="60">
        <f t="shared" si="12"/>
        <v>25762.32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11" x14ac:dyDescent="0.25">
      <c r="A45" s="18" t="s">
        <v>121</v>
      </c>
      <c r="B45" s="54">
        <v>-10841209.959999999</v>
      </c>
      <c r="C45" s="54">
        <v>25485</v>
      </c>
      <c r="D45" s="61">
        <f t="shared" si="12"/>
        <v>-10815724.959999999</v>
      </c>
      <c r="E45" s="18"/>
      <c r="F45" s="18" t="s">
        <v>181</v>
      </c>
      <c r="G45" s="54">
        <v>4966838.0299999993</v>
      </c>
      <c r="H45" s="106">
        <f>-1*(H20+H32+H37)</f>
        <v>16457</v>
      </c>
      <c r="I45" s="61">
        <f t="shared" si="11"/>
        <v>4983295.0299999993</v>
      </c>
    </row>
    <row r="46" spans="1:11" x14ac:dyDescent="0.25">
      <c r="A46" s="18" t="s">
        <v>71</v>
      </c>
      <c r="B46" s="60">
        <f>B41+B42+B43+B44+B45</f>
        <v>4370862.26</v>
      </c>
      <c r="C46" s="60">
        <f t="shared" ref="C46:D46" si="13">C41+C42+C43+C44+C45</f>
        <v>-39402</v>
      </c>
      <c r="D46" s="60">
        <f t="shared" si="13"/>
        <v>4331460.26</v>
      </c>
      <c r="E46" s="18"/>
      <c r="F46" s="18" t="s">
        <v>114</v>
      </c>
      <c r="G46" s="60">
        <f>SUM(G39:G45)</f>
        <v>5024184.7299999995</v>
      </c>
      <c r="H46" s="63">
        <f t="shared" ref="H46:I46" si="14">SUM(H39:H45)</f>
        <v>16457</v>
      </c>
      <c r="I46" s="60">
        <f t="shared" si="14"/>
        <v>5040641.7299999995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6425219.8999999994</v>
      </c>
      <c r="C48" s="62">
        <f t="shared" ref="C48:D48" si="15">C25+C38+C46</f>
        <v>0</v>
      </c>
      <c r="D48" s="62">
        <f t="shared" si="15"/>
        <v>6425219.8999999994</v>
      </c>
      <c r="E48" s="18"/>
      <c r="F48" s="22" t="s">
        <v>115</v>
      </c>
      <c r="G48" s="62">
        <f>G20+G32+G37+G46</f>
        <v>6425219.8999999994</v>
      </c>
      <c r="H48" s="62">
        <f t="shared" ref="H48:I48" si="16">H20+H32+H37+H46</f>
        <v>0</v>
      </c>
      <c r="I48" s="62">
        <f t="shared" si="16"/>
        <v>6425219.8999999994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/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268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5884318.7700000005</v>
      </c>
      <c r="C10" s="33">
        <f>'CurrentYearBalanceSheet '!D10</f>
        <v>1349938.27</v>
      </c>
      <c r="D10" s="18"/>
      <c r="E10" s="18" t="s">
        <v>78</v>
      </c>
      <c r="F10" s="33">
        <f>PriorYearBalanceSheet!I10</f>
        <v>474393.29000000004</v>
      </c>
      <c r="G10" s="33">
        <f>'CurrentYearBalanceSheet '!I10</f>
        <v>322811.33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45700.71</v>
      </c>
      <c r="G12" s="33">
        <f>'CurrentYearBalanceSheet '!I12</f>
        <v>47732.11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15459.85</v>
      </c>
      <c r="C14" s="33">
        <f>'CurrentYearBalanceSheet '!D14</f>
        <v>87585.18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170340.35000000003</v>
      </c>
      <c r="C17" s="33">
        <f>'CurrentYearBalanceSheet '!D17</f>
        <v>168651.50000000003</v>
      </c>
      <c r="D17" s="18"/>
      <c r="E17" s="18" t="s">
        <v>87</v>
      </c>
      <c r="F17" s="33">
        <f>PriorYearBalanceSheet!I17</f>
        <v>57724</v>
      </c>
      <c r="G17" s="33">
        <f>'CurrentYearBalanceSheet '!I17</f>
        <v>58234</v>
      </c>
    </row>
    <row r="18" spans="1:7" x14ac:dyDescent="0.25">
      <c r="A18" s="18" t="s">
        <v>47</v>
      </c>
      <c r="B18" s="33">
        <f>PriorYearBalanceSheet!D18</f>
        <v>528521.28</v>
      </c>
      <c r="C18" s="33">
        <f>'CurrentYearBalanceSheet '!D18</f>
        <v>370235.14</v>
      </c>
      <c r="D18" s="18"/>
      <c r="E18" s="18" t="s">
        <v>88</v>
      </c>
      <c r="F18" s="33">
        <f>PriorYearBalanceSheet!I18</f>
        <v>26176.809999999998</v>
      </c>
      <c r="G18" s="33">
        <f>'CurrentYearBalanceSheet '!I18</f>
        <v>22672.190000000002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19375.789999999997</v>
      </c>
      <c r="G19" s="33">
        <f>'CurrentYearBalanceSheet '!I19</f>
        <v>25110.240000000002</v>
      </c>
    </row>
    <row r="20" spans="1:7" x14ac:dyDescent="0.25">
      <c r="A20" s="18" t="s">
        <v>48</v>
      </c>
      <c r="B20" s="33">
        <f>PriorYearBalanceSheet!D20</f>
        <v>186.96</v>
      </c>
      <c r="C20" s="33">
        <f>'CurrentYearBalanceSheet '!D20</f>
        <v>135.28</v>
      </c>
      <c r="D20" s="18"/>
      <c r="E20" s="18" t="s">
        <v>90</v>
      </c>
      <c r="F20" s="37">
        <f>SUM(F10:F19)</f>
        <v>623370.60000000009</v>
      </c>
      <c r="G20" s="36">
        <f>SUM(G10:G19)</f>
        <v>476559.87</v>
      </c>
    </row>
    <row r="21" spans="1:7" x14ac:dyDescent="0.25">
      <c r="A21" s="18" t="s">
        <v>49</v>
      </c>
      <c r="B21" s="33">
        <f>PriorYearBalanceSheet!D21</f>
        <v>34608.949999999997</v>
      </c>
      <c r="C21" s="33">
        <f>'CurrentYearBalanceSheet '!D21</f>
        <v>37824.9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6455.4</v>
      </c>
      <c r="C23" s="33">
        <f>'CurrentYearBalanceSheet '!D23</f>
        <v>6455.4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6639891.5600000005</v>
      </c>
      <c r="C25" s="33">
        <f>C10+C11+C13+C14+C15+C17+C18+C19+C20+C21+C22+C23+C24</f>
        <v>2020825.6699999997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88412.12</v>
      </c>
      <c r="C34" s="33">
        <f>'CurrentYearBalanceSheet '!D34</f>
        <v>68603.23000000001</v>
      </c>
      <c r="D34" s="18"/>
      <c r="E34" s="18" t="s">
        <v>103</v>
      </c>
      <c r="F34" s="33">
        <f>PriorYearBalanceSheet!I34</f>
        <v>-3776.9999999999927</v>
      </c>
      <c r="G34" s="33">
        <f>'CurrentYearBalanceSheet '!I34</f>
        <v>-33314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4333.33</v>
      </c>
      <c r="D35" s="18"/>
      <c r="E35" s="18" t="s">
        <v>222</v>
      </c>
      <c r="F35" s="33">
        <f>PriorYearBalanceSheet!I35</f>
        <v>1025828.4800000001</v>
      </c>
      <c r="G35" s="33">
        <f>'CurrentYearBalanceSheet '!I35</f>
        <v>941332.3</v>
      </c>
    </row>
    <row r="36" spans="1:7" x14ac:dyDescent="0.25">
      <c r="A36" s="18" t="s">
        <v>63</v>
      </c>
      <c r="B36" s="33">
        <f>PriorYearBalanceSheet!D36</f>
        <v>-2.59</v>
      </c>
      <c r="C36" s="33">
        <f>'CurrentYearBalanceSheet '!D36</f>
        <v>-2.59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1022051.4800000001</v>
      </c>
      <c r="G37" s="33">
        <f>SUM(G34:G36)</f>
        <v>908018.3</v>
      </c>
    </row>
    <row r="38" spans="1:7" x14ac:dyDescent="0.25">
      <c r="A38" s="18" t="s">
        <v>65</v>
      </c>
      <c r="B38" s="33">
        <f>B29+B30+B32+B33+B34+B35+B36+B37</f>
        <v>88409.53</v>
      </c>
      <c r="C38" s="33">
        <f>C29+C30+C32+C33+C34+C35+C36+C37</f>
        <v>72933.970000000016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26200</v>
      </c>
      <c r="G39" s="33">
        <f>'CurrentYearBalanceSheet '!I39</f>
        <v>26200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14636772.030000003</v>
      </c>
      <c r="C41" s="33">
        <f>'CurrentYearBalanceSheet '!D41</f>
        <v>15010792.169999998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448366.10000000009</v>
      </c>
      <c r="C43" s="33">
        <f>'CurrentYearBalanceSheet '!D43</f>
        <v>110630.72999999995</v>
      </c>
      <c r="D43" s="18"/>
      <c r="E43" s="18" t="s">
        <v>111</v>
      </c>
      <c r="F43" s="33">
        <f>PriorYearBalanceSheet!I43</f>
        <v>15007.2</v>
      </c>
      <c r="G43" s="33">
        <f>'CurrentYearBalanceSheet '!I43</f>
        <v>31146.7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25762.32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-10041528.899999999</v>
      </c>
      <c r="C45" s="34">
        <f>'CurrentYearBalanceSheet '!D45</f>
        <v>-10815724.959999999</v>
      </c>
      <c r="D45" s="18"/>
      <c r="E45" s="18" t="s">
        <v>113</v>
      </c>
      <c r="F45" s="34">
        <f>PriorYearBalanceSheet!I45</f>
        <v>10085281.039999999</v>
      </c>
      <c r="G45" s="34">
        <f>'CurrentYearBalanceSheet '!I45</f>
        <v>4983295.0299999993</v>
      </c>
    </row>
    <row r="46" spans="1:7" x14ac:dyDescent="0.25">
      <c r="A46" s="18" t="s">
        <v>71</v>
      </c>
      <c r="B46" s="33">
        <f>SUM(B41:B45)</f>
        <v>5043609.2300000042</v>
      </c>
      <c r="C46" s="33">
        <f>SUM(C41:C45)</f>
        <v>4331460.26</v>
      </c>
      <c r="D46" s="18"/>
      <c r="E46" s="18" t="s">
        <v>114</v>
      </c>
      <c r="F46" s="33">
        <f>SUM(F39:F45)</f>
        <v>10126488.239999998</v>
      </c>
      <c r="G46" s="33">
        <f>SUM(G39:G45)</f>
        <v>5040641.7299999995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11771910.320000004</v>
      </c>
      <c r="C48" s="35">
        <f>C25+C38+C46</f>
        <v>6425219.8999999994</v>
      </c>
      <c r="D48" s="18"/>
      <c r="E48" s="22" t="s">
        <v>115</v>
      </c>
      <c r="F48" s="35">
        <f>F20+F32+F37+F46</f>
        <v>11771910.319999998</v>
      </c>
      <c r="G48" s="35">
        <f>G20+G32+G37+G46</f>
        <v>6425219.8999999994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/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14636772.030000003</v>
      </c>
      <c r="E10" s="60">
        <f>'BalanceSheet(Summary)'!C41</f>
        <v>15010792.169999998</v>
      </c>
      <c r="F10" s="60">
        <f>(D10+E10)/2</f>
        <v>14823782.100000001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-10041528.899999999</v>
      </c>
      <c r="E12" s="60">
        <f>'BalanceSheet(Summary)'!C45</f>
        <v>-10815724.959999999</v>
      </c>
      <c r="F12" s="60">
        <f t="shared" ref="F12:F15" si="0">(D12+E12)/2</f>
        <v>-10428626.93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34608.949999999997</v>
      </c>
      <c r="E13" s="60">
        <f>'BalanceSheet(Summary)'!C21</f>
        <v>37824.9</v>
      </c>
      <c r="F13" s="60">
        <f t="shared" si="0"/>
        <v>36216.925000000003</v>
      </c>
    </row>
    <row r="14" spans="1:6" x14ac:dyDescent="0.25">
      <c r="A14" s="11">
        <v>5</v>
      </c>
      <c r="B14" s="18" t="s">
        <v>132</v>
      </c>
      <c r="C14" s="20"/>
      <c r="D14" s="53">
        <v>-1016666</v>
      </c>
      <c r="E14" s="53">
        <v>-917202</v>
      </c>
      <c r="F14" s="60">
        <f t="shared" si="0"/>
        <v>-966934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3613186.0800000047</v>
      </c>
      <c r="E15" s="64">
        <f>SUM(E10:E14)</f>
        <v>3315690.1099999994</v>
      </c>
      <c r="F15" s="65">
        <f t="shared" si="0"/>
        <v>3464438.0950000021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/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3010</v>
      </c>
      <c r="D10" s="53">
        <v>2974</v>
      </c>
      <c r="E10" s="33">
        <f>D10-C10</f>
        <v>-36</v>
      </c>
      <c r="F10" s="39">
        <f>E10/C10</f>
        <v>-1.1960132890365448E-2</v>
      </c>
    </row>
    <row r="11" spans="1:6" x14ac:dyDescent="0.25">
      <c r="A11" s="11">
        <v>2</v>
      </c>
      <c r="B11" s="20" t="s">
        <v>140</v>
      </c>
      <c r="C11" s="53">
        <v>512</v>
      </c>
      <c r="D11" s="53">
        <v>487</v>
      </c>
      <c r="E11" s="33">
        <f>D11-C11</f>
        <v>-25</v>
      </c>
      <c r="F11" s="39">
        <f t="shared" ref="F11:F12" si="0">E11/C11</f>
        <v>-4.8828125E-2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3522</v>
      </c>
      <c r="D12" s="35">
        <f t="shared" ref="D12:E12" si="1">SUM(D10:D11)</f>
        <v>3461</v>
      </c>
      <c r="E12" s="35">
        <f t="shared" si="1"/>
        <v>-61</v>
      </c>
      <c r="F12" s="40">
        <f t="shared" si="0"/>
        <v>-1.7319704713231118E-2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914022.40999999992</v>
      </c>
      <c r="D9" s="53"/>
      <c r="E9" s="60">
        <f>SUM(C9:D9)</f>
        <v>914022.40999999992</v>
      </c>
    </row>
    <row r="10" spans="1:6" x14ac:dyDescent="0.25">
      <c r="A10" s="11">
        <v>2</v>
      </c>
      <c r="B10" s="15" t="s">
        <v>2</v>
      </c>
      <c r="C10" s="53">
        <v>1762602.51</v>
      </c>
      <c r="D10" s="53"/>
      <c r="E10" s="60">
        <f t="shared" ref="E10:E14" si="0">SUM(C10:D10)</f>
        <v>1762602.51</v>
      </c>
    </row>
    <row r="11" spans="1:6" x14ac:dyDescent="0.25">
      <c r="A11" s="11">
        <v>3</v>
      </c>
      <c r="B11" s="15" t="s">
        <v>3</v>
      </c>
      <c r="C11" s="53">
        <v>433.7</v>
      </c>
      <c r="D11" s="53"/>
      <c r="E11" s="60">
        <f t="shared" si="0"/>
        <v>433.7</v>
      </c>
    </row>
    <row r="12" spans="1:6" x14ac:dyDescent="0.25">
      <c r="A12" s="11">
        <v>4</v>
      </c>
      <c r="B12" s="15" t="s">
        <v>4</v>
      </c>
      <c r="C12" s="53">
        <v>102063.67</v>
      </c>
      <c r="D12" s="53"/>
      <c r="E12" s="60">
        <f t="shared" si="0"/>
        <v>102063.67</v>
      </c>
    </row>
    <row r="13" spans="1:6" x14ac:dyDescent="0.25">
      <c r="A13" s="11">
        <v>5</v>
      </c>
      <c r="B13" s="15" t="s">
        <v>5</v>
      </c>
      <c r="C13" s="53">
        <v>48204.31</v>
      </c>
      <c r="D13" s="53"/>
      <c r="E13" s="60">
        <f t="shared" si="0"/>
        <v>48204.31</v>
      </c>
    </row>
    <row r="14" spans="1:6" x14ac:dyDescent="0.25">
      <c r="A14" s="11">
        <v>6</v>
      </c>
      <c r="B14" s="15" t="s">
        <v>159</v>
      </c>
      <c r="C14" s="53">
        <v>-45614.979999999996</v>
      </c>
      <c r="D14" s="53"/>
      <c r="E14" s="60">
        <f t="shared" si="0"/>
        <v>-45614.979999999996</v>
      </c>
    </row>
    <row r="15" spans="1:6" x14ac:dyDescent="0.25">
      <c r="A15" s="11">
        <v>7</v>
      </c>
      <c r="B15" s="97" t="s">
        <v>158</v>
      </c>
      <c r="C15" s="109">
        <f>SUM(C9:C14)</f>
        <v>2781711.62</v>
      </c>
      <c r="D15" s="109">
        <f t="shared" ref="D15:E15" si="1">SUM(D9:D14)</f>
        <v>0</v>
      </c>
      <c r="E15" s="109">
        <f t="shared" si="1"/>
        <v>2781711.62</v>
      </c>
      <c r="F15" s="1"/>
    </row>
    <row r="16" spans="1:6" x14ac:dyDescent="0.25">
      <c r="A16" s="11">
        <v>8</v>
      </c>
      <c r="B16" s="15" t="s">
        <v>6</v>
      </c>
      <c r="C16" s="53">
        <v>527602.35000000009</v>
      </c>
      <c r="D16" s="53">
        <v>-23230</v>
      </c>
      <c r="E16" s="42">
        <f>SUM(C16:D16)</f>
        <v>504372.35000000009</v>
      </c>
    </row>
    <row r="17" spans="1:6" x14ac:dyDescent="0.25">
      <c r="A17" s="11">
        <v>9</v>
      </c>
      <c r="B17" s="15" t="s">
        <v>40</v>
      </c>
      <c r="C17" s="53">
        <v>387800.17</v>
      </c>
      <c r="D17" s="53">
        <v>-16445</v>
      </c>
      <c r="E17" s="42">
        <f t="shared" ref="E17:E21" si="2">SUM(C17:D17)</f>
        <v>371355.17</v>
      </c>
    </row>
    <row r="18" spans="1:6" x14ac:dyDescent="0.25">
      <c r="A18" s="11">
        <v>10</v>
      </c>
      <c r="B18" s="15" t="s">
        <v>7</v>
      </c>
      <c r="C18" s="53">
        <v>823599.07</v>
      </c>
      <c r="D18" s="53">
        <v>-42838</v>
      </c>
      <c r="E18" s="42">
        <f t="shared" si="2"/>
        <v>780761.07</v>
      </c>
    </row>
    <row r="19" spans="1:6" x14ac:dyDescent="0.25">
      <c r="A19" s="11">
        <v>11</v>
      </c>
      <c r="B19" s="15" t="s">
        <v>8</v>
      </c>
      <c r="C19" s="53">
        <v>50495.54</v>
      </c>
      <c r="D19" s="53">
        <v>-7524</v>
      </c>
      <c r="E19" s="42">
        <f t="shared" si="2"/>
        <v>42971.54</v>
      </c>
    </row>
    <row r="20" spans="1:6" x14ac:dyDescent="0.25">
      <c r="A20" s="11">
        <v>12</v>
      </c>
      <c r="B20" s="15" t="s">
        <v>9</v>
      </c>
      <c r="C20" s="53">
        <v>362792.88</v>
      </c>
      <c r="D20" s="53">
        <v>-19519</v>
      </c>
      <c r="E20" s="42">
        <f t="shared" si="2"/>
        <v>343273.88</v>
      </c>
    </row>
    <row r="21" spans="1:6" x14ac:dyDescent="0.25">
      <c r="A21" s="11">
        <v>13</v>
      </c>
      <c r="B21" s="15" t="s">
        <v>10</v>
      </c>
      <c r="C21" s="53">
        <v>631510.19000000018</v>
      </c>
      <c r="D21" s="53">
        <v>-26507</v>
      </c>
      <c r="E21" s="42">
        <f t="shared" si="2"/>
        <v>605003.19000000018</v>
      </c>
    </row>
    <row r="22" spans="1:6" x14ac:dyDescent="0.25">
      <c r="A22" s="11" t="s">
        <v>154</v>
      </c>
      <c r="B22" s="15" t="s">
        <v>160</v>
      </c>
      <c r="C22" s="110"/>
      <c r="D22" s="110"/>
      <c r="E22" s="88">
        <v>0</v>
      </c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631510.19000000018</v>
      </c>
      <c r="D23" s="60">
        <f t="shared" ref="D23:E23" si="3">SUM(D21:D22)</f>
        <v>-26507</v>
      </c>
      <c r="E23" s="87">
        <f t="shared" si="3"/>
        <v>605003.19000000018</v>
      </c>
    </row>
    <row r="24" spans="1:6" x14ac:dyDescent="0.25">
      <c r="A24" s="11">
        <v>14</v>
      </c>
      <c r="B24" s="92" t="s">
        <v>157</v>
      </c>
      <c r="C24" s="109">
        <f>C16+C17+C18+C19+C20+C23</f>
        <v>2783800.2</v>
      </c>
      <c r="D24" s="109">
        <f t="shared" ref="D24:E24" si="4">D16+D17+D18+D19+D20+D23</f>
        <v>-136063</v>
      </c>
      <c r="E24" s="111">
        <f t="shared" si="4"/>
        <v>2647737.2000000002</v>
      </c>
      <c r="F24" s="1"/>
    </row>
    <row r="25" spans="1:6" x14ac:dyDescent="0.25">
      <c r="A25" s="11">
        <v>15</v>
      </c>
      <c r="B25" s="15" t="s">
        <v>14</v>
      </c>
      <c r="C25" s="60">
        <f>C15-C24</f>
        <v>-2088.5800000000745</v>
      </c>
      <c r="D25" s="60">
        <f t="shared" ref="D25:E25" si="5">D15-D24</f>
        <v>136063</v>
      </c>
      <c r="E25" s="60">
        <f t="shared" si="5"/>
        <v>133974.41999999993</v>
      </c>
    </row>
    <row r="26" spans="1:6" x14ac:dyDescent="0.25">
      <c r="A26" s="11">
        <v>16</v>
      </c>
      <c r="B26" s="15" t="s">
        <v>161</v>
      </c>
      <c r="C26" s="53">
        <v>0</v>
      </c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0</v>
      </c>
      <c r="D27" s="53"/>
      <c r="E27" s="60">
        <f t="shared" ref="E27:E29" si="6">SUM(C27:D27)</f>
        <v>0</v>
      </c>
    </row>
    <row r="28" spans="1:6" x14ac:dyDescent="0.25">
      <c r="A28" s="11">
        <v>18</v>
      </c>
      <c r="B28" s="15" t="s">
        <v>242</v>
      </c>
      <c r="C28" s="53">
        <v>-36783</v>
      </c>
      <c r="D28" s="108">
        <v>48969</v>
      </c>
      <c r="E28" s="60">
        <f t="shared" si="6"/>
        <v>12186</v>
      </c>
    </row>
    <row r="29" spans="1:6" x14ac:dyDescent="0.25">
      <c r="A29" s="11">
        <v>19</v>
      </c>
      <c r="B29" s="15" t="s">
        <v>13</v>
      </c>
      <c r="C29" s="53">
        <v>103202.25</v>
      </c>
      <c r="D29" s="53">
        <v>-3847</v>
      </c>
      <c r="E29" s="60">
        <f t="shared" si="6"/>
        <v>99355.25</v>
      </c>
    </row>
    <row r="30" spans="1:6" x14ac:dyDescent="0.25">
      <c r="A30" s="11">
        <v>20</v>
      </c>
      <c r="B30" s="97" t="s">
        <v>12</v>
      </c>
      <c r="C30" s="85">
        <f>SUM(C27:C29)</f>
        <v>66419.25</v>
      </c>
      <c r="D30" s="85">
        <f t="shared" ref="D30:E30" si="7">SUM(D27:D29)</f>
        <v>45122</v>
      </c>
      <c r="E30" s="112">
        <f t="shared" si="7"/>
        <v>111541.25</v>
      </c>
    </row>
    <row r="31" spans="1:6" x14ac:dyDescent="0.25">
      <c r="A31" s="11">
        <v>21</v>
      </c>
      <c r="B31" s="97" t="s">
        <v>23</v>
      </c>
      <c r="C31" s="85">
        <f>C25+C26-C30</f>
        <v>-68507.830000000075</v>
      </c>
      <c r="D31" s="85">
        <f>D25+D26-D30</f>
        <v>90941</v>
      </c>
      <c r="E31" s="112">
        <f>E25+E26-E30</f>
        <v>22433.169999999925</v>
      </c>
    </row>
    <row r="32" spans="1:6" x14ac:dyDescent="0.25">
      <c r="A32" s="11">
        <v>22</v>
      </c>
      <c r="B32" s="15" t="s">
        <v>15</v>
      </c>
      <c r="C32" s="53">
        <v>0</v>
      </c>
      <c r="D32" s="57"/>
      <c r="E32" s="60">
        <f>SUM(C32:D32)</f>
        <v>0</v>
      </c>
    </row>
    <row r="33" spans="1:10" x14ac:dyDescent="0.25">
      <c r="A33" s="11">
        <v>23</v>
      </c>
      <c r="B33" s="15" t="s">
        <v>16</v>
      </c>
      <c r="C33" s="53">
        <v>0</v>
      </c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0</v>
      </c>
      <c r="D34" s="57"/>
      <c r="E34" s="60">
        <f t="shared" si="8"/>
        <v>0</v>
      </c>
    </row>
    <row r="35" spans="1:10" x14ac:dyDescent="0.25">
      <c r="A35" s="11">
        <v>25</v>
      </c>
      <c r="B35" s="15" t="s">
        <v>175</v>
      </c>
      <c r="C35" s="53">
        <v>0</v>
      </c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0</v>
      </c>
      <c r="D36" s="113">
        <f t="shared" ref="D36" si="9">SUM(D32:D35)</f>
        <v>0</v>
      </c>
      <c r="E36" s="85">
        <f>SUM(E32:E35)</f>
        <v>0</v>
      </c>
    </row>
    <row r="37" spans="1:10" x14ac:dyDescent="0.25">
      <c r="A37" s="11">
        <v>27</v>
      </c>
      <c r="B37" s="15" t="s">
        <v>19</v>
      </c>
      <c r="C37" s="53">
        <v>3253.16</v>
      </c>
      <c r="D37" s="57"/>
      <c r="E37" s="33">
        <f>SUM(C37:D37)</f>
        <v>3253.16</v>
      </c>
    </row>
    <row r="38" spans="1:10" x14ac:dyDescent="0.25">
      <c r="A38" s="11">
        <v>28</v>
      </c>
      <c r="B38" s="15" t="s">
        <v>20</v>
      </c>
      <c r="C38" s="53">
        <v>0</v>
      </c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>
        <v>0</v>
      </c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582941.41999999993</v>
      </c>
      <c r="D40" s="72">
        <f>-1*(D31-D36)</f>
        <v>-90941</v>
      </c>
      <c r="E40" s="33">
        <f t="shared" si="10"/>
        <v>492000.41999999993</v>
      </c>
    </row>
    <row r="41" spans="1:10" x14ac:dyDescent="0.25">
      <c r="A41" s="11">
        <v>31</v>
      </c>
      <c r="B41" s="97" t="s">
        <v>22</v>
      </c>
      <c r="C41" s="85">
        <f>C31-C36+C37+C38+C39+C40</f>
        <v>517686.74999999988</v>
      </c>
      <c r="D41" s="85">
        <f t="shared" ref="D41:E41" si="11">D31-D36+D37+D38+D39+D40</f>
        <v>0</v>
      </c>
      <c r="E41" s="85">
        <f t="shared" si="11"/>
        <v>517686.74999999983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9547268.2899999991</v>
      </c>
      <c r="D43" s="57"/>
      <c r="E43" s="60">
        <f t="shared" ref="E43:E48" si="12">SUM(C43:D43)</f>
        <v>9547268.2899999991</v>
      </c>
    </row>
    <row r="44" spans="1:10" x14ac:dyDescent="0.25">
      <c r="A44" s="11">
        <v>34</v>
      </c>
      <c r="B44" s="15" t="s">
        <v>26</v>
      </c>
      <c r="C44" s="53">
        <v>20326</v>
      </c>
      <c r="D44" s="57"/>
      <c r="E44" s="60">
        <f t="shared" si="12"/>
        <v>20326</v>
      </c>
    </row>
    <row r="45" spans="1:10" x14ac:dyDescent="0.25">
      <c r="A45" s="11">
        <v>35</v>
      </c>
      <c r="B45" s="15" t="s">
        <v>27</v>
      </c>
      <c r="C45" s="53">
        <v>0</v>
      </c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>
        <v>0</v>
      </c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>
        <v>0</v>
      </c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>
        <v>0</v>
      </c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10085281.039999999</v>
      </c>
      <c r="D49" s="113">
        <f t="shared" ref="D49:E49" si="13">(D41+D43+D44)-(D45+D46+D47+D48)</f>
        <v>0</v>
      </c>
      <c r="E49" s="112">
        <f t="shared" si="13"/>
        <v>10085281.039999999</v>
      </c>
    </row>
    <row r="50" spans="1:7" x14ac:dyDescent="0.25">
      <c r="A50" s="11">
        <v>40</v>
      </c>
      <c r="B50" s="15" t="s">
        <v>32</v>
      </c>
      <c r="C50" s="53">
        <v>0</v>
      </c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>
        <v>0</v>
      </c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>
        <v>0</v>
      </c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0</v>
      </c>
      <c r="D54" s="115"/>
      <c r="E54" s="33">
        <f>C54</f>
        <v>0</v>
      </c>
    </row>
    <row r="55" spans="1:7" x14ac:dyDescent="0.25">
      <c r="A55" s="11">
        <v>45</v>
      </c>
      <c r="B55" s="15" t="s">
        <v>36</v>
      </c>
      <c r="C55" s="116">
        <f>((C24+C30-C18-C19)/C15)</f>
        <v>0.71039888743032253</v>
      </c>
      <c r="D55" s="116" t="e">
        <f>((D24+D30-D18-D19)/D15)</f>
        <v>#DIV/0!</v>
      </c>
      <c r="E55" s="116">
        <f>((E24+E30-E18-E19)/E15)</f>
        <v>0.69581110640074195</v>
      </c>
    </row>
    <row r="56" spans="1:7" x14ac:dyDescent="0.25">
      <c r="A56" s="11">
        <v>46</v>
      </c>
      <c r="B56" s="15" t="s">
        <v>37</v>
      </c>
      <c r="C56" s="116">
        <f>((C24+C30+C36)/C15)</f>
        <v>1.0246279411235304</v>
      </c>
      <c r="D56" s="116" t="e">
        <f>((D24+D30+D36)/D15)</f>
        <v>#DIV/0!</v>
      </c>
      <c r="E56" s="116">
        <f>((E24+E30+E36)/E15)</f>
        <v>0.99193547963825235</v>
      </c>
    </row>
    <row r="57" spans="1:7" x14ac:dyDescent="0.25">
      <c r="A57" s="11">
        <v>47</v>
      </c>
      <c r="B57" s="15" t="s">
        <v>38</v>
      </c>
      <c r="C57" s="116" t="e">
        <f>((C41+C36)/C36)</f>
        <v>#DIV/0!</v>
      </c>
      <c r="D57" s="116" t="e">
        <f t="shared" ref="D57:E57" si="16">((D41+D36)/D36)</f>
        <v>#DIV/0!</v>
      </c>
      <c r="E57" s="116" t="e">
        <f t="shared" si="16"/>
        <v>#DIV/0!</v>
      </c>
    </row>
    <row r="58" spans="1:7" x14ac:dyDescent="0.25">
      <c r="A58" s="11">
        <v>48</v>
      </c>
      <c r="B58" s="15" t="s">
        <v>39</v>
      </c>
      <c r="C58" s="116" t="e">
        <f>(C41+C36+C18+C19)/C54</f>
        <v>#DIV/0!</v>
      </c>
      <c r="D58" s="116" t="e">
        <f t="shared" ref="D58:E58" si="17">(D41+D36+D18+D19)/D54</f>
        <v>#DIV/0!</v>
      </c>
      <c r="E58" s="116" t="e">
        <f t="shared" si="17"/>
        <v>#DIV/0!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899696.55999999982</v>
      </c>
      <c r="D9" s="53"/>
      <c r="E9" s="33">
        <f>SUM(C9:D9)</f>
        <v>899696.55999999982</v>
      </c>
    </row>
    <row r="10" spans="1:6" x14ac:dyDescent="0.25">
      <c r="A10" s="11">
        <v>2</v>
      </c>
      <c r="B10" s="18" t="s">
        <v>2</v>
      </c>
      <c r="C10" s="53">
        <v>1801138.2300000002</v>
      </c>
      <c r="D10" s="53"/>
      <c r="E10" s="33">
        <f t="shared" ref="E10:E14" si="0">SUM(C10:D10)</f>
        <v>1801138.2300000002</v>
      </c>
    </row>
    <row r="11" spans="1:6" x14ac:dyDescent="0.25">
      <c r="A11" s="11">
        <v>3</v>
      </c>
      <c r="B11" s="18" t="s">
        <v>3</v>
      </c>
      <c r="C11" s="53">
        <v>300.86</v>
      </c>
      <c r="D11" s="53"/>
      <c r="E11" s="33">
        <f t="shared" si="0"/>
        <v>300.86</v>
      </c>
    </row>
    <row r="12" spans="1:6" x14ac:dyDescent="0.25">
      <c r="A12" s="11">
        <v>4</v>
      </c>
      <c r="B12" s="18" t="s">
        <v>4</v>
      </c>
      <c r="C12" s="53">
        <v>94590.18</v>
      </c>
      <c r="D12" s="53"/>
      <c r="E12" s="33">
        <f t="shared" si="0"/>
        <v>94590.18</v>
      </c>
    </row>
    <row r="13" spans="1:6" x14ac:dyDescent="0.25">
      <c r="A13" s="11">
        <v>5</v>
      </c>
      <c r="B13" s="18" t="s">
        <v>5</v>
      </c>
      <c r="C13" s="53">
        <v>44626.67</v>
      </c>
      <c r="D13" s="53"/>
      <c r="E13" s="33">
        <f t="shared" si="0"/>
        <v>44626.67</v>
      </c>
    </row>
    <row r="14" spans="1:6" x14ac:dyDescent="0.25">
      <c r="A14" s="11">
        <v>6</v>
      </c>
      <c r="B14" s="18" t="s">
        <v>159</v>
      </c>
      <c r="C14" s="53">
        <v>-4062.58</v>
      </c>
      <c r="D14" s="53"/>
      <c r="E14" s="33">
        <f t="shared" si="0"/>
        <v>-4062.58</v>
      </c>
    </row>
    <row r="15" spans="1:6" x14ac:dyDescent="0.25">
      <c r="A15" s="11">
        <v>7</v>
      </c>
      <c r="B15" s="92" t="s">
        <v>158</v>
      </c>
      <c r="C15" s="41">
        <f>SUM(C9:C14)</f>
        <v>2836289.92</v>
      </c>
      <c r="D15" s="41">
        <f t="shared" ref="D15:E15" si="1">SUM(D9:D14)</f>
        <v>0</v>
      </c>
      <c r="E15" s="41">
        <f t="shared" si="1"/>
        <v>2836289.92</v>
      </c>
      <c r="F15" s="1"/>
    </row>
    <row r="16" spans="1:6" x14ac:dyDescent="0.25">
      <c r="A16" s="11">
        <v>8</v>
      </c>
      <c r="B16" s="18" t="s">
        <v>6</v>
      </c>
      <c r="C16" s="53">
        <v>568584.68999999994</v>
      </c>
      <c r="D16" s="53">
        <v>-37925</v>
      </c>
      <c r="E16" s="42">
        <f>SUM(C16:D16)</f>
        <v>530659.68999999994</v>
      </c>
    </row>
    <row r="17" spans="1:6" x14ac:dyDescent="0.25">
      <c r="A17" s="11">
        <v>9</v>
      </c>
      <c r="B17" s="18" t="s">
        <v>40</v>
      </c>
      <c r="C17" s="53">
        <v>382860.38000000006</v>
      </c>
      <c r="D17" s="53">
        <v>-22248</v>
      </c>
      <c r="E17" s="42">
        <f t="shared" ref="E17:E21" si="2">SUM(C17:D17)</f>
        <v>360612.38000000006</v>
      </c>
    </row>
    <row r="18" spans="1:6" x14ac:dyDescent="0.25">
      <c r="A18" s="11">
        <v>10</v>
      </c>
      <c r="B18" s="18" t="s">
        <v>7</v>
      </c>
      <c r="C18" s="53">
        <v>862716.49</v>
      </c>
      <c r="D18" s="53">
        <v>-61410</v>
      </c>
      <c r="E18" s="42">
        <f t="shared" si="2"/>
        <v>801306.49</v>
      </c>
    </row>
    <row r="19" spans="1:6" x14ac:dyDescent="0.25">
      <c r="A19" s="11">
        <v>11</v>
      </c>
      <c r="B19" s="18" t="s">
        <v>8</v>
      </c>
      <c r="C19" s="53">
        <v>60102.92</v>
      </c>
      <c r="D19" s="53">
        <v>-8076</v>
      </c>
      <c r="E19" s="42">
        <f t="shared" si="2"/>
        <v>52026.92</v>
      </c>
    </row>
    <row r="20" spans="1:6" x14ac:dyDescent="0.25">
      <c r="A20" s="11">
        <v>12</v>
      </c>
      <c r="B20" s="18" t="s">
        <v>9</v>
      </c>
      <c r="C20" s="53">
        <v>313287.08000000007</v>
      </c>
      <c r="D20" s="53">
        <v>-20776</v>
      </c>
      <c r="E20" s="42">
        <f t="shared" si="2"/>
        <v>292511.08000000007</v>
      </c>
    </row>
    <row r="21" spans="1:6" x14ac:dyDescent="0.25">
      <c r="A21" s="11">
        <v>13</v>
      </c>
      <c r="B21" s="18" t="s">
        <v>10</v>
      </c>
      <c r="C21" s="53">
        <v>608962.69999999995</v>
      </c>
      <c r="D21" s="53">
        <v>-38365</v>
      </c>
      <c r="E21" s="42">
        <f t="shared" si="2"/>
        <v>570597.69999999995</v>
      </c>
    </row>
    <row r="22" spans="1:6" x14ac:dyDescent="0.25">
      <c r="A22" s="11" t="s">
        <v>154</v>
      </c>
      <c r="B22" s="18" t="s">
        <v>160</v>
      </c>
      <c r="C22" s="103"/>
      <c r="D22" s="103"/>
      <c r="E22" s="88">
        <v>0</v>
      </c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608962.69999999995</v>
      </c>
      <c r="D23" s="33">
        <f t="shared" ref="D23:E23" si="3">SUM(D21:D22)</f>
        <v>-38365</v>
      </c>
      <c r="E23" s="42">
        <f t="shared" si="3"/>
        <v>570597.69999999995</v>
      </c>
    </row>
    <row r="24" spans="1:6" x14ac:dyDescent="0.25">
      <c r="A24" s="11">
        <v>14</v>
      </c>
      <c r="B24" s="92" t="s">
        <v>157</v>
      </c>
      <c r="C24" s="41">
        <f>C16+C17+C18+C19+C20+C23</f>
        <v>2796514.26</v>
      </c>
      <c r="D24" s="41">
        <f t="shared" ref="D24:E24" si="4">D16+D17+D18+D19+D20+D23</f>
        <v>-188800</v>
      </c>
      <c r="E24" s="43">
        <f t="shared" si="4"/>
        <v>2607714.2599999998</v>
      </c>
      <c r="F24" s="1"/>
    </row>
    <row r="25" spans="1:6" x14ac:dyDescent="0.25">
      <c r="A25" s="11">
        <v>15</v>
      </c>
      <c r="B25" s="18" t="s">
        <v>14</v>
      </c>
      <c r="C25" s="33">
        <f>C15-C24</f>
        <v>39775.660000000149</v>
      </c>
      <c r="D25" s="33">
        <f t="shared" ref="D25:E25" si="5">D15-D24</f>
        <v>188800</v>
      </c>
      <c r="E25" s="33">
        <f t="shared" si="5"/>
        <v>228575.66000000015</v>
      </c>
    </row>
    <row r="26" spans="1:6" x14ac:dyDescent="0.25">
      <c r="A26" s="11">
        <v>16</v>
      </c>
      <c r="B26" s="18" t="s">
        <v>161</v>
      </c>
      <c r="C26" s="53">
        <v>0</v>
      </c>
      <c r="D26" s="53">
        <v>52940</v>
      </c>
      <c r="E26" s="33">
        <f>SUM(C26:D26)</f>
        <v>52940</v>
      </c>
    </row>
    <row r="27" spans="1:6" x14ac:dyDescent="0.25">
      <c r="A27" s="11">
        <v>17</v>
      </c>
      <c r="B27" s="18" t="s">
        <v>11</v>
      </c>
      <c r="C27" s="53">
        <v>0</v>
      </c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242</v>
      </c>
      <c r="C28" s="53">
        <v>-21372</v>
      </c>
      <c r="D28" s="108">
        <v>87109</v>
      </c>
      <c r="E28" s="33">
        <f t="shared" si="6"/>
        <v>65737</v>
      </c>
    </row>
    <row r="29" spans="1:6" x14ac:dyDescent="0.25">
      <c r="A29" s="11">
        <v>19</v>
      </c>
      <c r="B29" s="18" t="s">
        <v>13</v>
      </c>
      <c r="C29" s="53">
        <v>100847.88</v>
      </c>
      <c r="D29" s="53">
        <v>-7144</v>
      </c>
      <c r="E29" s="33">
        <f t="shared" si="6"/>
        <v>93703.88</v>
      </c>
    </row>
    <row r="30" spans="1:6" x14ac:dyDescent="0.25">
      <c r="A30" s="11">
        <v>20</v>
      </c>
      <c r="B30" s="92" t="s">
        <v>12</v>
      </c>
      <c r="C30" s="38">
        <f>SUM(C27:C29)</f>
        <v>79475.88</v>
      </c>
      <c r="D30" s="38">
        <f t="shared" ref="D30:E30" si="7">SUM(D27:D29)</f>
        <v>79965</v>
      </c>
      <c r="E30" s="44">
        <f t="shared" si="7"/>
        <v>159440.88</v>
      </c>
    </row>
    <row r="31" spans="1:6" x14ac:dyDescent="0.25">
      <c r="A31" s="11">
        <v>21</v>
      </c>
      <c r="B31" s="92" t="s">
        <v>23</v>
      </c>
      <c r="C31" s="38">
        <f>C25+C26-C30</f>
        <v>-39700.219999999856</v>
      </c>
      <c r="D31" s="38">
        <f>D25+D26-D30</f>
        <v>161775</v>
      </c>
      <c r="E31" s="44">
        <f>E25+E26-E30</f>
        <v>122074.78000000014</v>
      </c>
    </row>
    <row r="32" spans="1:6" x14ac:dyDescent="0.25">
      <c r="A32" s="11">
        <v>22</v>
      </c>
      <c r="B32" s="18" t="s">
        <v>15</v>
      </c>
      <c r="C32" s="53">
        <v>0</v>
      </c>
      <c r="D32" s="57"/>
      <c r="E32" s="33">
        <f>SUM(C32:D32)</f>
        <v>0</v>
      </c>
    </row>
    <row r="33" spans="1:5" x14ac:dyDescent="0.25">
      <c r="A33" s="11">
        <v>23</v>
      </c>
      <c r="B33" s="18" t="s">
        <v>16</v>
      </c>
      <c r="C33" s="53">
        <v>0</v>
      </c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0</v>
      </c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>
        <v>0</v>
      </c>
      <c r="D35" s="57"/>
      <c r="E35" s="34">
        <f t="shared" si="8"/>
        <v>0</v>
      </c>
    </row>
    <row r="36" spans="1:5" x14ac:dyDescent="0.25">
      <c r="A36" s="11">
        <v>26</v>
      </c>
      <c r="B36" s="92" t="s">
        <v>18</v>
      </c>
      <c r="C36" s="38">
        <f>SUM(C32:C35)</f>
        <v>0</v>
      </c>
      <c r="D36" s="66">
        <f t="shared" ref="D36" si="9">SUM(D32:D35)</f>
        <v>0</v>
      </c>
      <c r="E36" s="38">
        <f>SUM(E32:E35)</f>
        <v>0</v>
      </c>
    </row>
    <row r="37" spans="1:5" x14ac:dyDescent="0.25">
      <c r="A37" s="11">
        <v>27</v>
      </c>
      <c r="B37" s="18" t="s">
        <v>19</v>
      </c>
      <c r="C37" s="53">
        <v>4226.1000000000004</v>
      </c>
      <c r="D37" s="57"/>
      <c r="E37" s="33">
        <f>SUM(C37:D37)</f>
        <v>4226.1000000000004</v>
      </c>
    </row>
    <row r="38" spans="1:5" x14ac:dyDescent="0.25">
      <c r="A38" s="11">
        <v>28</v>
      </c>
      <c r="B38" s="18" t="s">
        <v>20</v>
      </c>
      <c r="C38" s="53">
        <v>0</v>
      </c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>
        <v>0</v>
      </c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661357.10999999987</v>
      </c>
      <c r="D40" s="72">
        <f>-1*(D31-D36)</f>
        <v>-161775</v>
      </c>
      <c r="E40" s="33">
        <f t="shared" si="10"/>
        <v>499582.10999999987</v>
      </c>
    </row>
    <row r="41" spans="1:5" x14ac:dyDescent="0.25">
      <c r="A41" s="11">
        <v>31</v>
      </c>
      <c r="B41" s="92" t="s">
        <v>22</v>
      </c>
      <c r="C41" s="38">
        <f>C31-C36+C37+C38+C39+C40</f>
        <v>625882.99</v>
      </c>
      <c r="D41" s="38">
        <f t="shared" ref="D41:E41" si="11">D31-D36+D37+D38+D39+D40</f>
        <v>0</v>
      </c>
      <c r="E41" s="38">
        <f t="shared" si="11"/>
        <v>625882.99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10064955.039999999</v>
      </c>
      <c r="D43" s="57"/>
      <c r="E43" s="33">
        <f t="shared" ref="E43:E48" si="12">SUM(C43:D43)</f>
        <v>10064955.039999999</v>
      </c>
    </row>
    <row r="44" spans="1:5" x14ac:dyDescent="0.25">
      <c r="A44" s="11">
        <v>34</v>
      </c>
      <c r="B44" s="18" t="s">
        <v>26</v>
      </c>
      <c r="C44" s="53">
        <v>16457</v>
      </c>
      <c r="D44" s="57"/>
      <c r="E44" s="33">
        <f t="shared" si="12"/>
        <v>16457</v>
      </c>
    </row>
    <row r="45" spans="1:5" x14ac:dyDescent="0.25">
      <c r="A45" s="11">
        <v>35</v>
      </c>
      <c r="B45" s="18" t="s">
        <v>27</v>
      </c>
      <c r="C45" s="53">
        <v>5724000</v>
      </c>
      <c r="D45" s="57"/>
      <c r="E45" s="33">
        <f t="shared" si="12"/>
        <v>5724000</v>
      </c>
    </row>
    <row r="46" spans="1:5" x14ac:dyDescent="0.25">
      <c r="A46" s="11">
        <v>36</v>
      </c>
      <c r="B46" s="18" t="s">
        <v>28</v>
      </c>
      <c r="C46" s="53">
        <v>0</v>
      </c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0</v>
      </c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>
        <v>0</v>
      </c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4983295.0299999993</v>
      </c>
      <c r="D49" s="66">
        <f t="shared" ref="D49:E49" si="13">(D41+D43+D44)-(D45+D46+D47+D48)</f>
        <v>0</v>
      </c>
      <c r="E49" s="44">
        <f t="shared" si="13"/>
        <v>4983295.0299999993</v>
      </c>
    </row>
    <row r="50" spans="1:7" x14ac:dyDescent="0.25">
      <c r="A50" s="11">
        <v>40</v>
      </c>
      <c r="B50" s="18" t="s">
        <v>32</v>
      </c>
      <c r="C50" s="53">
        <v>0</v>
      </c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>
        <v>0</v>
      </c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>
        <v>0</v>
      </c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0</v>
      </c>
      <c r="D54" s="107"/>
      <c r="E54" s="33">
        <f>C54</f>
        <v>0</v>
      </c>
    </row>
    <row r="55" spans="1:7" x14ac:dyDescent="0.25">
      <c r="A55" s="11">
        <v>45</v>
      </c>
      <c r="B55" s="18" t="s">
        <v>36</v>
      </c>
      <c r="C55" s="47">
        <f>((C24+C30-C18-C19)/C15)</f>
        <v>0.68863578304435102</v>
      </c>
      <c r="D55" s="47" t="e">
        <f>((D24+D30-D18-D19)/D15)</f>
        <v>#DIV/0!</v>
      </c>
      <c r="E55" s="47">
        <f>((E24+E30-E18-E19)/E15)</f>
        <v>0.67476237760630609</v>
      </c>
    </row>
    <row r="56" spans="1:7" x14ac:dyDescent="0.25">
      <c r="A56" s="11">
        <v>46</v>
      </c>
      <c r="B56" s="18" t="s">
        <v>37</v>
      </c>
      <c r="C56" s="47">
        <f>((C24+C30+C36)/C15)</f>
        <v>1.0139972362204777</v>
      </c>
      <c r="D56" s="47" t="e">
        <f>((D24+D30+D36)/D15)</f>
        <v>#DIV/0!</v>
      </c>
      <c r="E56" s="47">
        <f>((E24+E30+E36)/E15)</f>
        <v>0.97562492483137964</v>
      </c>
    </row>
    <row r="57" spans="1:7" x14ac:dyDescent="0.25">
      <c r="A57" s="11">
        <v>47</v>
      </c>
      <c r="B57" s="18" t="s">
        <v>38</v>
      </c>
      <c r="C57" s="47" t="e">
        <f>((C41+C36)/C36)</f>
        <v>#DIV/0!</v>
      </c>
      <c r="D57" s="47" t="e">
        <f t="shared" ref="D57:E57" si="16">((D41+D36)/D36)</f>
        <v>#DIV/0!</v>
      </c>
      <c r="E57" s="47" t="e">
        <f t="shared" si="16"/>
        <v>#DIV/0!</v>
      </c>
    </row>
    <row r="58" spans="1:7" x14ac:dyDescent="0.25">
      <c r="A58" s="11">
        <v>48</v>
      </c>
      <c r="B58" s="18" t="s">
        <v>39</v>
      </c>
      <c r="C58" s="47" t="e">
        <f>(C41+C36+C18+C19)/C54</f>
        <v>#DIV/0!</v>
      </c>
      <c r="D58" s="47" t="e">
        <f t="shared" ref="D58:E58" si="17">(D41+D36+D18+D19)/D54</f>
        <v>#DIV/0!</v>
      </c>
      <c r="E58" s="47" t="e">
        <f t="shared" si="17"/>
        <v>#DIV/0!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zoomScaleNormal="100" workbookViewId="0"/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268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914022.40999999992</v>
      </c>
      <c r="D9" s="42">
        <f>'CurrentYearIncomeStmt '!E9</f>
        <v>899696.55999999982</v>
      </c>
    </row>
    <row r="10" spans="1:5" x14ac:dyDescent="0.25">
      <c r="A10" s="11">
        <v>2</v>
      </c>
      <c r="B10" s="18" t="s">
        <v>2</v>
      </c>
      <c r="C10" s="33">
        <f>PriorYearIncomeStmt!E10</f>
        <v>1762602.51</v>
      </c>
      <c r="D10" s="42">
        <f>'CurrentYearIncomeStmt '!E10</f>
        <v>1801138.2300000002</v>
      </c>
    </row>
    <row r="11" spans="1:5" x14ac:dyDescent="0.25">
      <c r="A11" s="11">
        <v>3</v>
      </c>
      <c r="B11" s="18" t="s">
        <v>3</v>
      </c>
      <c r="C11" s="33">
        <f>PriorYearIncomeStmt!E11</f>
        <v>433.7</v>
      </c>
      <c r="D11" s="42">
        <f>'CurrentYearIncomeStmt '!E11</f>
        <v>300.86</v>
      </c>
    </row>
    <row r="12" spans="1:5" x14ac:dyDescent="0.25">
      <c r="A12" s="11">
        <v>4</v>
      </c>
      <c r="B12" s="18" t="s">
        <v>4</v>
      </c>
      <c r="C12" s="33">
        <f>PriorYearIncomeStmt!E12</f>
        <v>102063.67</v>
      </c>
      <c r="D12" s="42">
        <f>'CurrentYearIncomeStmt '!E12</f>
        <v>94590.18</v>
      </c>
    </row>
    <row r="13" spans="1:5" x14ac:dyDescent="0.25">
      <c r="A13" s="11">
        <v>5</v>
      </c>
      <c r="B13" s="18" t="s">
        <v>5</v>
      </c>
      <c r="C13" s="33">
        <f>PriorYearIncomeStmt!E13</f>
        <v>48204.31</v>
      </c>
      <c r="D13" s="42">
        <f>'CurrentYearIncomeStmt '!E13</f>
        <v>44626.67</v>
      </c>
    </row>
    <row r="14" spans="1:5" x14ac:dyDescent="0.25">
      <c r="A14" s="11">
        <v>6</v>
      </c>
      <c r="B14" s="18" t="s">
        <v>159</v>
      </c>
      <c r="C14" s="33">
        <f>PriorYearIncomeStmt!E14</f>
        <v>-45614.979999999996</v>
      </c>
      <c r="D14" s="42">
        <f>'CurrentYearIncomeStmt '!E14</f>
        <v>-4062.58</v>
      </c>
    </row>
    <row r="15" spans="1:5" x14ac:dyDescent="0.25">
      <c r="A15" s="11">
        <v>7</v>
      </c>
      <c r="B15" s="92" t="s">
        <v>158</v>
      </c>
      <c r="C15" s="41">
        <f>SUM(C9:C14)</f>
        <v>2781711.62</v>
      </c>
      <c r="D15" s="43">
        <f t="shared" ref="D15" si="0">SUM(D9:D14)</f>
        <v>2836289.92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504372.35000000009</v>
      </c>
      <c r="D16" s="42">
        <f>'CurrentYearIncomeStmt '!E16</f>
        <v>530659.68999999994</v>
      </c>
    </row>
    <row r="17" spans="1:5" x14ac:dyDescent="0.25">
      <c r="A17" s="11">
        <v>9</v>
      </c>
      <c r="B17" s="18" t="s">
        <v>40</v>
      </c>
      <c r="C17" s="33">
        <f>PriorYearIncomeStmt!E17</f>
        <v>371355.17</v>
      </c>
      <c r="D17" s="42">
        <f>'CurrentYearIncomeStmt '!E17</f>
        <v>360612.38000000006</v>
      </c>
    </row>
    <row r="18" spans="1:5" x14ac:dyDescent="0.25">
      <c r="A18" s="11">
        <v>10</v>
      </c>
      <c r="B18" s="18" t="s">
        <v>7</v>
      </c>
      <c r="C18" s="33">
        <f>PriorYearIncomeStmt!E18</f>
        <v>780761.07</v>
      </c>
      <c r="D18" s="42">
        <f>'CurrentYearIncomeStmt '!E18</f>
        <v>801306.49</v>
      </c>
    </row>
    <row r="19" spans="1:5" x14ac:dyDescent="0.25">
      <c r="A19" s="11">
        <v>11</v>
      </c>
      <c r="B19" s="18" t="s">
        <v>8</v>
      </c>
      <c r="C19" s="33">
        <f>PriorYearIncomeStmt!E19</f>
        <v>42971.54</v>
      </c>
      <c r="D19" s="42">
        <f>'CurrentYearIncomeStmt '!E19</f>
        <v>52026.92</v>
      </c>
    </row>
    <row r="20" spans="1:5" x14ac:dyDescent="0.25">
      <c r="A20" s="11">
        <v>12</v>
      </c>
      <c r="B20" s="18" t="s">
        <v>9</v>
      </c>
      <c r="C20" s="33">
        <f>PriorYearIncomeStmt!E20</f>
        <v>343273.88</v>
      </c>
      <c r="D20" s="42">
        <f>'CurrentYearIncomeStmt '!E20</f>
        <v>292511.08000000007</v>
      </c>
    </row>
    <row r="21" spans="1:5" x14ac:dyDescent="0.25">
      <c r="A21" s="11">
        <v>13</v>
      </c>
      <c r="B21" s="18" t="s">
        <v>10</v>
      </c>
      <c r="C21" s="33">
        <f>PriorYearIncomeStmt!E21</f>
        <v>605003.19000000018</v>
      </c>
      <c r="D21" s="42">
        <f>'CurrentYearIncomeStmt '!E21</f>
        <v>570597.69999999995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605003.19000000018</v>
      </c>
      <c r="D23" s="42">
        <f t="shared" ref="D23" si="1">SUM(D21:D22)</f>
        <v>570597.69999999995</v>
      </c>
    </row>
    <row r="24" spans="1:5" x14ac:dyDescent="0.25">
      <c r="A24" s="11">
        <v>14</v>
      </c>
      <c r="B24" s="92" t="s">
        <v>157</v>
      </c>
      <c r="C24" s="41">
        <f>C16+C17+C18+C19+C20+C23</f>
        <v>2647737.2000000002</v>
      </c>
      <c r="D24" s="43">
        <f t="shared" ref="D24" si="2">D16+D17+D18+D19+D20+D23</f>
        <v>2607714.2599999998</v>
      </c>
      <c r="E24" s="1"/>
    </row>
    <row r="25" spans="1:5" x14ac:dyDescent="0.25">
      <c r="A25" s="11">
        <v>15</v>
      </c>
      <c r="B25" s="18" t="s">
        <v>14</v>
      </c>
      <c r="C25" s="33">
        <f>C15-C24</f>
        <v>133974.41999999993</v>
      </c>
      <c r="D25" s="42">
        <f t="shared" ref="D25" si="3">D15-D24</f>
        <v>228575.66000000015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52940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12186</v>
      </c>
      <c r="D28" s="42">
        <f>'CurrentYearIncomeStmt '!E28</f>
        <v>65737</v>
      </c>
    </row>
    <row r="29" spans="1:5" x14ac:dyDescent="0.25">
      <c r="A29" s="11">
        <v>19</v>
      </c>
      <c r="B29" s="18" t="s">
        <v>13</v>
      </c>
      <c r="C29" s="33">
        <f>PriorYearIncomeStmt!E29</f>
        <v>99355.25</v>
      </c>
      <c r="D29" s="42">
        <f>'CurrentYearIncomeStmt '!E29</f>
        <v>93703.88</v>
      </c>
    </row>
    <row r="30" spans="1:5" x14ac:dyDescent="0.25">
      <c r="A30" s="11">
        <v>20</v>
      </c>
      <c r="B30" s="92" t="s">
        <v>12</v>
      </c>
      <c r="C30" s="38">
        <f>SUM(C27:C29)</f>
        <v>111541.25</v>
      </c>
      <c r="D30" s="44">
        <f t="shared" ref="D30" si="4">SUM(D27:D29)</f>
        <v>159440.88</v>
      </c>
    </row>
    <row r="31" spans="1:5" x14ac:dyDescent="0.25">
      <c r="A31" s="11">
        <v>21</v>
      </c>
      <c r="B31" s="92" t="s">
        <v>23</v>
      </c>
      <c r="C31" s="38">
        <f>C25+C26-C30</f>
        <v>22433.169999999925</v>
      </c>
      <c r="D31" s="44">
        <f>D25+D26-D30</f>
        <v>122074.78000000014</v>
      </c>
    </row>
    <row r="32" spans="1:5" x14ac:dyDescent="0.25">
      <c r="A32" s="11">
        <v>22</v>
      </c>
      <c r="B32" s="18" t="s">
        <v>15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92" t="s">
        <v>18</v>
      </c>
      <c r="C36" s="38">
        <f>SUM(C32:C35)</f>
        <v>0</v>
      </c>
      <c r="D36" s="44">
        <f t="shared" ref="D36" si="5">SUM(D32:D35)</f>
        <v>0</v>
      </c>
    </row>
    <row r="37" spans="1:4" x14ac:dyDescent="0.25">
      <c r="A37" s="11">
        <v>27</v>
      </c>
      <c r="B37" s="18" t="s">
        <v>19</v>
      </c>
      <c r="C37" s="33">
        <f>PriorYearIncomeStmt!E37</f>
        <v>3253.16</v>
      </c>
      <c r="D37" s="42">
        <f>'CurrentYearIncomeStmt '!E37</f>
        <v>4226.1000000000004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492000.41999999993</v>
      </c>
      <c r="D40" s="42">
        <f>'CurrentYearIncomeStmt '!E40</f>
        <v>499582.10999999987</v>
      </c>
    </row>
    <row r="41" spans="1:4" x14ac:dyDescent="0.25">
      <c r="A41" s="11">
        <v>31</v>
      </c>
      <c r="B41" s="92" t="s">
        <v>22</v>
      </c>
      <c r="C41" s="38">
        <f>C31-C36+C37+C38+C39+C40</f>
        <v>517686.74999999983</v>
      </c>
      <c r="D41" s="44">
        <f t="shared" ref="D41" si="6">D31-D36+D37+D38+D39+D40</f>
        <v>625882.99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9547268.2899999991</v>
      </c>
      <c r="D43" s="42">
        <f>'CurrentYearIncomeStmt '!E43</f>
        <v>10064955.039999999</v>
      </c>
    </row>
    <row r="44" spans="1:4" x14ac:dyDescent="0.25">
      <c r="A44" s="11">
        <v>34</v>
      </c>
      <c r="B44" s="18" t="s">
        <v>26</v>
      </c>
      <c r="C44" s="33">
        <f>PriorYearIncomeStmt!E44</f>
        <v>20326</v>
      </c>
      <c r="D44" s="42">
        <f>'CurrentYearIncomeStmt '!E44</f>
        <v>16457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5724000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10085281.039999999</v>
      </c>
      <c r="D49" s="44">
        <f t="shared" ref="D49" si="7">(D41+D43+D44)-(D45+D46+D47+D48)</f>
        <v>4983295.0299999993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0</v>
      </c>
      <c r="D54" s="42">
        <f>'CurrentYearIncomeStmt '!E54</f>
        <v>0</v>
      </c>
    </row>
    <row r="55" spans="1:8" x14ac:dyDescent="0.25">
      <c r="A55" s="11">
        <v>45</v>
      </c>
      <c r="B55" s="18" t="s">
        <v>36</v>
      </c>
      <c r="C55" s="50">
        <f>((C24+C30-C18-C19)/C15)</f>
        <v>0.69581110640074195</v>
      </c>
      <c r="D55" s="50">
        <f>((D24+D30-D18-D19)/D15)</f>
        <v>0.67476237760630609</v>
      </c>
    </row>
    <row r="56" spans="1:8" x14ac:dyDescent="0.25">
      <c r="A56" s="11">
        <v>46</v>
      </c>
      <c r="B56" s="18" t="s">
        <v>37</v>
      </c>
      <c r="C56" s="50">
        <f>((C24+C30+C36)/C15)</f>
        <v>0.99193547963825235</v>
      </c>
      <c r="D56" s="50">
        <f>((D24+D30+D36)/D15)</f>
        <v>0.97562492483137964</v>
      </c>
    </row>
    <row r="57" spans="1:8" x14ac:dyDescent="0.25">
      <c r="A57" s="11">
        <v>47</v>
      </c>
      <c r="B57" s="18" t="s">
        <v>38</v>
      </c>
      <c r="C57" s="50" t="e">
        <f>((C41+C36)/C36)</f>
        <v>#DIV/0!</v>
      </c>
      <c r="D57" s="50" t="e">
        <f t="shared" ref="D57" si="9">((D41+D36)/D36)</f>
        <v>#DIV/0!</v>
      </c>
    </row>
    <row r="58" spans="1:8" x14ac:dyDescent="0.25">
      <c r="A58" s="11">
        <v>48</v>
      </c>
      <c r="B58" s="18" t="s">
        <v>39</v>
      </c>
      <c r="C58" s="46" t="e">
        <f>(C41+C36+C18+C19)/C54</f>
        <v>#DIV/0!</v>
      </c>
      <c r="D58" s="50" t="e">
        <f t="shared" ref="D58" si="10">(D41+D36+D18+D19)/D54</f>
        <v>#DIV/0!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McDaniel Telephone Co.</CaseCompanyNames>
    <DocketNumber xmlns="dc463f71-b30c-4ab2-9473-d307f9d35888">151591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8F8261C4588C4BB530CCF373FAB28D" ma:contentTypeVersion="119" ma:contentTypeDescription="" ma:contentTypeScope="" ma:versionID="aef88110bd4ea45ca6a390dc96281de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F85D48-DEDD-40F9-A5B4-3221FF094441}"/>
</file>

<file path=customXml/itemProps2.xml><?xml version="1.0" encoding="utf-8"?>
<ds:datastoreItem xmlns:ds="http://schemas.openxmlformats.org/officeDocument/2006/customXml" ds:itemID="{C4496A9F-51E8-4856-847C-35756517ACEA}"/>
</file>

<file path=customXml/itemProps3.xml><?xml version="1.0" encoding="utf-8"?>
<ds:datastoreItem xmlns:ds="http://schemas.openxmlformats.org/officeDocument/2006/customXml" ds:itemID="{C36E92A1-3B20-44FD-9E37-3DC785D18727}"/>
</file>

<file path=customXml/itemProps4.xml><?xml version="1.0" encoding="utf-8"?>
<ds:datastoreItem xmlns:ds="http://schemas.openxmlformats.org/officeDocument/2006/customXml" ds:itemID="{3538E50C-CBC9-4995-960D-A3E05C26A9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usrdud</cp:lastModifiedBy>
  <cp:lastPrinted>2015-06-04T22:32:37Z</cp:lastPrinted>
  <dcterms:created xsi:type="dcterms:W3CDTF">2014-05-21T17:51:51Z</dcterms:created>
  <dcterms:modified xsi:type="dcterms:W3CDTF">2015-07-31T15:57:00Z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0x0101006E56B4D1795A2E4DB2F0B01679ED314A006F8F8261C4588C4BB530CCF373FAB28D</vt:lpwstr>
  </property>
  <property fmtid="{D5CDD505-2E9C-101B-9397-08002B2CF9AE}" pid="3" name="_docset_NoMedatataSyncRequired">
    <vt:lpwstr>False</vt:lpwstr>
  </property>
</Properties>
</file>