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890" yWindow="-195" windowWidth="21600" windowHeight="9735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45621"/>
</workbook>
</file>

<file path=xl/calcChain.xml><?xml version="1.0" encoding="utf-8"?>
<calcChain xmlns="http://schemas.openxmlformats.org/spreadsheetml/2006/main">
  <c r="C19" i="16" l="1"/>
  <c r="F14" i="18" l="1"/>
  <c r="E19" i="3" l="1"/>
  <c r="D19" i="3"/>
  <c r="D22" i="10" l="1"/>
  <c r="E54" i="13"/>
  <c r="D54" i="10" s="1"/>
  <c r="D53" i="13"/>
  <c r="C53" i="13"/>
  <c r="E52" i="13"/>
  <c r="D52" i="10" s="1"/>
  <c r="E51" i="13"/>
  <c r="D51" i="10" s="1"/>
  <c r="E50" i="13"/>
  <c r="E48" i="13"/>
  <c r="D48" i="10" s="1"/>
  <c r="E47" i="13"/>
  <c r="D47" i="10" s="1"/>
  <c r="E46" i="13"/>
  <c r="D46" i="10" s="1"/>
  <c r="E45" i="13"/>
  <c r="D45" i="10" s="1"/>
  <c r="E44" i="13"/>
  <c r="D44" i="10" s="1"/>
  <c r="E43" i="13"/>
  <c r="D43" i="10" s="1"/>
  <c r="E39" i="13"/>
  <c r="D39" i="10" s="1"/>
  <c r="E38" i="13"/>
  <c r="D38" i="10" s="1"/>
  <c r="E37" i="13"/>
  <c r="D37" i="10" s="1"/>
  <c r="D36" i="13"/>
  <c r="C36" i="13"/>
  <c r="E35" i="13"/>
  <c r="D35" i="10" s="1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6" i="10" s="1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D17" i="10" s="1"/>
  <c r="E16" i="13"/>
  <c r="D15" i="13"/>
  <c r="C15" i="13"/>
  <c r="C25" i="13" s="1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E53" i="13" l="1"/>
  <c r="D50" i="10"/>
  <c r="D21" i="10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G42" i="5" s="1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G35" i="5" s="1"/>
  <c r="D35" i="12"/>
  <c r="C35" i="5" s="1"/>
  <c r="I34" i="12"/>
  <c r="I37" i="12" s="1"/>
  <c r="D33" i="12"/>
  <c r="C33" i="5" s="1"/>
  <c r="H32" i="12"/>
  <c r="G32" i="12"/>
  <c r="D32" i="12"/>
  <c r="C32" i="5" s="1"/>
  <c r="I31" i="12"/>
  <c r="G31" i="5" s="1"/>
  <c r="I30" i="12"/>
  <c r="G30" i="5" s="1"/>
  <c r="D30" i="12"/>
  <c r="C30" i="5" s="1"/>
  <c r="I29" i="12"/>
  <c r="G29" i="5" s="1"/>
  <c r="D29" i="12"/>
  <c r="C29" i="5" s="1"/>
  <c r="I28" i="12"/>
  <c r="G28" i="5" s="1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G23" i="5" s="1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G17" i="5" s="1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G13" i="5" s="1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C22" i="16" s="1"/>
  <c r="C24" i="16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E25" i="1" s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C15" i="10" l="1"/>
  <c r="C25" i="10" s="1"/>
  <c r="D20" i="3"/>
  <c r="D21" i="3" s="1"/>
  <c r="C31" i="1"/>
  <c r="C41" i="1" s="1"/>
  <c r="G46" i="5"/>
  <c r="C20" i="16" s="1"/>
  <c r="C21" i="16" s="1"/>
  <c r="C25" i="16" s="1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H45" i="2"/>
  <c r="I45" i="2" s="1"/>
  <c r="F45" i="5" s="1"/>
  <c r="F46" i="5" s="1"/>
  <c r="F48" i="5" s="1"/>
  <c r="C49" i="1"/>
  <c r="C58" i="1"/>
  <c r="C57" i="1"/>
  <c r="H46" i="2"/>
  <c r="H48" i="2" s="1"/>
  <c r="D34" i="2"/>
  <c r="D41" i="10"/>
  <c r="D49" i="10" s="1"/>
  <c r="G48" i="2"/>
  <c r="B48" i="2"/>
  <c r="B46" i="5"/>
  <c r="G48" i="5"/>
  <c r="B25" i="5"/>
  <c r="C48" i="5"/>
  <c r="F15" i="18" l="1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<sst xmlns="http://schemas.openxmlformats.org/spreadsheetml/2006/main" count="643" uniqueCount="269">
  <si>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</si>
  <si>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</si>
  <si>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</si>
  <si>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</si>
  <si>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</si>
  <si>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</si>
  <si>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</si>
  <si>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</si>
  <si>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</si>
  <si>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</si>
  <si>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</si>
  <si>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</si>
  <si>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</si>
  <si>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</si>
  <si>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</si>
  <si>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</si>
  <si>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</si>
  <si>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</si>
  <si>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</si>
  <si>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</si>
  <si>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</si>
  <si>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</si>
  <si>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</si>
  <si>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</si>
  <si>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</si>
  <si>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</si>
  <si>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</si>
  <si>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</si>
  <si>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</si>
  <si>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</si>
  <si>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</si>
  <si>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</si>
  <si>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</si>
  <si>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</si>
  <si>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</si>
  <si>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</si>
  <si>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</si>
  <si>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</si>
  <si>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</si>
  <si>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</si>
  <si>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</si>
  <si>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</si>
  <si>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</si>
  <si>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</si>
  <si>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</si>
  <si>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</si>
  <si>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</si>
  <si>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</si>
  <si>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</si>
  <si>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</si>
  <si>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</si>
  <si>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</si>
  <si>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</si>
  <si>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</si>
  <si>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</si>
  <si>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</si>
  <si>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</si>
  <si>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</si>
  <si>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</si>
  <si>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</si>
  <si>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</si>
  <si>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</si>
  <si>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</si>
  <si>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</si>
  <si>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</si>
  <si>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</si>
  <si>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</si>
  <si>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</si>
  <si>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</si>
  <si>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</si>
  <si>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</si>
  <si>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</si>
  <si>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</si>
  <si>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</si>
  <si>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</si>
  <si>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</si>
  <si>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</si>
  <si>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</si>
  <si>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</si>
  <si>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</si>
  <si>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</si>
  <si>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</si>
  <si>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</si>
  <si>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</si>
  <si>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</si>
  <si>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</si>
  <si>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</si>
  <si>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</si>
  <si>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</si>
  <si>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</si>
  <si>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</si>
  <si>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</si>
  <si>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</si>
  <si>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</si>
  <si>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</si>
  <si>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</si>
  <si>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</si>
  <si>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</si>
  <si>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</si>
  <si>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</si>
  <si>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</si>
  <si>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</si>
  <si>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</si>
  <si>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</si>
  <si>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</si>
  <si>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</si>
  <si>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</si>
  <si>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</si>
  <si>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</si>
  <si>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</si>
  <si>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</si>
  <si>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</si>
  <si>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</si>
  <si>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</si>
  <si>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</si>
  <si>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</si>
  <si>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</si>
  <si>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</si>
  <si>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</si>
  <si>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</si>
  <si>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</si>
  <si>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</si>
  <si>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</si>
  <si>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</si>
  <si>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</si>
  <si>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</si>
  <si>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</si>
  <si>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</si>
  <si>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</si>
  <si>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</si>
  <si>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</si>
  <si>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</si>
  <si>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</si>
  <si>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</si>
  <si>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</si>
  <si>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</si>
  <si>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</si>
  <si>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</si>
  <si>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</si>
  <si>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</si>
  <si>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</si>
  <si>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</si>
  <si>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</si>
  <si>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</si>
  <si>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</si>
  <si>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</si>
  <si>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</si>
  <si>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</si>
  <si>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</si>
  <si>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</si>
  <si>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</si>
  <si>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</si>
  <si>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</si>
  <si>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</si>
  <si>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</si>
  <si>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</si>
  <si>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</si>
  <si>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</si>
  <si>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</si>
  <si>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</si>
  <si>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</si>
  <si>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</si>
  <si>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</si>
  <si>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</si>
  <si>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</si>
  <si>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</si>
  <si>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</si>
  <si>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</si>
  <si>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</si>
  <si>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</si>
  <si>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</si>
  <si>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</si>
  <si>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</si>
  <si>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</si>
  <si>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</si>
  <si>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</si>
  <si>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</si>
  <si>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</si>
  <si>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</si>
  <si>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</si>
  <si>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</si>
  <si>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</si>
  <si>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</si>
  <si>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</si>
  <si>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</si>
  <si>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</si>
  <si>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</si>
  <si>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</si>
  <si>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</si>
  <si>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</si>
  <si>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</si>
  <si>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</si>
  <si>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</si>
  <si>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</si>
  <si>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</si>
  <si>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</si>
  <si>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</si>
  <si>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</si>
  <si>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</si>
  <si>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</si>
  <si>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</si>
  <si>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</si>
  <si>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</si>
  <si>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</si>
  <si>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</si>
  <si>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</si>
  <si>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</si>
  <si>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</si>
  <si>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</si>
  <si>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</si>
  <si>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</si>
  <si>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</si>
  <si>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</si>
  <si>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</si>
  <si>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</si>
  <si>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</si>
  <si>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</si>
  <si>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</si>
  <si>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</si>
  <si>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</si>
  <si>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</si>
  <si>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</si>
  <si>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</si>
  <si>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</si>
  <si>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</si>
  <si>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</si>
  <si>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</si>
  <si>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</si>
  <si>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</si>
  <si>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</si>
  <si>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</si>
  <si>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</si>
  <si>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</si>
  <si>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</si>
  <si>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</si>
  <si>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</si>
  <si>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</si>
  <si>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</si>
  <si>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</si>
  <si>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</si>
  <si>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</si>
  <si>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</si>
  <si>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</si>
  <si>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</si>
  <si>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</si>
  <si>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</si>
  <si>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</si>
  <si>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</si>
  <si>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</si>
  <si>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</si>
  <si>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</si>
  <si>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</si>
  <si>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</si>
  <si>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</si>
  <si>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</si>
  <si>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</si>
  <si>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</si>
  <si>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</si>
  <si>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</si>
  <si>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</si>
  <si>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</si>
  <si>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</si>
  <si>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</si>
  <si>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</si>
  <si>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</si>
  <si>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</si>
  <si>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</si>
  <si>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</si>
  <si>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Asotin Telephone Co. d/b/a TDS Telecom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</si>
</sst>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fx%20Engagement/WM/WorkPapers/%7bB5701031-F812-4183-8A7C-CC68B1266609%7d/%7b3FE075B7-497D-4A03-83F2-4F6B8277C5BF%7d/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3:E17"/>
  <sheetViews>
    <sheetView tabSelected="1" workbookViewId="0"/>
  </sheetViews>
  <sheetFormatPr defaultRowHeight="15" x14ac:dyDescent="0.25"/>
  <cols>
    <col min="1" max="1" width="118.7109375" customWidth="1"/>
  </cols>
  <sheetData>
    <row r="13" spans="1:5" ht="23.25" x14ac:dyDescent="0.35">
      <c r="A13" s="119" t="s">
        <v>263</v>
      </c>
      <c r="B13" s="48"/>
      <c r="C13" s="48"/>
      <c r="D13" s="48"/>
      <c r="E13" s="48"/>
    </row>
    <row r="14" spans="1:5" x14ac:dyDescent="0.25">
      <c r="A14" s="48"/>
      <c r="B14" s="48"/>
      <c r="C14" s="48"/>
      <c r="D14" s="48"/>
      <c r="E14" s="48"/>
    </row>
    <row r="15" spans="1:5" ht="23.25" x14ac:dyDescent="0.35">
      <c r="A15" s="119" t="s">
        <v>264</v>
      </c>
      <c r="B15" s="48"/>
      <c r="C15" s="48"/>
      <c r="D15" s="48"/>
      <c r="E15" s="48"/>
    </row>
    <row r="16" spans="1:5" x14ac:dyDescent="0.25">
      <c r="A16" s="48"/>
      <c r="B16" s="48"/>
      <c r="C16" s="48"/>
      <c r="D16" s="48"/>
      <c r="E16" s="48"/>
    </row>
    <row r="17" spans="1:5" ht="23.25" x14ac:dyDescent="0.3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2:E35"/>
  <sheetViews>
    <sheetView zoomScaleNormal="100" workbookViewId="0"/>
  </sheetViews>
  <sheetFormatPr defaultRowHeight="15" x14ac:dyDescent="0.25"/>
  <cols>
    <col min="1" max="1" width="6.5703125" customWidth="1"/>
    <col min="2" max="2" width="36.5703125" bestFit="1" customWidth="1"/>
    <col min="4" max="5" width="13.85546875" customWidth="1"/>
  </cols>
  <sheetData>
    <row r="2" spans="1:5" x14ac:dyDescent="0.25">
      <c r="B2" t="s">
        <v>191</v>
      </c>
    </row>
    <row r="3" spans="1:5" x14ac:dyDescent="0.25">
      <c r="B3" s="59" t="s">
        <v>268</v>
      </c>
      <c r="C3" s="68"/>
      <c r="D3" s="68"/>
      <c r="E3" s="68"/>
    </row>
    <row r="4" spans="1:5" x14ac:dyDescent="0.25">
      <c r="B4" s="68"/>
      <c r="C4" s="68"/>
      <c r="D4" s="68"/>
      <c r="E4" s="68"/>
    </row>
    <row r="5" spans="1:5" x14ac:dyDescent="0.25">
      <c r="B5" s="68"/>
      <c r="C5" s="68"/>
      <c r="D5" s="68"/>
      <c r="E5" s="68"/>
    </row>
    <row r="6" spans="1:5" x14ac:dyDescent="0.25">
      <c r="A6" s="7"/>
      <c r="B6" s="7"/>
      <c r="C6" s="7"/>
      <c r="D6" s="10" t="s">
        <v>73</v>
      </c>
      <c r="E6" s="24" t="s">
        <v>127</v>
      </c>
    </row>
    <row r="7" spans="1:5" x14ac:dyDescent="0.25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25">
      <c r="A8" s="20"/>
      <c r="B8" s="20"/>
      <c r="C8" s="12" t="s">
        <v>163</v>
      </c>
      <c r="D8" s="26"/>
      <c r="E8" s="30"/>
    </row>
    <row r="9" spans="1:5" x14ac:dyDescent="0.25">
      <c r="A9" s="10">
        <v>1</v>
      </c>
      <c r="B9" s="7" t="s">
        <v>164</v>
      </c>
      <c r="C9" s="28" t="s">
        <v>165</v>
      </c>
      <c r="D9" s="56">
        <v>91176.78</v>
      </c>
      <c r="E9" s="56">
        <v>93037.180000000008</v>
      </c>
    </row>
    <row r="10" spans="1:5" x14ac:dyDescent="0.25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25">
      <c r="A11" s="11" t="s">
        <v>216</v>
      </c>
      <c r="B11" s="18" t="s">
        <v>168</v>
      </c>
      <c r="C11" s="11"/>
      <c r="D11" s="53">
        <v>108390.14000000001</v>
      </c>
      <c r="E11" s="53">
        <v>23880.270000000004</v>
      </c>
    </row>
    <row r="12" spans="1:5" x14ac:dyDescent="0.25">
      <c r="A12" s="11" t="s">
        <v>217</v>
      </c>
      <c r="B12" s="18" t="s">
        <v>260</v>
      </c>
      <c r="C12" s="11"/>
      <c r="D12" s="53">
        <v>83985.36</v>
      </c>
      <c r="E12" s="53">
        <v>171237.65</v>
      </c>
    </row>
    <row r="13" spans="1:5" x14ac:dyDescent="0.25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25">
      <c r="A14" s="11" t="s">
        <v>218</v>
      </c>
      <c r="B14" s="18" t="s">
        <v>168</v>
      </c>
      <c r="C14" s="11"/>
      <c r="D14" s="53">
        <v>21383.39</v>
      </c>
      <c r="E14" s="53">
        <v>14605.509999999998</v>
      </c>
    </row>
    <row r="15" spans="1:5" x14ac:dyDescent="0.25">
      <c r="A15" s="11" t="s">
        <v>219</v>
      </c>
      <c r="B15" s="18" t="s">
        <v>169</v>
      </c>
      <c r="C15" s="11"/>
      <c r="D15" s="53">
        <v>66735</v>
      </c>
      <c r="E15" s="53">
        <v>124820.6</v>
      </c>
    </row>
    <row r="16" spans="1:5" x14ac:dyDescent="0.25">
      <c r="A16" s="11">
        <v>4</v>
      </c>
      <c r="B16" s="18" t="s">
        <v>259</v>
      </c>
      <c r="C16" s="11" t="s">
        <v>171</v>
      </c>
      <c r="D16" s="53">
        <v>401108</v>
      </c>
      <c r="E16" s="53">
        <v>238981</v>
      </c>
    </row>
    <row r="17" spans="1:5" x14ac:dyDescent="0.25">
      <c r="A17" s="11">
        <v>5</v>
      </c>
      <c r="B17" s="18" t="s">
        <v>241</v>
      </c>
      <c r="C17" s="11"/>
      <c r="D17" s="53">
        <v>0</v>
      </c>
      <c r="E17" s="53">
        <v>64184.56</v>
      </c>
    </row>
    <row r="18" spans="1:5" x14ac:dyDescent="0.25">
      <c r="A18" s="11">
        <v>6</v>
      </c>
      <c r="B18" s="18" t="s">
        <v>194</v>
      </c>
      <c r="C18" s="12"/>
      <c r="D18" s="54"/>
      <c r="E18" s="54"/>
    </row>
    <row r="19" spans="1:5" x14ac:dyDescent="0.25">
      <c r="A19" s="11">
        <v>7</v>
      </c>
      <c r="B19" s="18" t="s">
        <v>172</v>
      </c>
      <c r="C19" s="7"/>
      <c r="D19" s="36">
        <f>D9+D11+D12+D14+D15+D16+D17+D18</f>
        <v>772778.67</v>
      </c>
      <c r="E19" s="36">
        <f>E9+E11+E12+E14+E15+E16+E17+E18</f>
        <v>730746.77</v>
      </c>
    </row>
    <row r="20" spans="1:5" x14ac:dyDescent="0.25">
      <c r="A20" s="11">
        <v>8</v>
      </c>
      <c r="B20" s="19" t="s">
        <v>179</v>
      </c>
      <c r="C20" s="18"/>
      <c r="D20" s="38">
        <f>IncomeStmtSummary!C10</f>
        <v>772778.67</v>
      </c>
      <c r="E20" s="38">
        <f>IncomeStmtSummary!D10</f>
        <v>730746.77000000014</v>
      </c>
    </row>
    <row r="21" spans="1:5" ht="15.75" thickBot="1" x14ac:dyDescent="0.3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.75" thickTop="1" x14ac:dyDescent="0.25">
      <c r="B22" s="74" t="s">
        <v>221</v>
      </c>
      <c r="C22" s="68"/>
      <c r="D22" s="68"/>
      <c r="E22" s="68"/>
    </row>
    <row r="23" spans="1:5" x14ac:dyDescent="0.25">
      <c r="B23" t="s">
        <v>195</v>
      </c>
      <c r="C23" s="68"/>
      <c r="D23" s="68"/>
      <c r="E23" s="68"/>
    </row>
    <row r="24" spans="1:5" x14ac:dyDescent="0.25">
      <c r="B24" t="s">
        <v>196</v>
      </c>
      <c r="C24" s="68"/>
      <c r="D24" s="68"/>
      <c r="E24" s="68"/>
    </row>
    <row r="25" spans="1:5" x14ac:dyDescent="0.25">
      <c r="A25" s="68"/>
      <c r="B25" s="68"/>
      <c r="C25" s="68"/>
      <c r="D25" s="68"/>
      <c r="E25" s="68"/>
    </row>
    <row r="26" spans="1:5" x14ac:dyDescent="0.25">
      <c r="A26" s="68"/>
      <c r="B26" s="68"/>
      <c r="C26" s="68"/>
      <c r="D26" s="68"/>
      <c r="E26" s="68"/>
    </row>
    <row r="27" spans="1:5" x14ac:dyDescent="0.25">
      <c r="A27" s="68"/>
      <c r="B27" s="68"/>
      <c r="C27" s="68"/>
      <c r="D27" s="68"/>
      <c r="E27" s="68"/>
    </row>
    <row r="28" spans="1:5" x14ac:dyDescent="0.25">
      <c r="A28" s="68"/>
      <c r="B28" s="68"/>
      <c r="C28" s="68"/>
      <c r="D28" s="68"/>
      <c r="E28" s="68"/>
    </row>
    <row r="29" spans="1:5" x14ac:dyDescent="0.25">
      <c r="A29" s="68"/>
      <c r="B29" s="68"/>
      <c r="C29" s="68"/>
      <c r="D29" s="68"/>
      <c r="E29" s="68"/>
    </row>
    <row r="30" spans="1:5" x14ac:dyDescent="0.25">
      <c r="A30" s="68"/>
      <c r="B30" s="68"/>
      <c r="C30" s="68"/>
      <c r="D30" s="68"/>
      <c r="E30" s="68"/>
    </row>
    <row r="31" spans="1:5" x14ac:dyDescent="0.25">
      <c r="A31" s="68"/>
      <c r="B31" s="68"/>
      <c r="C31" s="68"/>
      <c r="D31" s="68"/>
      <c r="E31" s="68"/>
    </row>
    <row r="32" spans="1:5" x14ac:dyDescent="0.25">
      <c r="A32" s="68"/>
      <c r="B32" s="68"/>
      <c r="C32" s="68"/>
      <c r="D32" s="68"/>
      <c r="E32" s="68"/>
    </row>
    <row r="33" spans="1:5" x14ac:dyDescent="0.25">
      <c r="A33" s="68"/>
      <c r="B33" s="68"/>
      <c r="C33" s="68"/>
      <c r="D33" s="68"/>
      <c r="E33" s="68"/>
    </row>
    <row r="34" spans="1:5" x14ac:dyDescent="0.25">
      <c r="A34" s="68"/>
      <c r="B34" s="68"/>
      <c r="C34" s="68"/>
      <c r="D34" s="68"/>
      <c r="E34" s="68"/>
    </row>
    <row r="35" spans="1:5" x14ac:dyDescent="0.25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4:C21"/>
  <sheetViews>
    <sheetView zoomScaleNormal="100" workbookViewId="0"/>
  </sheetViews>
  <sheetFormatPr defaultRowHeight="15" x14ac:dyDescent="0.25"/>
  <cols>
    <col min="1" max="1" width="73.5703125" customWidth="1"/>
    <col min="2" max="2" width="14.7109375" bestFit="1" customWidth="1"/>
  </cols>
  <sheetData>
    <row r="4" spans="1:3" x14ac:dyDescent="0.25">
      <c r="A4" s="48" t="s">
        <v>245</v>
      </c>
      <c r="B4" s="120" t="s">
        <v>233</v>
      </c>
      <c r="C4" s="120"/>
    </row>
    <row r="5" spans="1:3" x14ac:dyDescent="0.25">
      <c r="B5" s="48" t="s">
        <v>243</v>
      </c>
      <c r="C5" s="48" t="s">
        <v>244</v>
      </c>
    </row>
    <row r="6" spans="1:3" x14ac:dyDescent="0.25">
      <c r="A6" t="s">
        <v>234</v>
      </c>
    </row>
    <row r="11" spans="1:3" x14ac:dyDescent="0.25">
      <c r="A11" t="s">
        <v>235</v>
      </c>
    </row>
    <row r="16" spans="1:3" x14ac:dyDescent="0.25">
      <c r="A16" t="s">
        <v>236</v>
      </c>
    </row>
    <row r="21" spans="1:1" x14ac:dyDescent="0.25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3:G38"/>
  <sheetViews>
    <sheetView zoomScaleNormal="100" workbookViewId="0"/>
  </sheetViews>
  <sheetFormatPr defaultRowHeight="15" x14ac:dyDescent="0.25"/>
  <cols>
    <col min="1" max="1" width="5.85546875" style="75" customWidth="1"/>
    <col min="2" max="2" width="40.5703125" style="75" customWidth="1"/>
    <col min="3" max="3" width="13.85546875" style="75" customWidth="1"/>
    <col min="4" max="16384" width="9.140625" style="75"/>
  </cols>
  <sheetData>
    <row r="3" spans="1:3" x14ac:dyDescent="0.25">
      <c r="B3" s="75" t="s">
        <v>191</v>
      </c>
    </row>
    <row r="4" spans="1:3" x14ac:dyDescent="0.25">
      <c r="B4" s="59" t="s">
        <v>268</v>
      </c>
      <c r="C4" s="68"/>
    </row>
    <row r="5" spans="1:3" x14ac:dyDescent="0.25">
      <c r="B5" s="68"/>
      <c r="C5" s="68"/>
    </row>
    <row r="7" spans="1:3" x14ac:dyDescent="0.25">
      <c r="A7" s="76"/>
      <c r="B7" s="76"/>
      <c r="C7" s="77"/>
    </row>
    <row r="8" spans="1:3" x14ac:dyDescent="0.25">
      <c r="A8" s="83" t="s">
        <v>0</v>
      </c>
      <c r="B8" s="78" t="s">
        <v>174</v>
      </c>
      <c r="C8" s="79">
        <v>2014</v>
      </c>
    </row>
    <row r="9" spans="1:3" x14ac:dyDescent="0.25">
      <c r="A9" s="80"/>
      <c r="B9" s="80"/>
      <c r="C9" s="81"/>
    </row>
    <row r="10" spans="1:3" x14ac:dyDescent="0.25">
      <c r="A10" s="94">
        <v>1</v>
      </c>
      <c r="B10" s="76" t="s">
        <v>266</v>
      </c>
      <c r="C10" s="87">
        <f>'RateBase '!D15</f>
        <v>1364331.8900000001</v>
      </c>
    </row>
    <row r="11" spans="1:3" x14ac:dyDescent="0.25">
      <c r="A11" s="78">
        <v>2</v>
      </c>
      <c r="B11" s="83" t="s">
        <v>206</v>
      </c>
      <c r="C11" s="105">
        <f>'RateBase '!E15</f>
        <v>1182483.6599999992</v>
      </c>
    </row>
    <row r="12" spans="1:3" x14ac:dyDescent="0.25">
      <c r="A12" s="78">
        <v>3</v>
      </c>
      <c r="B12" s="98" t="s">
        <v>207</v>
      </c>
      <c r="C12" s="85">
        <f>(C10+C11)/2</f>
        <v>1273407.7749999997</v>
      </c>
    </row>
    <row r="13" spans="1:3" x14ac:dyDescent="0.25">
      <c r="A13" s="78">
        <v>4</v>
      </c>
      <c r="B13" s="83" t="s">
        <v>208</v>
      </c>
      <c r="C13" s="60">
        <f>IncomeStmtSummary!D31</f>
        <v>58962.720000000088</v>
      </c>
    </row>
    <row r="14" spans="1:3" x14ac:dyDescent="0.25">
      <c r="A14" s="78">
        <v>5</v>
      </c>
      <c r="B14" s="83" t="s">
        <v>267</v>
      </c>
      <c r="C14" s="54"/>
    </row>
    <row r="15" spans="1:3" x14ac:dyDescent="0.25">
      <c r="A15" s="78">
        <v>6</v>
      </c>
      <c r="B15" s="99" t="s">
        <v>212</v>
      </c>
      <c r="C15" s="85">
        <f>C13+C14</f>
        <v>58962.720000000088</v>
      </c>
    </row>
    <row r="16" spans="1:3" x14ac:dyDescent="0.25">
      <c r="A16" s="78">
        <v>7</v>
      </c>
      <c r="B16" s="98" t="s">
        <v>209</v>
      </c>
      <c r="C16" s="86">
        <f>C15/C12</f>
        <v>4.6303094073695365E-2</v>
      </c>
    </row>
    <row r="17" spans="1:7" x14ac:dyDescent="0.25">
      <c r="A17" s="78"/>
      <c r="B17" s="84"/>
      <c r="C17" s="90"/>
    </row>
    <row r="18" spans="1:7" x14ac:dyDescent="0.25">
      <c r="A18" s="78"/>
      <c r="B18" s="83"/>
      <c r="C18" s="87"/>
    </row>
    <row r="19" spans="1:7" x14ac:dyDescent="0.25">
      <c r="A19" s="78">
        <v>8</v>
      </c>
      <c r="B19" s="83" t="s">
        <v>213</v>
      </c>
      <c r="C19" s="82">
        <f>'BalanceSheet(Summary)'!F46</f>
        <v>2334314.8100000005</v>
      </c>
    </row>
    <row r="20" spans="1:7" x14ac:dyDescent="0.25">
      <c r="A20" s="78">
        <v>9</v>
      </c>
      <c r="B20" s="83" t="s">
        <v>214</v>
      </c>
      <c r="C20" s="88">
        <f>'BalanceSheet(Summary)'!G46</f>
        <v>2236875.2000000039</v>
      </c>
    </row>
    <row r="21" spans="1:7" x14ac:dyDescent="0.25">
      <c r="A21" s="78">
        <v>10</v>
      </c>
      <c r="B21" s="98" t="s">
        <v>210</v>
      </c>
      <c r="C21" s="85">
        <f t="shared" ref="C21" si="0">(C19+C20)/2</f>
        <v>2285595.0050000022</v>
      </c>
    </row>
    <row r="22" spans="1:7" x14ac:dyDescent="0.25">
      <c r="A22" s="78">
        <v>11</v>
      </c>
      <c r="B22" s="83" t="s">
        <v>215</v>
      </c>
      <c r="C22" s="53">
        <f>'CurrentYearIncomeStmt '!E41</f>
        <v>33118.710000000101</v>
      </c>
    </row>
    <row r="23" spans="1:7" x14ac:dyDescent="0.25">
      <c r="A23" s="78">
        <v>12</v>
      </c>
      <c r="B23" s="83" t="s">
        <v>238</v>
      </c>
      <c r="C23" s="54"/>
    </row>
    <row r="24" spans="1:7" x14ac:dyDescent="0.25">
      <c r="A24" s="78">
        <v>13</v>
      </c>
      <c r="B24" s="99" t="s">
        <v>220</v>
      </c>
      <c r="C24" s="85">
        <f>C22+C23</f>
        <v>33118.710000000101</v>
      </c>
    </row>
    <row r="25" spans="1:7" x14ac:dyDescent="0.25">
      <c r="A25" s="95">
        <v>14</v>
      </c>
      <c r="B25" s="102" t="s">
        <v>211</v>
      </c>
      <c r="C25" s="89">
        <f>C24/C21</f>
        <v>1.4490191800187308E-2</v>
      </c>
    </row>
    <row r="26" spans="1:7" x14ac:dyDescent="0.25">
      <c r="B26" s="101" t="s">
        <v>221</v>
      </c>
      <c r="C26" s="68"/>
      <c r="D26" s="68"/>
      <c r="E26" s="68"/>
      <c r="F26" s="68"/>
      <c r="G26" s="68"/>
    </row>
    <row r="27" spans="1:7" x14ac:dyDescent="0.25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25">
      <c r="B28" s="101" t="s">
        <v>262</v>
      </c>
      <c r="C28" s="68"/>
      <c r="D28" s="68"/>
      <c r="E28" s="68"/>
      <c r="F28" s="68"/>
      <c r="G28" s="68"/>
    </row>
    <row r="29" spans="1:7" x14ac:dyDescent="0.25">
      <c r="A29" s="68"/>
      <c r="B29" s="118"/>
      <c r="C29" s="68"/>
      <c r="D29" s="68"/>
      <c r="E29" s="68"/>
      <c r="F29" s="68"/>
      <c r="G29" s="68"/>
    </row>
    <row r="30" spans="1:7" x14ac:dyDescent="0.25">
      <c r="A30" s="68"/>
      <c r="B30" s="68"/>
      <c r="C30" s="68"/>
      <c r="D30" s="68"/>
      <c r="E30" s="68"/>
      <c r="F30" s="68"/>
      <c r="G30" s="68"/>
    </row>
    <row r="31" spans="1:7" x14ac:dyDescent="0.25">
      <c r="A31" s="68"/>
      <c r="B31" s="68"/>
      <c r="C31" s="68"/>
      <c r="D31" s="68"/>
      <c r="E31" s="68"/>
      <c r="F31" s="68"/>
      <c r="G31" s="68"/>
    </row>
    <row r="32" spans="1:7" x14ac:dyDescent="0.25">
      <c r="A32" s="68"/>
      <c r="B32" s="68"/>
      <c r="C32" s="68"/>
      <c r="D32" s="68"/>
      <c r="E32" s="68"/>
      <c r="F32" s="68"/>
      <c r="G32" s="68"/>
    </row>
    <row r="33" spans="1:7" x14ac:dyDescent="0.25">
      <c r="A33" s="68"/>
      <c r="B33" s="68"/>
      <c r="C33" s="68"/>
      <c r="D33" s="68"/>
      <c r="E33" s="68"/>
      <c r="F33" s="68"/>
      <c r="G33" s="68"/>
    </row>
    <row r="34" spans="1:7" x14ac:dyDescent="0.25">
      <c r="A34" s="68"/>
      <c r="B34" s="68"/>
      <c r="C34" s="68"/>
      <c r="D34" s="68"/>
      <c r="E34" s="68"/>
      <c r="F34" s="68"/>
      <c r="G34" s="68"/>
    </row>
    <row r="35" spans="1:7" x14ac:dyDescent="0.25">
      <c r="A35" s="68"/>
      <c r="B35" s="68"/>
      <c r="C35" s="68"/>
      <c r="D35" s="68"/>
      <c r="E35" s="68"/>
      <c r="F35" s="68"/>
      <c r="G35" s="68"/>
    </row>
    <row r="36" spans="1:7" x14ac:dyDescent="0.25">
      <c r="A36" s="68"/>
      <c r="B36" s="68"/>
      <c r="C36" s="68"/>
      <c r="D36" s="68"/>
      <c r="E36" s="68"/>
      <c r="F36" s="68"/>
      <c r="G36" s="68"/>
    </row>
    <row r="37" spans="1:7" x14ac:dyDescent="0.25">
      <c r="A37" s="68"/>
      <c r="B37" s="68"/>
      <c r="C37" s="68"/>
      <c r="D37" s="68"/>
      <c r="E37" s="68"/>
      <c r="F37" s="68"/>
      <c r="G37" s="68"/>
    </row>
    <row r="38" spans="1:7" x14ac:dyDescent="0.25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I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</row>
    <row r="4" spans="1:9" x14ac:dyDescent="0.25">
      <c r="A4" s="69"/>
      <c r="B4" s="68"/>
      <c r="C4" s="68"/>
      <c r="D4" s="68"/>
    </row>
    <row r="5" spans="1:9" x14ac:dyDescent="0.25">
      <c r="A5" s="68"/>
      <c r="B5" s="68"/>
      <c r="C5" s="68"/>
      <c r="D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792876.27</v>
      </c>
      <c r="C10" s="57"/>
      <c r="D10" s="60">
        <f>SUM(B10:C10)</f>
        <v>792876.27</v>
      </c>
      <c r="E10" s="18"/>
      <c r="F10" s="18" t="s">
        <v>78</v>
      </c>
      <c r="G10" s="53">
        <v>188124.97</v>
      </c>
      <c r="H10" s="57"/>
      <c r="I10" s="60">
        <f>SUM(G10:H10)</f>
        <v>188124.97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11048.98</v>
      </c>
      <c r="H12" s="57"/>
      <c r="I12" s="60">
        <f t="shared" si="0"/>
        <v>11048.98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42986.19</v>
      </c>
      <c r="C14" s="57"/>
      <c r="D14" s="60">
        <f t="shared" ref="D14:D15" si="1">SUM(B14:C14)</f>
        <v>42986.19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51597.87000000001</v>
      </c>
      <c r="C17" s="57"/>
      <c r="D17" s="60">
        <f>SUM(B17:C17)</f>
        <v>51597.87000000001</v>
      </c>
      <c r="E17" s="19"/>
      <c r="F17" s="18" t="s">
        <v>87</v>
      </c>
      <c r="G17" s="53">
        <v>-1468.05</v>
      </c>
      <c r="H17" s="57"/>
      <c r="I17" s="60">
        <f t="shared" si="0"/>
        <v>-1468.05</v>
      </c>
    </row>
    <row r="18" spans="1:9" x14ac:dyDescent="0.25">
      <c r="A18" s="18" t="s">
        <v>47</v>
      </c>
      <c r="B18" s="53">
        <v>95184.799999999988</v>
      </c>
      <c r="C18" s="57"/>
      <c r="D18" s="60">
        <f t="shared" ref="D18:D24" si="2">SUM(B18:C18)</f>
        <v>95184.799999999988</v>
      </c>
      <c r="E18" s="18"/>
      <c r="F18" s="18" t="s">
        <v>88</v>
      </c>
      <c r="G18" s="53">
        <v>8013.4699999999993</v>
      </c>
      <c r="H18" s="57"/>
      <c r="I18" s="60">
        <f t="shared" si="0"/>
        <v>8013.4699999999993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4949.2299999999996</v>
      </c>
      <c r="H19" s="67"/>
      <c r="I19" s="61">
        <f t="shared" si="0"/>
        <v>4949.2299999999996</v>
      </c>
    </row>
    <row r="20" spans="1:9" x14ac:dyDescent="0.25">
      <c r="A20" s="18" t="s">
        <v>48</v>
      </c>
      <c r="B20" s="53">
        <v>127.24</v>
      </c>
      <c r="C20" s="57"/>
      <c r="D20" s="60">
        <f t="shared" si="2"/>
        <v>127.24</v>
      </c>
      <c r="E20" s="18"/>
      <c r="F20" s="18" t="s">
        <v>120</v>
      </c>
      <c r="G20" s="60">
        <f>SUM(G10:G19)</f>
        <v>210668.60000000003</v>
      </c>
      <c r="H20" s="60">
        <f>SUM(H10:H19)</f>
        <v>0</v>
      </c>
      <c r="I20" s="60">
        <f t="shared" ref="I20" si="3">SUM(I10:I19)</f>
        <v>210668.60000000003</v>
      </c>
    </row>
    <row r="21" spans="1:9" x14ac:dyDescent="0.25">
      <c r="A21" s="18" t="s">
        <v>49</v>
      </c>
      <c r="B21" s="53">
        <v>12496.88</v>
      </c>
      <c r="C21" s="57"/>
      <c r="D21" s="60">
        <f t="shared" si="2"/>
        <v>12496.88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1924.75</v>
      </c>
      <c r="C23" s="57"/>
      <c r="D23" s="60">
        <f t="shared" si="2"/>
        <v>1924.75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997193.99999999988</v>
      </c>
      <c r="C25" s="60">
        <f>C10+C11+C13+C14+C15+C17+C18+C19+C20+C21+C22+C23+C24</f>
        <v>0</v>
      </c>
      <c r="D25" s="60">
        <f t="shared" ref="D25" si="5">D10+D11+D13+D14+D15+D17+D18+D19+D20+D21+D22+D23+D24</f>
        <v>997193.99999999988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9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25">
      <c r="A34" s="18" t="s">
        <v>180</v>
      </c>
      <c r="B34" s="53">
        <v>0</v>
      </c>
      <c r="C34" s="72">
        <f>-1*(C25+C29+C30+C32+C33+C35+C36+C37+C46)</f>
        <v>7908</v>
      </c>
      <c r="D34" s="60">
        <f t="shared" si="7"/>
        <v>7908</v>
      </c>
      <c r="E34" s="18"/>
      <c r="F34" s="18" t="s">
        <v>103</v>
      </c>
      <c r="G34" s="53">
        <v>-70891.240000000005</v>
      </c>
      <c r="H34" s="57"/>
      <c r="I34" s="60">
        <f>SUM(G34:H34)</f>
        <v>-70891.240000000005</v>
      </c>
    </row>
    <row r="35" spans="1:9" x14ac:dyDescent="0.25">
      <c r="A35" s="18" t="s">
        <v>62</v>
      </c>
      <c r="B35" s="53">
        <v>26675.309999999998</v>
      </c>
      <c r="C35" s="57"/>
      <c r="D35" s="60">
        <f t="shared" si="7"/>
        <v>26675.309999999998</v>
      </c>
      <c r="E35" s="18"/>
      <c r="F35" s="18" t="s">
        <v>151</v>
      </c>
      <c r="G35" s="53">
        <v>155502.01999999999</v>
      </c>
      <c r="H35" s="53">
        <v>-1546</v>
      </c>
      <c r="I35" s="60">
        <f t="shared" ref="I35:I36" si="8">SUM(G35:H35)</f>
        <v>153956.01999999999</v>
      </c>
    </row>
    <row r="36" spans="1:9" x14ac:dyDescent="0.25">
      <c r="A36" s="18" t="s">
        <v>63</v>
      </c>
      <c r="B36" s="53">
        <v>87.49</v>
      </c>
      <c r="C36" s="57"/>
      <c r="D36" s="60">
        <f t="shared" si="7"/>
        <v>87.49</v>
      </c>
      <c r="E36" s="18"/>
      <c r="F36" s="18" t="s">
        <v>104</v>
      </c>
      <c r="G36" s="54">
        <v>448.82</v>
      </c>
      <c r="H36" s="67"/>
      <c r="I36" s="61">
        <f t="shared" si="8"/>
        <v>448.82</v>
      </c>
    </row>
    <row r="37" spans="1:9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85059.599999999991</v>
      </c>
      <c r="H37" s="60">
        <f t="shared" ref="H37:I37" si="9">SUM(H34:H36)</f>
        <v>-1546</v>
      </c>
      <c r="I37" s="60">
        <f t="shared" si="9"/>
        <v>83513.599999999991</v>
      </c>
    </row>
    <row r="38" spans="1:9" x14ac:dyDescent="0.25">
      <c r="A38" s="18" t="s">
        <v>65</v>
      </c>
      <c r="B38" s="60">
        <f>B29+B30+B32+B33+B34+B35+B36+B37</f>
        <v>26762.799999999999</v>
      </c>
      <c r="C38" s="60">
        <f>C29+C30+C32+C33+C34+C35+C36+C37</f>
        <v>7908</v>
      </c>
      <c r="D38" s="60">
        <f t="shared" ref="D38" si="10">D29+D30+D32+D33+D34+D35+D36+D37</f>
        <v>34670.799999999996</v>
      </c>
      <c r="E38" s="18"/>
      <c r="F38" s="22" t="s">
        <v>106</v>
      </c>
      <c r="G38" s="14"/>
      <c r="H38" s="18"/>
      <c r="I38" s="15"/>
    </row>
    <row r="39" spans="1:9" x14ac:dyDescent="0.25">
      <c r="A39" s="18"/>
      <c r="B39" s="18"/>
      <c r="C39" s="18"/>
      <c r="D39" s="15"/>
      <c r="E39" s="18"/>
      <c r="F39" s="18" t="s">
        <v>107</v>
      </c>
      <c r="G39" s="53">
        <v>25809.17</v>
      </c>
      <c r="H39" s="23"/>
      <c r="I39" s="60">
        <f>SUM(G39:H39)</f>
        <v>25809.17</v>
      </c>
    </row>
    <row r="40" spans="1:9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317382.58</v>
      </c>
      <c r="H40" s="23"/>
      <c r="I40" s="60">
        <f t="shared" ref="I40:I45" si="11">SUM(G40:H40)</f>
        <v>317382.58</v>
      </c>
    </row>
    <row r="41" spans="1:9" x14ac:dyDescent="0.25">
      <c r="A41" s="18" t="s">
        <v>190</v>
      </c>
      <c r="B41" s="53">
        <v>8091368.8300000001</v>
      </c>
      <c r="C41" s="53">
        <v>-18617</v>
      </c>
      <c r="D41" s="60">
        <f>SUM(B41:C41)</f>
        <v>8072751.8300000001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9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9" x14ac:dyDescent="0.25">
      <c r="A43" s="18" t="s">
        <v>69</v>
      </c>
      <c r="B43" s="53">
        <v>115375.36999999997</v>
      </c>
      <c r="C43" s="53"/>
      <c r="D43" s="60">
        <f t="shared" si="12"/>
        <v>115375.36999999997</v>
      </c>
      <c r="E43" s="18"/>
      <c r="F43" s="18" t="s">
        <v>111</v>
      </c>
      <c r="G43" s="53">
        <v>33064.44</v>
      </c>
      <c r="H43" s="23"/>
      <c r="I43" s="60">
        <f t="shared" si="11"/>
        <v>33064.44</v>
      </c>
    </row>
    <row r="44" spans="1:9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9" x14ac:dyDescent="0.25">
      <c r="A45" s="18" t="s">
        <v>121</v>
      </c>
      <c r="B45" s="54">
        <v>-6602203.5499999998</v>
      </c>
      <c r="C45" s="54">
        <v>10709</v>
      </c>
      <c r="D45" s="61">
        <f t="shared" si="12"/>
        <v>-6591494.5499999998</v>
      </c>
      <c r="E45" s="18"/>
      <c r="F45" s="18" t="s">
        <v>181</v>
      </c>
      <c r="G45" s="54">
        <v>1956512.6200000003</v>
      </c>
      <c r="H45" s="106">
        <f>-1*(H20+H32+H37)</f>
        <v>1546</v>
      </c>
      <c r="I45" s="61">
        <f t="shared" si="11"/>
        <v>1958058.6200000003</v>
      </c>
    </row>
    <row r="46" spans="1:9" x14ac:dyDescent="0.25">
      <c r="A46" s="18" t="s">
        <v>71</v>
      </c>
      <c r="B46" s="60">
        <f>B41+B42+B43+B44+B45</f>
        <v>1604540.6500000004</v>
      </c>
      <c r="C46" s="60">
        <f t="shared" ref="C46:D46" si="13">C41+C42+C43+C44+C45</f>
        <v>-7908</v>
      </c>
      <c r="D46" s="60">
        <f t="shared" si="13"/>
        <v>1596632.6500000004</v>
      </c>
      <c r="E46" s="18"/>
      <c r="F46" s="18" t="s">
        <v>114</v>
      </c>
      <c r="G46" s="60">
        <f>SUM(G39:G45)</f>
        <v>2332768.8100000005</v>
      </c>
      <c r="H46" s="63">
        <f t="shared" ref="H46:I46" si="14">SUM(H39:H45)</f>
        <v>1546</v>
      </c>
      <c r="I46" s="60">
        <f t="shared" si="14"/>
        <v>2334314.8100000005</v>
      </c>
    </row>
    <row r="47" spans="1:9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.75" thickBot="1" x14ac:dyDescent="0.3">
      <c r="A48" s="22" t="s">
        <v>247</v>
      </c>
      <c r="B48" s="62">
        <f>B25+B38+B46</f>
        <v>2628497.4500000002</v>
      </c>
      <c r="C48" s="62">
        <f t="shared" ref="C48:D48" si="15">C25+C38+C46</f>
        <v>0</v>
      </c>
      <c r="D48" s="62">
        <f t="shared" si="15"/>
        <v>2628497.4500000002</v>
      </c>
      <c r="E48" s="18"/>
      <c r="F48" s="22" t="s">
        <v>115</v>
      </c>
      <c r="G48" s="62">
        <f>G20+G32+G37+G46</f>
        <v>2628497.0100000007</v>
      </c>
      <c r="H48" s="62">
        <f t="shared" ref="H48:I48" si="16">H20+H32+H37+H46</f>
        <v>0</v>
      </c>
      <c r="I48" s="62">
        <f t="shared" si="16"/>
        <v>2628497.0100000007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K61"/>
  <sheetViews>
    <sheetView zoomScaleNormal="100" workbookViewId="0"/>
  </sheetViews>
  <sheetFormatPr defaultRowHeight="15" x14ac:dyDescent="0.25"/>
  <cols>
    <col min="1" max="1" width="37" customWidth="1"/>
    <col min="2" max="2" width="13.85546875" customWidth="1"/>
    <col min="3" max="3" width="13.85546875" bestFit="1" customWidth="1"/>
    <col min="4" max="4" width="13.85546875" customWidth="1"/>
    <col min="5" max="5" width="6.28515625" customWidth="1"/>
    <col min="6" max="6" width="45" bestFit="1" customWidth="1"/>
    <col min="7" max="9" width="13.85546875" customWidth="1"/>
  </cols>
  <sheetData>
    <row r="2" spans="1:9" x14ac:dyDescent="0.25">
      <c r="A2" t="s">
        <v>191</v>
      </c>
    </row>
    <row r="3" spans="1:9" x14ac:dyDescent="0.25">
      <c r="A3" s="59" t="s">
        <v>268</v>
      </c>
      <c r="B3" s="68"/>
      <c r="C3" s="68"/>
      <c r="D3" s="68"/>
      <c r="E3" s="68"/>
    </row>
    <row r="4" spans="1:9" x14ac:dyDescent="0.25">
      <c r="A4" s="69"/>
      <c r="B4" s="68"/>
      <c r="C4" s="68"/>
      <c r="D4" s="68"/>
      <c r="E4" s="68"/>
    </row>
    <row r="5" spans="1:9" x14ac:dyDescent="0.25">
      <c r="A5" s="68"/>
      <c r="B5" s="68"/>
      <c r="C5" s="68"/>
      <c r="D5" s="68"/>
      <c r="E5" s="68"/>
    </row>
    <row r="6" spans="1:9" x14ac:dyDescent="0.25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25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25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25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25">
      <c r="A10" s="18" t="s">
        <v>42</v>
      </c>
      <c r="B10" s="53">
        <v>831198.78999999992</v>
      </c>
      <c r="C10" s="57"/>
      <c r="D10" s="60">
        <f>SUM(B10:C10)</f>
        <v>831198.78999999992</v>
      </c>
      <c r="E10" s="18"/>
      <c r="F10" s="18" t="s">
        <v>78</v>
      </c>
      <c r="G10" s="53">
        <v>129840.01000000002</v>
      </c>
      <c r="H10" s="57"/>
      <c r="I10" s="60">
        <f>SUM(G10:H10)</f>
        <v>129840.01000000002</v>
      </c>
    </row>
    <row r="11" spans="1:9" x14ac:dyDescent="0.25">
      <c r="A11" s="18" t="s">
        <v>148</v>
      </c>
      <c r="B11" s="53">
        <v>0</v>
      </c>
      <c r="C11" s="57"/>
      <c r="D11" s="60">
        <f>SUM(B11:C11)</f>
        <v>0</v>
      </c>
      <c r="E11" s="18"/>
      <c r="F11" s="18" t="s">
        <v>81</v>
      </c>
      <c r="G11" s="53">
        <v>0</v>
      </c>
      <c r="H11" s="57"/>
      <c r="I11" s="60">
        <f t="shared" ref="I11:I19" si="0">SUM(G11:H11)</f>
        <v>0</v>
      </c>
    </row>
    <row r="12" spans="1:9" x14ac:dyDescent="0.25">
      <c r="A12" s="18" t="s">
        <v>43</v>
      </c>
      <c r="B12" s="23"/>
      <c r="C12" s="23"/>
      <c r="D12" s="17"/>
      <c r="E12" s="19"/>
      <c r="F12" s="18" t="s">
        <v>82</v>
      </c>
      <c r="G12" s="53">
        <v>11062.4</v>
      </c>
      <c r="H12" s="57"/>
      <c r="I12" s="60">
        <f t="shared" si="0"/>
        <v>11062.4</v>
      </c>
    </row>
    <row r="13" spans="1:9" x14ac:dyDescent="0.25">
      <c r="A13" s="18" t="s">
        <v>44</v>
      </c>
      <c r="B13" s="53">
        <v>0</v>
      </c>
      <c r="C13" s="57"/>
      <c r="D13" s="60">
        <f>SUM(B13:C13)</f>
        <v>0</v>
      </c>
      <c r="E13" s="18"/>
      <c r="F13" s="18" t="s">
        <v>83</v>
      </c>
      <c r="G13" s="53">
        <v>0</v>
      </c>
      <c r="H13" s="57"/>
      <c r="I13" s="60">
        <f t="shared" si="0"/>
        <v>0</v>
      </c>
    </row>
    <row r="14" spans="1:9" x14ac:dyDescent="0.25">
      <c r="A14" s="18" t="s">
        <v>47</v>
      </c>
      <c r="B14" s="53">
        <v>78315.19</v>
      </c>
      <c r="C14" s="57"/>
      <c r="D14" s="60">
        <f t="shared" ref="D14:D15" si="1">SUM(B14:C14)</f>
        <v>78315.19</v>
      </c>
      <c r="E14" s="18"/>
      <c r="F14" s="18" t="s">
        <v>84</v>
      </c>
      <c r="G14" s="53">
        <v>0</v>
      </c>
      <c r="H14" s="57"/>
      <c r="I14" s="60">
        <f t="shared" si="0"/>
        <v>0</v>
      </c>
    </row>
    <row r="15" spans="1:9" x14ac:dyDescent="0.25">
      <c r="A15" s="18" t="s">
        <v>45</v>
      </c>
      <c r="B15" s="53">
        <v>0</v>
      </c>
      <c r="C15" s="57"/>
      <c r="D15" s="60">
        <f t="shared" si="1"/>
        <v>0</v>
      </c>
      <c r="E15" s="18"/>
      <c r="F15" s="18" t="s">
        <v>85</v>
      </c>
      <c r="G15" s="53">
        <v>0</v>
      </c>
      <c r="H15" s="57"/>
      <c r="I15" s="60">
        <f t="shared" si="0"/>
        <v>0</v>
      </c>
    </row>
    <row r="16" spans="1:9" x14ac:dyDescent="0.25">
      <c r="A16" s="18" t="s">
        <v>46</v>
      </c>
      <c r="B16" s="23"/>
      <c r="C16" s="23"/>
      <c r="D16" s="17"/>
      <c r="E16" s="19"/>
      <c r="F16" s="18" t="s">
        <v>86</v>
      </c>
      <c r="G16" s="53">
        <v>0</v>
      </c>
      <c r="H16" s="57"/>
      <c r="I16" s="60">
        <f t="shared" si="0"/>
        <v>0</v>
      </c>
    </row>
    <row r="17" spans="1:9" x14ac:dyDescent="0.25">
      <c r="A17" s="18" t="s">
        <v>44</v>
      </c>
      <c r="B17" s="53">
        <v>49555.39</v>
      </c>
      <c r="C17" s="57"/>
      <c r="D17" s="60">
        <f>SUM(B17:C17)</f>
        <v>49555.39</v>
      </c>
      <c r="E17" s="19"/>
      <c r="F17" s="18" t="s">
        <v>87</v>
      </c>
      <c r="G17" s="53">
        <v>-1051.98</v>
      </c>
      <c r="H17" s="57"/>
      <c r="I17" s="60">
        <f t="shared" si="0"/>
        <v>-1051.98</v>
      </c>
    </row>
    <row r="18" spans="1:9" x14ac:dyDescent="0.25">
      <c r="A18" s="18" t="s">
        <v>47</v>
      </c>
      <c r="B18" s="53">
        <v>158643.32</v>
      </c>
      <c r="C18" s="57"/>
      <c r="D18" s="60">
        <f t="shared" ref="D18:D24" si="2">SUM(B18:C18)</f>
        <v>158643.32</v>
      </c>
      <c r="E18" s="18"/>
      <c r="F18" s="18" t="s">
        <v>88</v>
      </c>
      <c r="G18" s="53">
        <v>7462.0300000000007</v>
      </c>
      <c r="H18" s="57"/>
      <c r="I18" s="60">
        <f t="shared" si="0"/>
        <v>7462.0300000000007</v>
      </c>
    </row>
    <row r="19" spans="1:9" x14ac:dyDescent="0.25">
      <c r="A19" s="18" t="s">
        <v>45</v>
      </c>
      <c r="B19" s="53">
        <v>0</v>
      </c>
      <c r="C19" s="57"/>
      <c r="D19" s="60">
        <f t="shared" si="2"/>
        <v>0</v>
      </c>
      <c r="E19" s="18"/>
      <c r="F19" s="18" t="s">
        <v>89</v>
      </c>
      <c r="G19" s="54">
        <v>6536.3200000000006</v>
      </c>
      <c r="H19" s="67"/>
      <c r="I19" s="61">
        <f t="shared" si="0"/>
        <v>6536.3200000000006</v>
      </c>
    </row>
    <row r="20" spans="1:9" x14ac:dyDescent="0.25">
      <c r="A20" s="18" t="s">
        <v>48</v>
      </c>
      <c r="B20" s="53">
        <v>118.1</v>
      </c>
      <c r="C20" s="57"/>
      <c r="D20" s="60">
        <f t="shared" si="2"/>
        <v>118.1</v>
      </c>
      <c r="E20" s="18"/>
      <c r="F20" s="18" t="s">
        <v>120</v>
      </c>
      <c r="G20" s="60">
        <f>SUM(G10:G19)</f>
        <v>153848.78000000003</v>
      </c>
      <c r="H20" s="60">
        <f>SUM(H10:H19)</f>
        <v>0</v>
      </c>
      <c r="I20" s="60">
        <f t="shared" ref="I20" si="3">SUM(I10:I19)</f>
        <v>153848.78000000003</v>
      </c>
    </row>
    <row r="21" spans="1:9" x14ac:dyDescent="0.25">
      <c r="A21" s="18" t="s">
        <v>49</v>
      </c>
      <c r="B21" s="53">
        <v>10455.61</v>
      </c>
      <c r="C21" s="55"/>
      <c r="D21" s="60">
        <f t="shared" si="2"/>
        <v>10455.61</v>
      </c>
      <c r="E21" s="18"/>
      <c r="F21" s="22" t="s">
        <v>91</v>
      </c>
      <c r="G21" s="14"/>
      <c r="H21" s="18"/>
      <c r="I21" s="15"/>
    </row>
    <row r="22" spans="1:9" x14ac:dyDescent="0.25">
      <c r="A22" s="18" t="s">
        <v>50</v>
      </c>
      <c r="B22" s="53">
        <v>0</v>
      </c>
      <c r="C22" s="57"/>
      <c r="D22" s="60">
        <f t="shared" si="2"/>
        <v>0</v>
      </c>
      <c r="E22" s="18"/>
      <c r="F22" s="18" t="s">
        <v>92</v>
      </c>
      <c r="G22" s="53">
        <v>0</v>
      </c>
      <c r="H22" s="57"/>
      <c r="I22" s="60">
        <f>SUM(G22:H22)</f>
        <v>0</v>
      </c>
    </row>
    <row r="23" spans="1:9" x14ac:dyDescent="0.25">
      <c r="A23" s="18" t="s">
        <v>51</v>
      </c>
      <c r="B23" s="53">
        <v>1920.64</v>
      </c>
      <c r="C23" s="57"/>
      <c r="D23" s="60">
        <f t="shared" si="2"/>
        <v>1920.64</v>
      </c>
      <c r="E23" s="18"/>
      <c r="F23" s="18" t="s">
        <v>93</v>
      </c>
      <c r="G23" s="53">
        <v>0</v>
      </c>
      <c r="H23" s="57"/>
      <c r="I23" s="60">
        <f t="shared" ref="I23:I31" si="4">SUM(G23:H23)</f>
        <v>0</v>
      </c>
    </row>
    <row r="24" spans="1:9" x14ac:dyDescent="0.25">
      <c r="A24" s="18" t="s">
        <v>52</v>
      </c>
      <c r="B24" s="54">
        <v>0</v>
      </c>
      <c r="C24" s="67"/>
      <c r="D24" s="61">
        <f t="shared" si="2"/>
        <v>0</v>
      </c>
      <c r="E24" s="18"/>
      <c r="F24" s="18" t="s">
        <v>94</v>
      </c>
      <c r="G24" s="53">
        <v>0</v>
      </c>
      <c r="H24" s="57"/>
      <c r="I24" s="60">
        <f t="shared" si="4"/>
        <v>0</v>
      </c>
    </row>
    <row r="25" spans="1:9" x14ac:dyDescent="0.25">
      <c r="A25" s="18" t="s">
        <v>41</v>
      </c>
      <c r="B25" s="60">
        <f>B10+B11+B13+B14+B15+B17+B18+B19+B20+B21+B22+B23+B24</f>
        <v>1130207.04</v>
      </c>
      <c r="C25" s="60">
        <f>C10+C11+C13+C14+C15+C17+C18+C19+C20+C21+C22+C23+C24</f>
        <v>0</v>
      </c>
      <c r="D25" s="60">
        <f t="shared" ref="D25" si="5">D10+D11+D13+D14+D15+D17+D18+D19+D20+D21+D22+D23+D24</f>
        <v>1130207.04</v>
      </c>
      <c r="E25" s="18"/>
      <c r="F25" s="18" t="s">
        <v>95</v>
      </c>
      <c r="G25" s="53">
        <v>0</v>
      </c>
      <c r="H25" s="57"/>
      <c r="I25" s="60">
        <f t="shared" si="4"/>
        <v>0</v>
      </c>
    </row>
    <row r="26" spans="1:9" x14ac:dyDescent="0.25">
      <c r="A26" s="18"/>
      <c r="B26" s="31"/>
      <c r="C26" s="18"/>
      <c r="D26" s="15"/>
      <c r="E26" s="18"/>
      <c r="F26" s="18" t="s">
        <v>96</v>
      </c>
      <c r="G26" s="53">
        <v>0</v>
      </c>
      <c r="H26" s="57"/>
      <c r="I26" s="60">
        <f t="shared" si="4"/>
        <v>0</v>
      </c>
    </row>
    <row r="27" spans="1:9" x14ac:dyDescent="0.25">
      <c r="A27" s="22" t="s">
        <v>54</v>
      </c>
      <c r="B27" s="31"/>
      <c r="C27" s="19"/>
      <c r="D27" s="15"/>
      <c r="E27" s="18"/>
      <c r="F27" s="18" t="s">
        <v>97</v>
      </c>
      <c r="G27" s="53">
        <v>0</v>
      </c>
      <c r="H27" s="57"/>
      <c r="I27" s="60">
        <f t="shared" si="4"/>
        <v>0</v>
      </c>
    </row>
    <row r="28" spans="1:9" x14ac:dyDescent="0.25">
      <c r="A28" s="18" t="s">
        <v>59</v>
      </c>
      <c r="B28" s="32"/>
      <c r="C28" s="23"/>
      <c r="D28" s="17"/>
      <c r="E28" s="19"/>
      <c r="F28" s="18" t="s">
        <v>149</v>
      </c>
      <c r="G28" s="53">
        <v>0</v>
      </c>
      <c r="H28" s="57"/>
      <c r="I28" s="60">
        <f t="shared" si="4"/>
        <v>0</v>
      </c>
    </row>
    <row r="29" spans="1:9" x14ac:dyDescent="0.25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>
        <v>0</v>
      </c>
      <c r="H29" s="57"/>
      <c r="I29" s="60">
        <f t="shared" si="4"/>
        <v>0</v>
      </c>
    </row>
    <row r="30" spans="1:9" x14ac:dyDescent="0.25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>
        <v>0</v>
      </c>
      <c r="H30" s="57"/>
      <c r="I30" s="60">
        <f t="shared" si="4"/>
        <v>0</v>
      </c>
    </row>
    <row r="31" spans="1:9" x14ac:dyDescent="0.25">
      <c r="A31" s="18" t="s">
        <v>60</v>
      </c>
      <c r="B31" s="32"/>
      <c r="C31" s="23"/>
      <c r="D31" s="17"/>
      <c r="E31" s="19"/>
      <c r="F31" s="18" t="s">
        <v>100</v>
      </c>
      <c r="G31" s="54">
        <v>0</v>
      </c>
      <c r="H31" s="67"/>
      <c r="I31" s="61">
        <f t="shared" si="4"/>
        <v>0</v>
      </c>
    </row>
    <row r="32" spans="1:9" x14ac:dyDescent="0.25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0</v>
      </c>
      <c r="H32" s="60">
        <f>SUM(H22:H31)</f>
        <v>0</v>
      </c>
      <c r="I32" s="60">
        <f t="shared" ref="I32" si="6">SUM(I22:I31)</f>
        <v>0</v>
      </c>
    </row>
    <row r="33" spans="1:11" x14ac:dyDescent="0.25">
      <c r="A33" s="18" t="s">
        <v>58</v>
      </c>
      <c r="B33" s="53">
        <v>0</v>
      </c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25">
      <c r="A34" s="18" t="s">
        <v>180</v>
      </c>
      <c r="B34" s="53">
        <v>0</v>
      </c>
      <c r="C34" s="72">
        <f>-1*(C25+C29+C30+C32+C33+C35+C36+C37+C46)</f>
        <v>6928</v>
      </c>
      <c r="D34" s="60">
        <f t="shared" si="7"/>
        <v>6928</v>
      </c>
      <c r="E34" s="18"/>
      <c r="F34" s="18" t="s">
        <v>103</v>
      </c>
      <c r="G34" s="53">
        <v>-85670.290000000008</v>
      </c>
      <c r="H34" s="57"/>
      <c r="I34" s="60">
        <f>SUM(G34:H34)</f>
        <v>-85670.290000000008</v>
      </c>
    </row>
    <row r="35" spans="1:11" x14ac:dyDescent="0.25">
      <c r="A35" s="18" t="s">
        <v>62</v>
      </c>
      <c r="B35" s="53">
        <v>25234.63</v>
      </c>
      <c r="C35" s="57"/>
      <c r="D35" s="60">
        <f t="shared" si="7"/>
        <v>25234.63</v>
      </c>
      <c r="E35" s="18"/>
      <c r="F35" s="18" t="s">
        <v>151</v>
      </c>
      <c r="G35" s="53">
        <v>132806.43999999997</v>
      </c>
      <c r="H35" s="53">
        <v>-1061</v>
      </c>
      <c r="I35" s="60">
        <f t="shared" ref="I35:I36" si="8">SUM(G35:H35)</f>
        <v>131745.43999999997</v>
      </c>
    </row>
    <row r="36" spans="1:11" x14ac:dyDescent="0.25">
      <c r="A36" s="18" t="s">
        <v>63</v>
      </c>
      <c r="B36" s="53">
        <v>87.3</v>
      </c>
      <c r="C36" s="57"/>
      <c r="D36" s="60">
        <f t="shared" si="7"/>
        <v>87.3</v>
      </c>
      <c r="E36" s="18"/>
      <c r="F36" s="18" t="s">
        <v>104</v>
      </c>
      <c r="G36" s="54">
        <v>292.45999999999998</v>
      </c>
      <c r="H36" s="67"/>
      <c r="I36" s="61">
        <f t="shared" si="8"/>
        <v>292.45999999999998</v>
      </c>
    </row>
    <row r="37" spans="1:11" x14ac:dyDescent="0.25">
      <c r="A37" s="18" t="s">
        <v>64</v>
      </c>
      <c r="B37" s="54">
        <v>0</v>
      </c>
      <c r="C37" s="67"/>
      <c r="D37" s="61">
        <f t="shared" si="7"/>
        <v>0</v>
      </c>
      <c r="E37" s="18"/>
      <c r="F37" s="18" t="s">
        <v>105</v>
      </c>
      <c r="G37" s="60">
        <f>SUM(G34:G36)</f>
        <v>47428.609999999964</v>
      </c>
      <c r="H37" s="60">
        <f t="shared" ref="H37:I37" si="9">SUM(H34:H36)</f>
        <v>-1061</v>
      </c>
      <c r="I37" s="60">
        <f t="shared" si="9"/>
        <v>46367.609999999964</v>
      </c>
    </row>
    <row r="38" spans="1:11" x14ac:dyDescent="0.25">
      <c r="A38" s="18" t="s">
        <v>65</v>
      </c>
      <c r="B38" s="60">
        <f>B29+B30+B32+B33+B34+B35+B36+B37</f>
        <v>25321.93</v>
      </c>
      <c r="C38" s="60">
        <f>C29+C30+C32+C33+C34+C35+C36+C37</f>
        <v>6928</v>
      </c>
      <c r="D38" s="60">
        <f t="shared" ref="D38" si="10">D29+D30+D32+D33+D34+D35+D36+D37</f>
        <v>32249.93</v>
      </c>
      <c r="E38" s="18"/>
      <c r="F38" s="22" t="s">
        <v>106</v>
      </c>
      <c r="G38" s="14"/>
      <c r="H38" s="18"/>
      <c r="I38" s="15"/>
    </row>
    <row r="39" spans="1:11" x14ac:dyDescent="0.25">
      <c r="A39" s="18"/>
      <c r="B39" s="18"/>
      <c r="C39" s="18"/>
      <c r="D39" s="15"/>
      <c r="E39" s="18"/>
      <c r="F39" s="18" t="s">
        <v>107</v>
      </c>
      <c r="G39" s="53">
        <v>25754.080000000002</v>
      </c>
      <c r="H39" s="23"/>
      <c r="I39" s="60">
        <f>SUM(G39:H39)</f>
        <v>25754.080000000002</v>
      </c>
    </row>
    <row r="40" spans="1:11" x14ac:dyDescent="0.25">
      <c r="A40" s="22" t="s">
        <v>66</v>
      </c>
      <c r="B40" s="18"/>
      <c r="C40" s="18"/>
      <c r="D40" s="15"/>
      <c r="E40" s="18"/>
      <c r="F40" s="18" t="s">
        <v>108</v>
      </c>
      <c r="G40" s="53">
        <v>316705.14</v>
      </c>
      <c r="H40" s="23"/>
      <c r="I40" s="60">
        <f t="shared" ref="I40:I45" si="11">SUM(G40:H40)</f>
        <v>316705.14</v>
      </c>
    </row>
    <row r="41" spans="1:11" x14ac:dyDescent="0.25">
      <c r="A41" s="18" t="s">
        <v>190</v>
      </c>
      <c r="B41" s="53">
        <v>8194664.6999999993</v>
      </c>
      <c r="C41" s="53">
        <v>-17779</v>
      </c>
      <c r="D41" s="60">
        <f>SUM(B41:C41)</f>
        <v>8176885.6999999993</v>
      </c>
      <c r="E41" s="18"/>
      <c r="F41" s="18" t="s">
        <v>109</v>
      </c>
      <c r="G41" s="53">
        <v>0</v>
      </c>
      <c r="H41" s="23"/>
      <c r="I41" s="60">
        <f t="shared" si="11"/>
        <v>0</v>
      </c>
    </row>
    <row r="42" spans="1:11" x14ac:dyDescent="0.25">
      <c r="A42" s="18" t="s">
        <v>68</v>
      </c>
      <c r="B42" s="53">
        <v>0</v>
      </c>
      <c r="C42" s="53"/>
      <c r="D42" s="60">
        <f t="shared" ref="D42:D45" si="12">SUM(B42:C42)</f>
        <v>0</v>
      </c>
      <c r="E42" s="18"/>
      <c r="F42" s="18" t="s">
        <v>110</v>
      </c>
      <c r="G42" s="53">
        <v>0</v>
      </c>
      <c r="H42" s="23"/>
      <c r="I42" s="60">
        <f t="shared" si="11"/>
        <v>0</v>
      </c>
    </row>
    <row r="43" spans="1:11" x14ac:dyDescent="0.25">
      <c r="A43" s="18" t="s">
        <v>69</v>
      </c>
      <c r="B43" s="53">
        <v>484.70999999999185</v>
      </c>
      <c r="C43" s="53"/>
      <c r="D43" s="60">
        <f t="shared" si="12"/>
        <v>484.70999999999185</v>
      </c>
      <c r="E43" s="18"/>
      <c r="F43" s="18" t="s">
        <v>111</v>
      </c>
      <c r="G43" s="53">
        <v>38649.050000000003</v>
      </c>
      <c r="H43" s="23"/>
      <c r="I43" s="60">
        <f t="shared" si="11"/>
        <v>38649.050000000003</v>
      </c>
      <c r="K43" s="68"/>
    </row>
    <row r="44" spans="1:11" x14ac:dyDescent="0.25">
      <c r="A44" s="18" t="s">
        <v>70</v>
      </c>
      <c r="B44" s="53">
        <v>0</v>
      </c>
      <c r="C44" s="53"/>
      <c r="D44" s="60">
        <f t="shared" si="12"/>
        <v>0</v>
      </c>
      <c r="E44" s="18"/>
      <c r="F44" s="18" t="s">
        <v>112</v>
      </c>
      <c r="G44" s="53">
        <v>0</v>
      </c>
      <c r="H44" s="23"/>
      <c r="I44" s="60">
        <f t="shared" si="11"/>
        <v>0</v>
      </c>
    </row>
    <row r="45" spans="1:11" x14ac:dyDescent="0.25">
      <c r="A45" s="18" t="s">
        <v>121</v>
      </c>
      <c r="B45" s="54">
        <v>-6913586.79</v>
      </c>
      <c r="C45" s="54">
        <v>10851</v>
      </c>
      <c r="D45" s="61">
        <f t="shared" si="12"/>
        <v>-6902735.79</v>
      </c>
      <c r="E45" s="18"/>
      <c r="F45" s="18" t="s">
        <v>181</v>
      </c>
      <c r="G45" s="54">
        <v>1854705.9300000037</v>
      </c>
      <c r="H45" s="106">
        <f>-1*(H20+H32+H37)</f>
        <v>1061</v>
      </c>
      <c r="I45" s="61">
        <f t="shared" si="11"/>
        <v>1855766.9300000037</v>
      </c>
    </row>
    <row r="46" spans="1:11" x14ac:dyDescent="0.25">
      <c r="A46" s="18" t="s">
        <v>71</v>
      </c>
      <c r="B46" s="60">
        <f>B41+B42+B43+B44+B45</f>
        <v>1281562.6199999992</v>
      </c>
      <c r="C46" s="60">
        <f t="shared" ref="C46:D46" si="13">C41+C42+C43+C44+C45</f>
        <v>-6928</v>
      </c>
      <c r="D46" s="60">
        <f t="shared" si="13"/>
        <v>1274634.6199999992</v>
      </c>
      <c r="E46" s="18"/>
      <c r="F46" s="18" t="s">
        <v>114</v>
      </c>
      <c r="G46" s="60">
        <f>SUM(G39:G45)</f>
        <v>2235814.2000000039</v>
      </c>
      <c r="H46" s="63">
        <f t="shared" ref="H46:I46" si="14">SUM(H39:H45)</f>
        <v>1061</v>
      </c>
      <c r="I46" s="60">
        <f t="shared" si="14"/>
        <v>2236875.2000000039</v>
      </c>
    </row>
    <row r="47" spans="1:11" x14ac:dyDescent="0.25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.75" thickBot="1" x14ac:dyDescent="0.3">
      <c r="A48" s="22" t="s">
        <v>247</v>
      </c>
      <c r="B48" s="62">
        <f>B25+B38+B46</f>
        <v>2437091.5899999989</v>
      </c>
      <c r="C48" s="62">
        <f t="shared" ref="C48:D48" si="15">C25+C38+C46</f>
        <v>0</v>
      </c>
      <c r="D48" s="62">
        <f t="shared" si="15"/>
        <v>2437091.5899999989</v>
      </c>
      <c r="E48" s="18"/>
      <c r="F48" s="22" t="s">
        <v>115</v>
      </c>
      <c r="G48" s="62">
        <f>G20+G32+G37+G46</f>
        <v>2437091.590000004</v>
      </c>
      <c r="H48" s="62">
        <f t="shared" ref="H48:I48" si="16">H20+H32+H37+H46</f>
        <v>0</v>
      </c>
      <c r="I48" s="62">
        <f t="shared" si="16"/>
        <v>2437091.590000004</v>
      </c>
    </row>
    <row r="49" spans="1:9" ht="15.75" thickTop="1" x14ac:dyDescent="0.25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25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25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25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25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25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25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25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25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25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25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25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25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G60"/>
  <sheetViews>
    <sheetView zoomScaleNormal="100" workbookViewId="0"/>
  </sheetViews>
  <sheetFormatPr defaultRowHeight="15" x14ac:dyDescent="0.25"/>
  <cols>
    <col min="1" max="1" width="35.7109375" customWidth="1"/>
    <col min="2" max="3" width="13.85546875" customWidth="1"/>
    <col min="4" max="4" width="5.85546875" customWidth="1"/>
    <col min="5" max="5" width="45" bestFit="1" customWidth="1"/>
    <col min="6" max="7" width="13.85546875" customWidth="1"/>
  </cols>
  <sheetData>
    <row r="2" spans="1:7" x14ac:dyDescent="0.25">
      <c r="A2" t="s">
        <v>191</v>
      </c>
    </row>
    <row r="3" spans="1:7" x14ac:dyDescent="0.25">
      <c r="A3" s="59" t="s">
        <v>268</v>
      </c>
      <c r="B3" s="68"/>
      <c r="C3" s="68"/>
      <c r="D3" s="68"/>
      <c r="E3" s="68"/>
      <c r="F3" s="68"/>
      <c r="G3" s="68"/>
    </row>
    <row r="4" spans="1:7" x14ac:dyDescent="0.25">
      <c r="A4" s="69"/>
      <c r="B4" s="68"/>
      <c r="C4" s="68"/>
      <c r="D4" s="68"/>
      <c r="E4" s="68"/>
      <c r="F4" s="68"/>
      <c r="G4" s="68"/>
    </row>
    <row r="5" spans="1:7" x14ac:dyDescent="0.25">
      <c r="A5" s="68"/>
      <c r="B5" s="68"/>
      <c r="C5" s="68"/>
      <c r="D5" s="68"/>
    </row>
    <row r="6" spans="1:7" x14ac:dyDescent="0.25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25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25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25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25">
      <c r="A10" s="18" t="s">
        <v>42</v>
      </c>
      <c r="B10" s="33">
        <f>PriorYearBalanceSheet!D10</f>
        <v>792876.27</v>
      </c>
      <c r="C10" s="33">
        <f>'CurrentYearBalanceSheet '!D10</f>
        <v>831198.78999999992</v>
      </c>
      <c r="D10" s="18"/>
      <c r="E10" s="18" t="s">
        <v>78</v>
      </c>
      <c r="F10" s="33">
        <f>PriorYearBalanceSheet!I10</f>
        <v>188124.97</v>
      </c>
      <c r="G10" s="33">
        <f>'CurrentYearBalanceSheet '!I10</f>
        <v>129840.01000000002</v>
      </c>
    </row>
    <row r="11" spans="1:7" x14ac:dyDescent="0.25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25">
      <c r="A12" s="18" t="s">
        <v>43</v>
      </c>
      <c r="B12" s="23"/>
      <c r="C12" s="23"/>
      <c r="D12" s="19"/>
      <c r="E12" s="18" t="s">
        <v>82</v>
      </c>
      <c r="F12" s="33">
        <f>PriorYearBalanceSheet!I12</f>
        <v>11048.98</v>
      </c>
      <c r="G12" s="33">
        <f>'CurrentYearBalanceSheet '!I12</f>
        <v>11062.4</v>
      </c>
    </row>
    <row r="13" spans="1:7" x14ac:dyDescent="0.25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25">
      <c r="A14" s="18" t="s">
        <v>47</v>
      </c>
      <c r="B14" s="33">
        <f>PriorYearBalanceSheet!D14</f>
        <v>42986.19</v>
      </c>
      <c r="C14" s="33">
        <f>'CurrentYearBalanceSheet '!D14</f>
        <v>78315.19</v>
      </c>
      <c r="D14" s="18"/>
      <c r="E14" s="18" t="s">
        <v>84</v>
      </c>
      <c r="F14" s="33">
        <f>PriorYearBalanceSheet!I14</f>
        <v>0</v>
      </c>
      <c r="G14" s="33">
        <f>'CurrentYearBalanceSheet '!I14</f>
        <v>0</v>
      </c>
    </row>
    <row r="15" spans="1:7" x14ac:dyDescent="0.25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25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25">
      <c r="A17" s="18" t="s">
        <v>44</v>
      </c>
      <c r="B17" s="33">
        <f>PriorYearBalanceSheet!D17</f>
        <v>51597.87000000001</v>
      </c>
      <c r="C17" s="33">
        <f>'CurrentYearBalanceSheet '!D17</f>
        <v>49555.39</v>
      </c>
      <c r="D17" s="18"/>
      <c r="E17" s="18" t="s">
        <v>87</v>
      </c>
      <c r="F17" s="33">
        <f>PriorYearBalanceSheet!I17</f>
        <v>-1468.05</v>
      </c>
      <c r="G17" s="33">
        <f>'CurrentYearBalanceSheet '!I17</f>
        <v>-1051.98</v>
      </c>
    </row>
    <row r="18" spans="1:7" x14ac:dyDescent="0.25">
      <c r="A18" s="18" t="s">
        <v>47</v>
      </c>
      <c r="B18" s="33">
        <f>PriorYearBalanceSheet!D18</f>
        <v>95184.799999999988</v>
      </c>
      <c r="C18" s="33">
        <f>'CurrentYearBalanceSheet '!D18</f>
        <v>158643.32</v>
      </c>
      <c r="D18" s="18"/>
      <c r="E18" s="18" t="s">
        <v>88</v>
      </c>
      <c r="F18" s="33">
        <f>PriorYearBalanceSheet!I18</f>
        <v>8013.4699999999993</v>
      </c>
      <c r="G18" s="33">
        <f>'CurrentYearBalanceSheet '!I18</f>
        <v>7462.0300000000007</v>
      </c>
    </row>
    <row r="19" spans="1:7" x14ac:dyDescent="0.25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4949.2299999999996</v>
      </c>
      <c r="G19" s="33">
        <f>'CurrentYearBalanceSheet '!I19</f>
        <v>6536.3200000000006</v>
      </c>
    </row>
    <row r="20" spans="1:7" x14ac:dyDescent="0.25">
      <c r="A20" s="18" t="s">
        <v>48</v>
      </c>
      <c r="B20" s="33">
        <f>PriorYearBalanceSheet!D20</f>
        <v>127.24</v>
      </c>
      <c r="C20" s="33">
        <f>'CurrentYearBalanceSheet '!D20</f>
        <v>118.1</v>
      </c>
      <c r="D20" s="18"/>
      <c r="E20" s="18" t="s">
        <v>90</v>
      </c>
      <c r="F20" s="37">
        <f>SUM(F10:F19)</f>
        <v>210668.60000000003</v>
      </c>
      <c r="G20" s="36">
        <f>SUM(G10:G19)</f>
        <v>153848.78000000003</v>
      </c>
    </row>
    <row r="21" spans="1:7" x14ac:dyDescent="0.25">
      <c r="A21" s="18" t="s">
        <v>49</v>
      </c>
      <c r="B21" s="33">
        <f>PriorYearBalanceSheet!D21</f>
        <v>12496.88</v>
      </c>
      <c r="C21" s="33">
        <f>'CurrentYearBalanceSheet '!D21</f>
        <v>10455.61</v>
      </c>
      <c r="D21" s="18"/>
      <c r="E21" s="22" t="s">
        <v>91</v>
      </c>
      <c r="F21" s="18"/>
      <c r="G21" s="15"/>
    </row>
    <row r="22" spans="1:7" x14ac:dyDescent="0.25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25">
      <c r="A23" s="18" t="s">
        <v>51</v>
      </c>
      <c r="B23" s="33">
        <f>PriorYearBalanceSheet!D23</f>
        <v>1924.75</v>
      </c>
      <c r="C23" s="33">
        <f>'CurrentYearBalanceSheet '!D23</f>
        <v>1920.64</v>
      </c>
      <c r="D23" s="18"/>
      <c r="E23" s="18" t="s">
        <v>93</v>
      </c>
      <c r="F23" s="33">
        <f>PriorYearBalanceSheet!I23</f>
        <v>0</v>
      </c>
      <c r="G23" s="33">
        <f>'CurrentYearBalanceSheet '!I23</f>
        <v>0</v>
      </c>
    </row>
    <row r="24" spans="1:7" x14ac:dyDescent="0.25">
      <c r="A24" s="18" t="s">
        <v>52</v>
      </c>
      <c r="B24" s="34">
        <f>PriorYearBalanceSheet!D24</f>
        <v>0</v>
      </c>
      <c r="C24" s="34">
        <f>'CurrentYearBalanceSheet '!D24</f>
        <v>0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25">
      <c r="A25" s="18" t="s">
        <v>41</v>
      </c>
      <c r="B25" s="33">
        <f>B10+B11+B13+B14+B15+B17+B18+B19+B20+B21+B22+B23+B24</f>
        <v>997193.99999999988</v>
      </c>
      <c r="C25" s="33">
        <f>C10+C11+C13+C14+C15+C17+C18+C19+C20+C21+C22+C23+C24</f>
        <v>1130207.04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25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25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25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25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25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0</v>
      </c>
    </row>
    <row r="31" spans="1:7" x14ac:dyDescent="0.25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25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0</v>
      </c>
      <c r="G32" s="33">
        <f>SUM(G22:G31)</f>
        <v>0</v>
      </c>
    </row>
    <row r="33" spans="1:7" x14ac:dyDescent="0.25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25">
      <c r="A34" s="18" t="s">
        <v>61</v>
      </c>
      <c r="B34" s="33">
        <f>PriorYearBalanceSheet!D34</f>
        <v>7908</v>
      </c>
      <c r="C34" s="33">
        <f>'CurrentYearBalanceSheet '!D34</f>
        <v>6928</v>
      </c>
      <c r="D34" s="18"/>
      <c r="E34" s="18" t="s">
        <v>103</v>
      </c>
      <c r="F34" s="33">
        <f>PriorYearBalanceSheet!I34</f>
        <v>-70891.240000000005</v>
      </c>
      <c r="G34" s="33">
        <f>'CurrentYearBalanceSheet '!I34</f>
        <v>-85670.290000000008</v>
      </c>
    </row>
    <row r="35" spans="1:7" x14ac:dyDescent="0.25">
      <c r="A35" s="18" t="s">
        <v>62</v>
      </c>
      <c r="B35" s="33">
        <f>PriorYearBalanceSheet!D35</f>
        <v>26675.309999999998</v>
      </c>
      <c r="C35" s="33">
        <f>'CurrentYearBalanceSheet '!D35</f>
        <v>25234.63</v>
      </c>
      <c r="D35" s="18"/>
      <c r="E35" s="18" t="s">
        <v>222</v>
      </c>
      <c r="F35" s="33">
        <f>PriorYearBalanceSheet!I35</f>
        <v>153956.01999999999</v>
      </c>
      <c r="G35" s="33">
        <f>'CurrentYearBalanceSheet '!I35</f>
        <v>131745.43999999997</v>
      </c>
    </row>
    <row r="36" spans="1:7" x14ac:dyDescent="0.25">
      <c r="A36" s="18" t="s">
        <v>63</v>
      </c>
      <c r="B36" s="33">
        <f>PriorYearBalanceSheet!D36</f>
        <v>87.49</v>
      </c>
      <c r="C36" s="33">
        <f>'CurrentYearBalanceSheet '!D36</f>
        <v>87.3</v>
      </c>
      <c r="D36" s="18"/>
      <c r="E36" s="18" t="s">
        <v>104</v>
      </c>
      <c r="F36" s="34">
        <f>PriorYearBalanceSheet!I36</f>
        <v>448.82</v>
      </c>
      <c r="G36" s="34">
        <f>'CurrentYearBalanceSheet '!I36</f>
        <v>292.45999999999998</v>
      </c>
    </row>
    <row r="37" spans="1:7" x14ac:dyDescent="0.25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83513.599999999991</v>
      </c>
      <c r="G37" s="33">
        <f>SUM(G34:G36)</f>
        <v>46367.609999999964</v>
      </c>
    </row>
    <row r="38" spans="1:7" x14ac:dyDescent="0.25">
      <c r="A38" s="18" t="s">
        <v>65</v>
      </c>
      <c r="B38" s="33">
        <f>B29+B30+B32+B33+B34+B35+B36+B37</f>
        <v>34670.799999999996</v>
      </c>
      <c r="C38" s="33">
        <f>C29+C30+C32+C33+C34+C35+C36+C37</f>
        <v>32249.93</v>
      </c>
      <c r="D38" s="18"/>
      <c r="E38" s="22" t="s">
        <v>106</v>
      </c>
      <c r="F38" s="18"/>
      <c r="G38" s="15"/>
    </row>
    <row r="39" spans="1:7" x14ac:dyDescent="0.25">
      <c r="A39" s="18"/>
      <c r="B39" s="18"/>
      <c r="C39" s="18"/>
      <c r="D39" s="18"/>
      <c r="E39" s="18" t="s">
        <v>107</v>
      </c>
      <c r="F39" s="33">
        <f>PriorYearBalanceSheet!I39</f>
        <v>25809.17</v>
      </c>
      <c r="G39" s="33">
        <f>'CurrentYearBalanceSheet '!I39</f>
        <v>25754.080000000002</v>
      </c>
    </row>
    <row r="40" spans="1:7" x14ac:dyDescent="0.25">
      <c r="A40" s="22" t="s">
        <v>66</v>
      </c>
      <c r="B40" s="18"/>
      <c r="C40" s="18"/>
      <c r="D40" s="18"/>
      <c r="E40" s="18" t="s">
        <v>108</v>
      </c>
      <c r="F40" s="33">
        <f>PriorYearBalanceSheet!I40</f>
        <v>317382.58</v>
      </c>
      <c r="G40" s="33">
        <f>'CurrentYearBalanceSheet '!I40</f>
        <v>316705.14</v>
      </c>
    </row>
    <row r="41" spans="1:7" x14ac:dyDescent="0.25">
      <c r="A41" s="18" t="s">
        <v>67</v>
      </c>
      <c r="B41" s="33">
        <f>PriorYearBalanceSheet!D41</f>
        <v>8072751.8300000001</v>
      </c>
      <c r="C41" s="33">
        <f>'CurrentYearBalanceSheet '!D41</f>
        <v>8176885.6999999993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25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25">
      <c r="A43" s="18" t="s">
        <v>69</v>
      </c>
      <c r="B43" s="33">
        <f>PriorYearBalanceSheet!D43</f>
        <v>115375.36999999997</v>
      </c>
      <c r="C43" s="33">
        <f>'CurrentYearBalanceSheet '!D43</f>
        <v>484.70999999999185</v>
      </c>
      <c r="D43" s="18"/>
      <c r="E43" s="18" t="s">
        <v>111</v>
      </c>
      <c r="F43" s="33">
        <f>PriorYearBalanceSheet!I43</f>
        <v>33064.44</v>
      </c>
      <c r="G43" s="33">
        <f>'CurrentYearBalanceSheet '!I43</f>
        <v>38649.050000000003</v>
      </c>
    </row>
    <row r="44" spans="1:7" x14ac:dyDescent="0.25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25">
      <c r="A45" s="18" t="s">
        <v>126</v>
      </c>
      <c r="B45" s="34">
        <f>PriorYearBalanceSheet!D45</f>
        <v>-6591494.5499999998</v>
      </c>
      <c r="C45" s="34">
        <f>'CurrentYearBalanceSheet '!D45</f>
        <v>-6902735.79</v>
      </c>
      <c r="D45" s="18"/>
      <c r="E45" s="18" t="s">
        <v>113</v>
      </c>
      <c r="F45" s="34">
        <f>PriorYearBalanceSheet!I45</f>
        <v>1958058.6200000003</v>
      </c>
      <c r="G45" s="34">
        <f>'CurrentYearBalanceSheet '!I45</f>
        <v>1855766.9300000037</v>
      </c>
    </row>
    <row r="46" spans="1:7" x14ac:dyDescent="0.25">
      <c r="A46" s="18" t="s">
        <v>71</v>
      </c>
      <c r="B46" s="33">
        <f>SUM(B41:B45)</f>
        <v>1596632.6500000004</v>
      </c>
      <c r="C46" s="33">
        <f>SUM(C41:C45)</f>
        <v>1274634.6199999992</v>
      </c>
      <c r="D46" s="18"/>
      <c r="E46" s="18" t="s">
        <v>114</v>
      </c>
      <c r="F46" s="33">
        <f>SUM(F39:F45)</f>
        <v>2334314.8100000005</v>
      </c>
      <c r="G46" s="33">
        <f>SUM(G39:G45)</f>
        <v>2236875.2000000039</v>
      </c>
    </row>
    <row r="47" spans="1:7" x14ac:dyDescent="0.25">
      <c r="A47" s="18"/>
      <c r="B47" s="18"/>
      <c r="C47" s="18"/>
      <c r="D47" s="18"/>
      <c r="E47" s="18"/>
      <c r="F47" s="18"/>
      <c r="G47" s="15"/>
    </row>
    <row r="48" spans="1:7" ht="15.75" thickBot="1" x14ac:dyDescent="0.3">
      <c r="A48" s="22" t="s">
        <v>247</v>
      </c>
      <c r="B48" s="35">
        <f>B25+B38+B46</f>
        <v>2628497.4500000002</v>
      </c>
      <c r="C48" s="35">
        <f>C25+C38+C46</f>
        <v>2437091.5899999989</v>
      </c>
      <c r="D48" s="18"/>
      <c r="E48" s="22" t="s">
        <v>115</v>
      </c>
      <c r="F48" s="35">
        <f>F20+F32+F37+F46</f>
        <v>2628497.0100000007</v>
      </c>
      <c r="G48" s="35">
        <f>G20+G32+G37+G46</f>
        <v>2437091.590000004</v>
      </c>
    </row>
    <row r="49" spans="1:7" ht="15.75" thickTop="1" x14ac:dyDescent="0.25">
      <c r="A49" s="20"/>
      <c r="B49" s="20"/>
      <c r="C49" s="20"/>
      <c r="D49" s="20"/>
      <c r="E49" s="20"/>
      <c r="F49" s="20"/>
      <c r="G49" s="16"/>
    </row>
    <row r="50" spans="1:7" x14ac:dyDescent="0.25">
      <c r="A50" t="s">
        <v>221</v>
      </c>
      <c r="B50" s="68"/>
      <c r="C50" s="68"/>
      <c r="D50" s="68"/>
      <c r="E50" s="68"/>
      <c r="F50" s="68"/>
      <c r="G50" s="68"/>
    </row>
    <row r="51" spans="1:7" x14ac:dyDescent="0.25">
      <c r="A51" t="s">
        <v>125</v>
      </c>
      <c r="B51" s="68"/>
      <c r="C51" s="68"/>
      <c r="D51" s="68"/>
      <c r="E51" s="68"/>
      <c r="F51" s="68"/>
      <c r="G51" s="68"/>
    </row>
    <row r="52" spans="1:7" x14ac:dyDescent="0.25">
      <c r="A52" t="s">
        <v>230</v>
      </c>
      <c r="B52" s="68"/>
      <c r="C52" s="68"/>
      <c r="D52" s="68"/>
      <c r="E52" s="68"/>
      <c r="F52" s="68"/>
      <c r="G52" s="68"/>
    </row>
    <row r="53" spans="1:7" x14ac:dyDescent="0.25">
      <c r="A53" s="68"/>
      <c r="B53" s="68"/>
      <c r="C53" s="68"/>
      <c r="D53" s="68"/>
      <c r="E53" s="68"/>
      <c r="F53" s="68"/>
      <c r="G53" s="68"/>
    </row>
    <row r="54" spans="1:7" x14ac:dyDescent="0.25">
      <c r="A54" s="68"/>
      <c r="B54" s="68"/>
      <c r="C54" s="68"/>
      <c r="D54" s="68"/>
      <c r="E54" s="68"/>
      <c r="F54" s="68"/>
      <c r="G54" s="68"/>
    </row>
    <row r="55" spans="1:7" x14ac:dyDescent="0.25">
      <c r="A55" s="68"/>
      <c r="B55" s="68"/>
      <c r="C55" s="68"/>
      <c r="D55" s="68"/>
      <c r="E55" s="68"/>
      <c r="F55" s="68"/>
      <c r="G55" s="68"/>
    </row>
    <row r="56" spans="1:7" x14ac:dyDescent="0.25">
      <c r="A56" s="68"/>
      <c r="B56" s="68"/>
      <c r="C56" s="68"/>
      <c r="D56" s="68"/>
      <c r="E56" s="68"/>
      <c r="F56" s="68"/>
      <c r="G56" s="68"/>
    </row>
    <row r="57" spans="1:7" x14ac:dyDescent="0.25">
      <c r="A57" s="68"/>
      <c r="B57" s="68"/>
      <c r="C57" s="68"/>
      <c r="D57" s="68"/>
      <c r="E57" s="68"/>
      <c r="F57" s="68"/>
      <c r="G57" s="68"/>
    </row>
    <row r="58" spans="1:7" x14ac:dyDescent="0.25">
      <c r="A58" s="68"/>
      <c r="B58" s="68"/>
      <c r="C58" s="68"/>
      <c r="D58" s="68"/>
      <c r="E58" s="68"/>
      <c r="F58" s="68"/>
      <c r="G58" s="68"/>
    </row>
    <row r="59" spans="1:7" x14ac:dyDescent="0.25">
      <c r="A59" s="68"/>
      <c r="B59" s="68"/>
      <c r="C59" s="68"/>
      <c r="D59" s="68"/>
      <c r="E59" s="68"/>
      <c r="F59" s="68"/>
      <c r="G59" s="68"/>
    </row>
    <row r="60" spans="1:7" x14ac:dyDescent="0.25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F30"/>
  <sheetViews>
    <sheetView zoomScaleNormal="100" workbookViewId="0"/>
  </sheetViews>
  <sheetFormatPr defaultRowHeight="15" x14ac:dyDescent="0.25"/>
  <cols>
    <col min="1" max="1" width="6.140625" bestFit="1" customWidth="1"/>
    <col min="2" max="2" width="52.28515625" customWidth="1"/>
    <col min="3" max="3" width="6.28515625" customWidth="1"/>
    <col min="4" max="6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9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25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25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25">
      <c r="A9" s="10"/>
      <c r="B9" s="21" t="s">
        <v>128</v>
      </c>
      <c r="C9" s="7"/>
      <c r="D9" s="7"/>
      <c r="E9" s="7"/>
      <c r="F9" s="15"/>
    </row>
    <row r="10" spans="1:6" x14ac:dyDescent="0.25">
      <c r="A10" s="11">
        <v>1</v>
      </c>
      <c r="B10" s="18" t="s">
        <v>129</v>
      </c>
      <c r="C10" s="11">
        <v>18</v>
      </c>
      <c r="D10" s="60">
        <f>'BalanceSheet(Summary)'!B41</f>
        <v>8072751.8300000001</v>
      </c>
      <c r="E10" s="60">
        <f>'BalanceSheet(Summary)'!C41</f>
        <v>8176885.6999999993</v>
      </c>
      <c r="F10" s="60">
        <f>(D10+E10)/2</f>
        <v>8124818.7649999997</v>
      </c>
    </row>
    <row r="11" spans="1:6" x14ac:dyDescent="0.25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25">
      <c r="A12" s="11">
        <v>3</v>
      </c>
      <c r="B12" s="18" t="s">
        <v>131</v>
      </c>
      <c r="C12" s="11">
        <v>22</v>
      </c>
      <c r="D12" s="60">
        <f>'BalanceSheet(Summary)'!B45</f>
        <v>-6591494.5499999998</v>
      </c>
      <c r="E12" s="60">
        <f>'BalanceSheet(Summary)'!C45</f>
        <v>-6902735.79</v>
      </c>
      <c r="F12" s="60">
        <f t="shared" ref="F12:F15" si="0">(D12+E12)/2</f>
        <v>-6747115.1699999999</v>
      </c>
    </row>
    <row r="13" spans="1:6" x14ac:dyDescent="0.25">
      <c r="A13" s="11">
        <v>4</v>
      </c>
      <c r="B13" s="18" t="s">
        <v>130</v>
      </c>
      <c r="C13" s="11">
        <v>6</v>
      </c>
      <c r="D13" s="60">
        <f>'BalanceSheet(Summary)'!B21</f>
        <v>12496.88</v>
      </c>
      <c r="E13" s="60">
        <f>'BalanceSheet(Summary)'!C21</f>
        <v>10455.61</v>
      </c>
      <c r="F13" s="60">
        <f t="shared" si="0"/>
        <v>11476.244999999999</v>
      </c>
    </row>
    <row r="14" spans="1:6" x14ac:dyDescent="0.25">
      <c r="A14" s="11">
        <v>5</v>
      </c>
      <c r="B14" s="18" t="s">
        <v>132</v>
      </c>
      <c r="C14" s="20"/>
      <c r="D14" s="53">
        <v>-129422.26999999999</v>
      </c>
      <c r="E14" s="53">
        <v>-102121.86</v>
      </c>
      <c r="F14" s="60">
        <f t="shared" si="0"/>
        <v>-115772.065</v>
      </c>
    </row>
    <row r="15" spans="1:6" ht="15.75" thickBot="1" x14ac:dyDescent="0.3">
      <c r="A15" s="12">
        <v>6</v>
      </c>
      <c r="B15" s="91" t="s">
        <v>185</v>
      </c>
      <c r="C15" s="93"/>
      <c r="D15" s="96">
        <f>SUM(D10:D14)</f>
        <v>1364331.8900000001</v>
      </c>
      <c r="E15" s="64">
        <f>SUM(E10:E14)</f>
        <v>1182483.6599999992</v>
      </c>
      <c r="F15" s="65">
        <f t="shared" si="0"/>
        <v>1273407.7749999997</v>
      </c>
    </row>
    <row r="16" spans="1:6" ht="15.75" thickTop="1" x14ac:dyDescent="0.25">
      <c r="A16" s="13"/>
      <c r="B16" s="13"/>
      <c r="C16" s="69"/>
      <c r="D16" s="69"/>
      <c r="E16" s="69"/>
      <c r="F16" s="69"/>
    </row>
    <row r="17" spans="1:6" x14ac:dyDescent="0.25">
      <c r="B17" t="s">
        <v>205</v>
      </c>
      <c r="C17" s="68"/>
      <c r="D17" s="68"/>
      <c r="E17" s="68"/>
      <c r="F17" s="68"/>
    </row>
    <row r="18" spans="1:6" x14ac:dyDescent="0.25">
      <c r="B18" t="s">
        <v>152</v>
      </c>
      <c r="C18" s="68"/>
      <c r="D18" s="68"/>
      <c r="E18" s="68"/>
      <c r="F18" s="68"/>
    </row>
    <row r="19" spans="1:6" x14ac:dyDescent="0.25">
      <c r="B19" t="s">
        <v>133</v>
      </c>
      <c r="C19" s="68"/>
      <c r="D19" s="68"/>
      <c r="E19" s="68"/>
      <c r="F19" s="68"/>
    </row>
    <row r="20" spans="1:6" x14ac:dyDescent="0.25">
      <c r="B20" t="s">
        <v>231</v>
      </c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  <row r="30" spans="1:6" x14ac:dyDescent="0.25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F29"/>
  <sheetViews>
    <sheetView zoomScaleNormal="100" workbookViewId="0"/>
  </sheetViews>
  <sheetFormatPr defaultRowHeight="15" x14ac:dyDescent="0.25"/>
  <cols>
    <col min="1" max="1" width="6.7109375" customWidth="1"/>
    <col min="2" max="2" width="52.28515625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  <c r="F3" s="68"/>
    </row>
    <row r="4" spans="1:6" x14ac:dyDescent="0.25">
      <c r="B4" s="68"/>
      <c r="C4" s="68"/>
      <c r="D4" s="68"/>
      <c r="E4" s="68"/>
      <c r="F4" s="68"/>
    </row>
    <row r="5" spans="1:6" x14ac:dyDescent="0.25">
      <c r="B5" s="68"/>
      <c r="C5" s="68"/>
      <c r="D5" s="68"/>
      <c r="E5" s="68"/>
      <c r="F5" s="68"/>
    </row>
    <row r="6" spans="1:6" x14ac:dyDescent="0.25">
      <c r="A6" s="7"/>
      <c r="B6" s="7"/>
      <c r="C6" s="10" t="s">
        <v>73</v>
      </c>
      <c r="D6" s="10" t="s">
        <v>127</v>
      </c>
      <c r="E6" s="7"/>
      <c r="F6" s="4"/>
    </row>
    <row r="7" spans="1:6" x14ac:dyDescent="0.25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25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25">
      <c r="A9" s="7"/>
      <c r="B9" s="21" t="s">
        <v>138</v>
      </c>
      <c r="C9" s="7"/>
      <c r="D9" s="33"/>
      <c r="E9" s="7"/>
      <c r="F9" s="15"/>
    </row>
    <row r="10" spans="1:6" x14ac:dyDescent="0.25">
      <c r="A10" s="11">
        <v>1</v>
      </c>
      <c r="B10" s="18" t="s">
        <v>139</v>
      </c>
      <c r="C10" s="53">
        <v>855</v>
      </c>
      <c r="D10" s="53">
        <v>804</v>
      </c>
      <c r="E10" s="33">
        <f>D10-C10</f>
        <v>-51</v>
      </c>
      <c r="F10" s="39">
        <f>E10/C10</f>
        <v>-5.9649122807017542E-2</v>
      </c>
    </row>
    <row r="11" spans="1:6" x14ac:dyDescent="0.25">
      <c r="A11" s="11">
        <v>2</v>
      </c>
      <c r="B11" s="20" t="s">
        <v>140</v>
      </c>
      <c r="C11" s="53">
        <v>156</v>
      </c>
      <c r="D11" s="53">
        <v>160</v>
      </c>
      <c r="E11" s="33">
        <f>D11-C11</f>
        <v>4</v>
      </c>
      <c r="F11" s="39">
        <f t="shared" ref="F11:F12" si="0">E11/C11</f>
        <v>2.564102564102564E-2</v>
      </c>
    </row>
    <row r="12" spans="1:6" ht="15.75" thickBot="1" x14ac:dyDescent="0.3">
      <c r="A12" s="12">
        <v>3</v>
      </c>
      <c r="B12" s="93" t="s">
        <v>141</v>
      </c>
      <c r="C12" s="35">
        <f>SUM(C10:C11)</f>
        <v>1011</v>
      </c>
      <c r="D12" s="35">
        <f t="shared" ref="D12:E12" si="1">SUM(D10:D11)</f>
        <v>964</v>
      </c>
      <c r="E12" s="35">
        <f t="shared" si="1"/>
        <v>-47</v>
      </c>
      <c r="F12" s="40">
        <f t="shared" si="0"/>
        <v>-4.6488625123639958E-2</v>
      </c>
    </row>
    <row r="13" spans="1:6" ht="15.75" thickTop="1" x14ac:dyDescent="0.25">
      <c r="A13" s="117"/>
      <c r="B13" s="69"/>
      <c r="C13" s="69"/>
      <c r="D13" s="69"/>
      <c r="E13" s="69"/>
      <c r="F13" s="69"/>
    </row>
    <row r="14" spans="1:6" x14ac:dyDescent="0.25">
      <c r="A14" s="68"/>
      <c r="B14" s="68"/>
      <c r="C14" s="68"/>
      <c r="D14" s="68"/>
      <c r="E14" s="68"/>
      <c r="F14" s="68"/>
    </row>
    <row r="15" spans="1:6" x14ac:dyDescent="0.25">
      <c r="A15" s="68"/>
      <c r="B15" s="68"/>
      <c r="C15" s="68"/>
      <c r="D15" s="68"/>
      <c r="E15" s="68"/>
      <c r="F15" s="68"/>
    </row>
    <row r="16" spans="1:6" x14ac:dyDescent="0.25">
      <c r="A16" s="68"/>
      <c r="B16" s="68"/>
      <c r="C16" s="68"/>
      <c r="D16" s="68"/>
      <c r="E16" s="68"/>
      <c r="F16" s="68"/>
    </row>
    <row r="17" spans="1:6" x14ac:dyDescent="0.25">
      <c r="A17" s="68"/>
      <c r="B17" s="68"/>
      <c r="C17" s="68"/>
      <c r="D17" s="68"/>
      <c r="E17" s="68"/>
      <c r="F17" s="68"/>
    </row>
    <row r="18" spans="1:6" x14ac:dyDescent="0.25">
      <c r="A18" s="68"/>
      <c r="B18" s="68"/>
      <c r="C18" s="68"/>
      <c r="D18" s="68"/>
      <c r="E18" s="68"/>
      <c r="F18" s="68"/>
    </row>
    <row r="19" spans="1:6" x14ac:dyDescent="0.25">
      <c r="A19" s="68"/>
      <c r="B19" s="68"/>
      <c r="C19" s="68"/>
      <c r="D19" s="68"/>
      <c r="E19" s="68"/>
      <c r="F19" s="68"/>
    </row>
    <row r="20" spans="1:6" x14ac:dyDescent="0.25">
      <c r="A20" s="68"/>
      <c r="B20" s="68"/>
      <c r="C20" s="68"/>
      <c r="D20" s="68"/>
      <c r="E20" s="68"/>
      <c r="F20" s="68"/>
    </row>
    <row r="21" spans="1:6" x14ac:dyDescent="0.25">
      <c r="A21" s="68"/>
      <c r="B21" s="68"/>
      <c r="C21" s="68"/>
      <c r="D21" s="68"/>
      <c r="E21" s="68"/>
      <c r="F21" s="68"/>
    </row>
    <row r="22" spans="1:6" x14ac:dyDescent="0.25">
      <c r="A22" s="68"/>
      <c r="B22" s="68"/>
      <c r="C22" s="68"/>
      <c r="D22" s="68"/>
      <c r="E22" s="68"/>
      <c r="F22" s="68"/>
    </row>
    <row r="23" spans="1:6" x14ac:dyDescent="0.25">
      <c r="A23" s="68"/>
      <c r="B23" s="68"/>
      <c r="C23" s="68"/>
      <c r="D23" s="68"/>
      <c r="E23" s="68"/>
      <c r="F23" s="68"/>
    </row>
    <row r="24" spans="1:6" x14ac:dyDescent="0.25">
      <c r="A24" s="68"/>
      <c r="B24" s="68"/>
      <c r="C24" s="68"/>
      <c r="D24" s="68"/>
      <c r="E24" s="68"/>
      <c r="F24" s="68"/>
    </row>
    <row r="25" spans="1:6" x14ac:dyDescent="0.25">
      <c r="A25" s="68"/>
      <c r="B25" s="68"/>
      <c r="C25" s="68"/>
      <c r="D25" s="68"/>
      <c r="E25" s="68"/>
      <c r="F25" s="68"/>
    </row>
    <row r="26" spans="1:6" x14ac:dyDescent="0.25">
      <c r="A26" s="68"/>
      <c r="B26" s="68"/>
      <c r="C26" s="68"/>
      <c r="D26" s="68"/>
      <c r="E26" s="68"/>
      <c r="F26" s="68"/>
    </row>
    <row r="27" spans="1:6" x14ac:dyDescent="0.25">
      <c r="A27" s="68"/>
      <c r="B27" s="68"/>
      <c r="C27" s="68"/>
      <c r="D27" s="68"/>
      <c r="E27" s="68"/>
      <c r="F27" s="68"/>
    </row>
    <row r="28" spans="1:6" x14ac:dyDescent="0.25">
      <c r="A28" s="68"/>
      <c r="B28" s="68"/>
      <c r="C28" s="68"/>
      <c r="D28" s="68"/>
      <c r="E28" s="68"/>
      <c r="F28" s="68"/>
    </row>
    <row r="29" spans="1:6" x14ac:dyDescent="0.25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J81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25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25">
      <c r="A9" s="10">
        <v>1</v>
      </c>
      <c r="B9" s="4" t="s">
        <v>1</v>
      </c>
      <c r="C9" s="56">
        <v>311633.12000000017</v>
      </c>
      <c r="D9" s="53"/>
      <c r="E9" s="60">
        <f>SUM(C9:D9)</f>
        <v>311633.12000000017</v>
      </c>
    </row>
    <row r="10" spans="1:6" x14ac:dyDescent="0.25">
      <c r="A10" s="11">
        <v>2</v>
      </c>
      <c r="B10" s="15" t="s">
        <v>2</v>
      </c>
      <c r="C10" s="53">
        <v>772778.67</v>
      </c>
      <c r="D10" s="53"/>
      <c r="E10" s="60">
        <f t="shared" ref="E10:E14" si="0">SUM(C10:D10)</f>
        <v>772778.67</v>
      </c>
    </row>
    <row r="11" spans="1:6" x14ac:dyDescent="0.25">
      <c r="A11" s="11">
        <v>3</v>
      </c>
      <c r="B11" s="15" t="s">
        <v>3</v>
      </c>
      <c r="C11" s="53">
        <v>6.81</v>
      </c>
      <c r="D11" s="53"/>
      <c r="E11" s="60">
        <f t="shared" si="0"/>
        <v>6.81</v>
      </c>
    </row>
    <row r="12" spans="1:6" x14ac:dyDescent="0.25">
      <c r="A12" s="11">
        <v>4</v>
      </c>
      <c r="B12" s="15" t="s">
        <v>4</v>
      </c>
      <c r="C12" s="53">
        <v>36889.240000000005</v>
      </c>
      <c r="D12" s="53"/>
      <c r="E12" s="60">
        <f t="shared" si="0"/>
        <v>36889.240000000005</v>
      </c>
    </row>
    <row r="13" spans="1:6" x14ac:dyDescent="0.25">
      <c r="A13" s="11">
        <v>5</v>
      </c>
      <c r="B13" s="15" t="s">
        <v>5</v>
      </c>
      <c r="C13" s="53">
        <v>19259.730000000003</v>
      </c>
      <c r="D13" s="53"/>
      <c r="E13" s="60">
        <f t="shared" si="0"/>
        <v>19259.730000000003</v>
      </c>
    </row>
    <row r="14" spans="1:6" x14ac:dyDescent="0.25">
      <c r="A14" s="11">
        <v>6</v>
      </c>
      <c r="B14" s="15" t="s">
        <v>159</v>
      </c>
      <c r="C14" s="53">
        <v>569.67999999999984</v>
      </c>
      <c r="D14" s="53"/>
      <c r="E14" s="60">
        <f t="shared" si="0"/>
        <v>569.67999999999984</v>
      </c>
    </row>
    <row r="15" spans="1:6" x14ac:dyDescent="0.25">
      <c r="A15" s="11">
        <v>7</v>
      </c>
      <c r="B15" s="97" t="s">
        <v>158</v>
      </c>
      <c r="C15" s="109">
        <f>SUM(C9:C14)</f>
        <v>1141137.2500000002</v>
      </c>
      <c r="D15" s="109">
        <f t="shared" ref="D15:E15" si="1">SUM(D9:D14)</f>
        <v>0</v>
      </c>
      <c r="E15" s="109">
        <f t="shared" si="1"/>
        <v>1141137.2500000002</v>
      </c>
      <c r="F15" s="1"/>
    </row>
    <row r="16" spans="1:6" x14ac:dyDescent="0.25">
      <c r="A16" s="11">
        <v>8</v>
      </c>
      <c r="B16" s="15" t="s">
        <v>6</v>
      </c>
      <c r="C16" s="53">
        <v>276135.78000000003</v>
      </c>
      <c r="D16" s="53">
        <v>-31866</v>
      </c>
      <c r="E16" s="42">
        <f>SUM(C16:D16)</f>
        <v>244269.78000000003</v>
      </c>
    </row>
    <row r="17" spans="1:6" x14ac:dyDescent="0.25">
      <c r="A17" s="11">
        <v>9</v>
      </c>
      <c r="B17" s="15" t="s">
        <v>40</v>
      </c>
      <c r="C17" s="53">
        <v>123989.18000000001</v>
      </c>
      <c r="D17" s="53">
        <v>-12628</v>
      </c>
      <c r="E17" s="42">
        <f t="shared" ref="E17:E21" si="2">SUM(C17:D17)</f>
        <v>111361.18000000001</v>
      </c>
    </row>
    <row r="18" spans="1:6" x14ac:dyDescent="0.25">
      <c r="A18" s="11">
        <v>10</v>
      </c>
      <c r="B18" s="15" t="s">
        <v>7</v>
      </c>
      <c r="C18" s="53">
        <v>366717.51</v>
      </c>
      <c r="D18" s="53">
        <v>-55230</v>
      </c>
      <c r="E18" s="42">
        <f t="shared" si="2"/>
        <v>311487.51</v>
      </c>
    </row>
    <row r="19" spans="1:6" x14ac:dyDescent="0.25">
      <c r="A19" s="11">
        <v>11</v>
      </c>
      <c r="B19" s="15" t="s">
        <v>8</v>
      </c>
      <c r="C19" s="53">
        <v>15016.9</v>
      </c>
      <c r="D19" s="53">
        <v>-1781</v>
      </c>
      <c r="E19" s="42">
        <f t="shared" si="2"/>
        <v>13235.9</v>
      </c>
    </row>
    <row r="20" spans="1:6" x14ac:dyDescent="0.25">
      <c r="A20" s="11">
        <v>12</v>
      </c>
      <c r="B20" s="15" t="s">
        <v>9</v>
      </c>
      <c r="C20" s="53">
        <v>109817.59</v>
      </c>
      <c r="D20" s="53">
        <v>-7831</v>
      </c>
      <c r="E20" s="42">
        <f t="shared" si="2"/>
        <v>101986.59</v>
      </c>
    </row>
    <row r="21" spans="1:6" x14ac:dyDescent="0.25">
      <c r="A21" s="11">
        <v>13</v>
      </c>
      <c r="B21" s="15" t="s">
        <v>10</v>
      </c>
      <c r="C21" s="53">
        <v>158690.18</v>
      </c>
      <c r="D21" s="53">
        <v>-16464</v>
      </c>
      <c r="E21" s="42">
        <f t="shared" si="2"/>
        <v>142226.18</v>
      </c>
    </row>
    <row r="22" spans="1:6" x14ac:dyDescent="0.25">
      <c r="A22" s="11" t="s">
        <v>154</v>
      </c>
      <c r="B22" s="15" t="s">
        <v>160</v>
      </c>
      <c r="C22" s="110"/>
      <c r="D22" s="110"/>
      <c r="E22" s="88">
        <v>0</v>
      </c>
      <c r="F22" s="48" t="s">
        <v>248</v>
      </c>
    </row>
    <row r="23" spans="1:6" x14ac:dyDescent="0.25">
      <c r="A23" s="11" t="s">
        <v>155</v>
      </c>
      <c r="B23" s="13" t="s">
        <v>156</v>
      </c>
      <c r="C23" s="85">
        <f>SUM(C21:C22)</f>
        <v>158690.18</v>
      </c>
      <c r="D23" s="60">
        <f t="shared" ref="D23:E23" si="3">SUM(D21:D22)</f>
        <v>-16464</v>
      </c>
      <c r="E23" s="87">
        <f t="shared" si="3"/>
        <v>142226.18</v>
      </c>
    </row>
    <row r="24" spans="1:6" x14ac:dyDescent="0.25">
      <c r="A24" s="11">
        <v>14</v>
      </c>
      <c r="B24" s="92" t="s">
        <v>157</v>
      </c>
      <c r="C24" s="109">
        <f>C16+C17+C18+C19+C20+C23</f>
        <v>1050367.1399999999</v>
      </c>
      <c r="D24" s="109">
        <f t="shared" ref="D24:E24" si="4">D16+D17+D18+D19+D20+D23</f>
        <v>-125800</v>
      </c>
      <c r="E24" s="111">
        <f t="shared" si="4"/>
        <v>924567.1399999999</v>
      </c>
      <c r="F24" s="1"/>
    </row>
    <row r="25" spans="1:6" x14ac:dyDescent="0.25">
      <c r="A25" s="11">
        <v>15</v>
      </c>
      <c r="B25" s="15" t="s">
        <v>14</v>
      </c>
      <c r="C25" s="60">
        <f>C15-C24</f>
        <v>90770.110000000335</v>
      </c>
      <c r="D25" s="60">
        <f t="shared" ref="D25:E25" si="5">D15-D24</f>
        <v>125800</v>
      </c>
      <c r="E25" s="60">
        <f t="shared" si="5"/>
        <v>216570.11000000034</v>
      </c>
    </row>
    <row r="26" spans="1:6" x14ac:dyDescent="0.25">
      <c r="A26" s="11">
        <v>16</v>
      </c>
      <c r="B26" s="15" t="s">
        <v>161</v>
      </c>
      <c r="C26" s="53">
        <v>-1311.0899999999965</v>
      </c>
      <c r="D26" s="57"/>
      <c r="E26" s="60">
        <f>SUM(C26:D26)</f>
        <v>-1311.0899999999965</v>
      </c>
    </row>
    <row r="27" spans="1:6" x14ac:dyDescent="0.25">
      <c r="A27" s="11">
        <v>17</v>
      </c>
      <c r="B27" s="15" t="s">
        <v>11</v>
      </c>
      <c r="C27" s="53">
        <v>0</v>
      </c>
      <c r="D27" s="53"/>
      <c r="E27" s="60">
        <f t="shared" ref="E27:E29" si="6">SUM(C27:D27)</f>
        <v>0</v>
      </c>
    </row>
    <row r="28" spans="1:6" x14ac:dyDescent="0.25">
      <c r="A28" s="11">
        <v>18</v>
      </c>
      <c r="B28" s="15" t="s">
        <v>242</v>
      </c>
      <c r="C28" s="53">
        <v>14669.380000000005</v>
      </c>
      <c r="D28" s="108">
        <v>45822</v>
      </c>
      <c r="E28" s="60">
        <f t="shared" si="6"/>
        <v>60491.380000000005</v>
      </c>
    </row>
    <row r="29" spans="1:6" x14ac:dyDescent="0.25">
      <c r="A29" s="11">
        <v>19</v>
      </c>
      <c r="B29" s="15" t="s">
        <v>13</v>
      </c>
      <c r="C29" s="53">
        <v>48009.99</v>
      </c>
      <c r="D29" s="53">
        <v>-5121</v>
      </c>
      <c r="E29" s="60">
        <f t="shared" si="6"/>
        <v>42888.99</v>
      </c>
    </row>
    <row r="30" spans="1:6" x14ac:dyDescent="0.25">
      <c r="A30" s="11">
        <v>20</v>
      </c>
      <c r="B30" s="97" t="s">
        <v>12</v>
      </c>
      <c r="C30" s="85">
        <f>SUM(C27:C29)</f>
        <v>62679.37</v>
      </c>
      <c r="D30" s="85">
        <f t="shared" ref="D30:E30" si="7">SUM(D27:D29)</f>
        <v>40701</v>
      </c>
      <c r="E30" s="112">
        <f t="shared" si="7"/>
        <v>103380.37</v>
      </c>
    </row>
    <row r="31" spans="1:6" x14ac:dyDescent="0.25">
      <c r="A31" s="11">
        <v>21</v>
      </c>
      <c r="B31" s="97" t="s">
        <v>23</v>
      </c>
      <c r="C31" s="85">
        <f>C25+C26-C30</f>
        <v>26779.650000000336</v>
      </c>
      <c r="D31" s="85">
        <f>D25+D26-D30</f>
        <v>85099</v>
      </c>
      <c r="E31" s="112">
        <f>E25+E26-E30</f>
        <v>111878.65000000034</v>
      </c>
    </row>
    <row r="32" spans="1:6" x14ac:dyDescent="0.25">
      <c r="A32" s="11">
        <v>22</v>
      </c>
      <c r="B32" s="15" t="s">
        <v>15</v>
      </c>
      <c r="C32" s="53">
        <v>0</v>
      </c>
      <c r="D32" s="57"/>
      <c r="E32" s="60">
        <f>SUM(C32:D32)</f>
        <v>0</v>
      </c>
    </row>
    <row r="33" spans="1:10" x14ac:dyDescent="0.25">
      <c r="A33" s="11">
        <v>23</v>
      </c>
      <c r="B33" s="15" t="s">
        <v>16</v>
      </c>
      <c r="C33" s="53">
        <v>0</v>
      </c>
      <c r="D33" s="57"/>
      <c r="E33" s="60">
        <f t="shared" ref="E33:E35" si="8">SUM(C33:D33)</f>
        <v>0</v>
      </c>
    </row>
    <row r="34" spans="1:10" x14ac:dyDescent="0.25">
      <c r="A34" s="11">
        <v>24</v>
      </c>
      <c r="B34" s="15" t="s">
        <v>17</v>
      </c>
      <c r="C34" s="53">
        <v>-1.28</v>
      </c>
      <c r="D34" s="57"/>
      <c r="E34" s="60">
        <f t="shared" si="8"/>
        <v>-1.28</v>
      </c>
    </row>
    <row r="35" spans="1:10" x14ac:dyDescent="0.25">
      <c r="A35" s="11">
        <v>25</v>
      </c>
      <c r="B35" s="15" t="s">
        <v>175</v>
      </c>
      <c r="C35" s="53">
        <v>0</v>
      </c>
      <c r="D35" s="57"/>
      <c r="E35" s="61">
        <f t="shared" si="8"/>
        <v>0</v>
      </c>
    </row>
    <row r="36" spans="1:10" x14ac:dyDescent="0.25">
      <c r="A36" s="11">
        <v>26</v>
      </c>
      <c r="B36" s="97" t="s">
        <v>18</v>
      </c>
      <c r="C36" s="85">
        <f>SUM(C32:C35)</f>
        <v>-1.28</v>
      </c>
      <c r="D36" s="113">
        <f t="shared" ref="D36" si="9">SUM(D32:D35)</f>
        <v>0</v>
      </c>
      <c r="E36" s="85">
        <f>SUM(E32:E35)</f>
        <v>-1.28</v>
      </c>
    </row>
    <row r="37" spans="1:10" x14ac:dyDescent="0.25">
      <c r="A37" s="11">
        <v>27</v>
      </c>
      <c r="B37" s="15" t="s">
        <v>19</v>
      </c>
      <c r="C37" s="53">
        <v>1069.58</v>
      </c>
      <c r="D37" s="57"/>
      <c r="E37" s="33">
        <f>SUM(C37:D37)</f>
        <v>1069.58</v>
      </c>
    </row>
    <row r="38" spans="1:10" x14ac:dyDescent="0.25">
      <c r="A38" s="11">
        <v>28</v>
      </c>
      <c r="B38" s="15" t="s">
        <v>20</v>
      </c>
      <c r="C38" s="53">
        <v>0</v>
      </c>
      <c r="D38" s="57"/>
      <c r="E38" s="33">
        <f t="shared" ref="E38:E40" si="10">SUM(C38:D38)</f>
        <v>0</v>
      </c>
    </row>
    <row r="39" spans="1:10" x14ac:dyDescent="0.25">
      <c r="A39" s="11">
        <v>29</v>
      </c>
      <c r="B39" s="15" t="s">
        <v>80</v>
      </c>
      <c r="C39" s="53">
        <v>0</v>
      </c>
      <c r="D39" s="57"/>
      <c r="E39" s="33">
        <f t="shared" si="10"/>
        <v>0</v>
      </c>
    </row>
    <row r="40" spans="1:10" x14ac:dyDescent="0.25">
      <c r="A40" s="11">
        <v>30</v>
      </c>
      <c r="B40" s="15" t="s">
        <v>223</v>
      </c>
      <c r="C40" s="53">
        <v>58387.379999999961</v>
      </c>
      <c r="D40" s="72">
        <f>-1*(D31-D36)</f>
        <v>-85099</v>
      </c>
      <c r="E40" s="33">
        <f t="shared" si="10"/>
        <v>-26711.620000000039</v>
      </c>
    </row>
    <row r="41" spans="1:10" x14ac:dyDescent="0.25">
      <c r="A41" s="11">
        <v>31</v>
      </c>
      <c r="B41" s="97" t="s">
        <v>22</v>
      </c>
      <c r="C41" s="85">
        <f>C31-C36+C37+C38+C39+C40</f>
        <v>86237.890000000305</v>
      </c>
      <c r="D41" s="85">
        <f t="shared" ref="D41:E41" si="11">D31-D36+D37+D38+D39+D40</f>
        <v>0</v>
      </c>
      <c r="E41" s="85">
        <f t="shared" si="11"/>
        <v>86237.890000000305</v>
      </c>
    </row>
    <row r="42" spans="1:10" x14ac:dyDescent="0.25">
      <c r="A42" s="11">
        <v>32</v>
      </c>
      <c r="B42" s="15" t="s">
        <v>24</v>
      </c>
      <c r="C42" s="114"/>
      <c r="D42" s="114"/>
      <c r="E42" s="114"/>
    </row>
    <row r="43" spans="1:10" x14ac:dyDescent="0.25">
      <c r="A43" s="11">
        <v>33</v>
      </c>
      <c r="B43" s="15" t="s">
        <v>25</v>
      </c>
      <c r="C43" s="53">
        <v>1971936.86</v>
      </c>
      <c r="D43" s="57"/>
      <c r="E43" s="60">
        <f t="shared" ref="E43:E48" si="12">SUM(C43:D43)</f>
        <v>1971936.86</v>
      </c>
    </row>
    <row r="44" spans="1:10" x14ac:dyDescent="0.25">
      <c r="A44" s="11">
        <v>34</v>
      </c>
      <c r="B44" s="15" t="s">
        <v>26</v>
      </c>
      <c r="C44" s="53">
        <v>238465.18</v>
      </c>
      <c r="D44" s="57"/>
      <c r="E44" s="60">
        <f t="shared" si="12"/>
        <v>238465.18</v>
      </c>
    </row>
    <row r="45" spans="1:10" x14ac:dyDescent="0.25">
      <c r="A45" s="11">
        <v>35</v>
      </c>
      <c r="B45" s="15" t="s">
        <v>27</v>
      </c>
      <c r="C45" s="53">
        <v>338581.31</v>
      </c>
      <c r="D45" s="57"/>
      <c r="E45" s="60">
        <f t="shared" si="12"/>
        <v>338581.31</v>
      </c>
    </row>
    <row r="46" spans="1:10" x14ac:dyDescent="0.25">
      <c r="A46" s="11">
        <v>36</v>
      </c>
      <c r="B46" s="15" t="s">
        <v>28</v>
      </c>
      <c r="C46" s="53">
        <v>0</v>
      </c>
      <c r="D46" s="57"/>
      <c r="E46" s="60">
        <f t="shared" si="12"/>
        <v>0</v>
      </c>
    </row>
    <row r="47" spans="1:10" x14ac:dyDescent="0.25">
      <c r="A47" s="11">
        <v>37</v>
      </c>
      <c r="B47" s="15" t="s">
        <v>29</v>
      </c>
      <c r="C47" s="53">
        <v>0</v>
      </c>
      <c r="D47" s="57"/>
      <c r="E47" s="60">
        <f t="shared" si="12"/>
        <v>0</v>
      </c>
    </row>
    <row r="48" spans="1:10" x14ac:dyDescent="0.25">
      <c r="A48" s="11">
        <v>38</v>
      </c>
      <c r="B48" s="15" t="s">
        <v>30</v>
      </c>
      <c r="C48" s="53">
        <v>0</v>
      </c>
      <c r="D48" s="57"/>
      <c r="E48" s="60">
        <f t="shared" si="12"/>
        <v>0</v>
      </c>
      <c r="J48" s="68"/>
    </row>
    <row r="49" spans="1:7" x14ac:dyDescent="0.25">
      <c r="A49" s="11">
        <v>39</v>
      </c>
      <c r="B49" s="97" t="s">
        <v>258</v>
      </c>
      <c r="C49" s="85">
        <f>(C41+C43+C44)-(C45+C46+C47+C48)</f>
        <v>1958058.6200000006</v>
      </c>
      <c r="D49" s="113">
        <f t="shared" ref="D49:E49" si="13">(D41+D43+D44)-(D45+D46+D47+D48)</f>
        <v>0</v>
      </c>
      <c r="E49" s="112">
        <f t="shared" si="13"/>
        <v>1958058.6200000006</v>
      </c>
    </row>
    <row r="50" spans="1:7" x14ac:dyDescent="0.25">
      <c r="A50" s="11">
        <v>40</v>
      </c>
      <c r="B50" s="15" t="s">
        <v>32</v>
      </c>
      <c r="C50" s="53">
        <v>0</v>
      </c>
      <c r="D50" s="57"/>
      <c r="E50" s="60">
        <f>SUM(C50:D50)</f>
        <v>0</v>
      </c>
    </row>
    <row r="51" spans="1:7" x14ac:dyDescent="0.25">
      <c r="A51" s="11">
        <v>41</v>
      </c>
      <c r="B51" s="15" t="s">
        <v>30</v>
      </c>
      <c r="C51" s="53">
        <v>0</v>
      </c>
      <c r="D51" s="57"/>
      <c r="E51" s="60">
        <f t="shared" ref="E51:E52" si="14">SUM(C51:D51)</f>
        <v>0</v>
      </c>
    </row>
    <row r="52" spans="1:7" x14ac:dyDescent="0.25">
      <c r="A52" s="11">
        <v>42</v>
      </c>
      <c r="B52" s="15" t="s">
        <v>33</v>
      </c>
      <c r="C52" s="53">
        <v>0</v>
      </c>
      <c r="D52" s="57"/>
      <c r="E52" s="60">
        <f t="shared" si="14"/>
        <v>0</v>
      </c>
    </row>
    <row r="53" spans="1:7" x14ac:dyDescent="0.25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25">
      <c r="A54" s="11">
        <v>44</v>
      </c>
      <c r="B54" s="15" t="s">
        <v>35</v>
      </c>
      <c r="C54" s="56">
        <v>0</v>
      </c>
      <c r="D54" s="115"/>
      <c r="E54" s="33">
        <f>C54</f>
        <v>0</v>
      </c>
    </row>
    <row r="55" spans="1:7" x14ac:dyDescent="0.25">
      <c r="A55" s="11">
        <v>45</v>
      </c>
      <c r="B55" s="15" t="s">
        <v>36</v>
      </c>
      <c r="C55" s="116">
        <f>((C24+C30-C18-C19)/C15)</f>
        <v>0.64086252552004574</v>
      </c>
      <c r="D55" s="116" t="e">
        <f>((D24+D30-D18-D19)/D15)</f>
        <v>#DIV/0!</v>
      </c>
      <c r="E55" s="116">
        <f>((E24+E30-E18-E19)/E15)</f>
        <v>0.61624848369466489</v>
      </c>
    </row>
    <row r="56" spans="1:7" x14ac:dyDescent="0.25">
      <c r="A56" s="11">
        <v>46</v>
      </c>
      <c r="B56" s="15" t="s">
        <v>37</v>
      </c>
      <c r="C56" s="116">
        <f>((C24+C30+C36)/C15)</f>
        <v>0.97538243537313307</v>
      </c>
      <c r="D56" s="116" t="e">
        <f>((D24+D30+D36)/D15)</f>
        <v>#DIV/0!</v>
      </c>
      <c r="E56" s="116">
        <f>((E24+E30+E36)/E15)</f>
        <v>0.90080858371769013</v>
      </c>
    </row>
    <row r="57" spans="1:7" x14ac:dyDescent="0.25">
      <c r="A57" s="11">
        <v>47</v>
      </c>
      <c r="B57" s="15" t="s">
        <v>38</v>
      </c>
      <c r="C57" s="116">
        <f>((C41+C36)/C36)</f>
        <v>-67372.351562500233</v>
      </c>
      <c r="D57" s="116" t="e">
        <f t="shared" ref="D57:E57" si="16">((D41+D36)/D36)</f>
        <v>#DIV/0!</v>
      </c>
      <c r="E57" s="116">
        <f t="shared" si="16"/>
        <v>-67372.351562500233</v>
      </c>
    </row>
    <row r="58" spans="1:7" x14ac:dyDescent="0.25">
      <c r="A58" s="11">
        <v>48</v>
      </c>
      <c r="B58" s="15" t="s">
        <v>39</v>
      </c>
      <c r="C58" s="116" t="e">
        <f>(C41+C36+C18+C19)/C54</f>
        <v>#DIV/0!</v>
      </c>
      <c r="D58" s="116" t="e">
        <f t="shared" ref="D58:E58" si="17">(D41+D36+D18+D19)/D54</f>
        <v>#DIV/0!</v>
      </c>
      <c r="E58" s="116" t="e">
        <f t="shared" si="17"/>
        <v>#DIV/0!</v>
      </c>
    </row>
    <row r="59" spans="1:7" x14ac:dyDescent="0.25">
      <c r="A59" s="20"/>
      <c r="B59" s="16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253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  <row r="81" spans="1:5" x14ac:dyDescent="0.25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2:G80"/>
  <sheetViews>
    <sheetView zoomScaleNormal="100" workbookViewId="0"/>
  </sheetViews>
  <sheetFormatPr defaultRowHeight="15" x14ac:dyDescent="0.25"/>
  <cols>
    <col min="1" max="1" width="6.28515625" customWidth="1"/>
    <col min="2" max="2" width="67.85546875" bestFit="1" customWidth="1"/>
    <col min="3" max="5" width="13.85546875" customWidth="1"/>
  </cols>
  <sheetData>
    <row r="2" spans="1:6" x14ac:dyDescent="0.25">
      <c r="B2" t="s">
        <v>191</v>
      </c>
    </row>
    <row r="3" spans="1:6" x14ac:dyDescent="0.25">
      <c r="B3" s="59" t="s">
        <v>268</v>
      </c>
      <c r="C3" s="68"/>
      <c r="D3" s="68"/>
      <c r="E3" s="68"/>
    </row>
    <row r="4" spans="1:6" x14ac:dyDescent="0.25">
      <c r="B4" s="68"/>
      <c r="C4" s="68"/>
      <c r="D4" s="68"/>
      <c r="E4" s="68"/>
    </row>
    <row r="5" spans="1:6" x14ac:dyDescent="0.25">
      <c r="B5" s="68"/>
      <c r="C5" s="68"/>
      <c r="D5" s="68"/>
      <c r="E5" s="68"/>
    </row>
    <row r="6" spans="1:6" x14ac:dyDescent="0.25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25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25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25">
      <c r="A9" s="10">
        <v>1</v>
      </c>
      <c r="B9" s="7" t="s">
        <v>1</v>
      </c>
      <c r="C9" s="56">
        <v>293251.52000000014</v>
      </c>
      <c r="D9" s="53"/>
      <c r="E9" s="33">
        <f>SUM(C9:D9)</f>
        <v>293251.52000000014</v>
      </c>
    </row>
    <row r="10" spans="1:6" x14ac:dyDescent="0.25">
      <c r="A10" s="11">
        <v>2</v>
      </c>
      <c r="B10" s="18" t="s">
        <v>2</v>
      </c>
      <c r="C10" s="53">
        <v>730746.77000000014</v>
      </c>
      <c r="D10" s="53"/>
      <c r="E10" s="33">
        <f t="shared" ref="E10:E14" si="0">SUM(C10:D10)</f>
        <v>730746.77000000014</v>
      </c>
    </row>
    <row r="11" spans="1:6" x14ac:dyDescent="0.25">
      <c r="A11" s="11">
        <v>3</v>
      </c>
      <c r="B11" s="18" t="s">
        <v>3</v>
      </c>
      <c r="C11" s="53">
        <v>0.26</v>
      </c>
      <c r="D11" s="53"/>
      <c r="E11" s="33">
        <f t="shared" si="0"/>
        <v>0.26</v>
      </c>
    </row>
    <row r="12" spans="1:6" x14ac:dyDescent="0.25">
      <c r="A12" s="11">
        <v>4</v>
      </c>
      <c r="B12" s="18" t="s">
        <v>4</v>
      </c>
      <c r="C12" s="53">
        <v>36652.899999999994</v>
      </c>
      <c r="D12" s="53"/>
      <c r="E12" s="33">
        <f t="shared" si="0"/>
        <v>36652.899999999994</v>
      </c>
    </row>
    <row r="13" spans="1:6" x14ac:dyDescent="0.25">
      <c r="A13" s="11">
        <v>5</v>
      </c>
      <c r="B13" s="18" t="s">
        <v>5</v>
      </c>
      <c r="C13" s="53">
        <v>18107.490000000002</v>
      </c>
      <c r="D13" s="53"/>
      <c r="E13" s="33">
        <f t="shared" si="0"/>
        <v>18107.490000000002</v>
      </c>
    </row>
    <row r="14" spans="1:6" x14ac:dyDescent="0.25">
      <c r="A14" s="11">
        <v>6</v>
      </c>
      <c r="B14" s="18" t="s">
        <v>159</v>
      </c>
      <c r="C14" s="53">
        <v>1737.1299999999997</v>
      </c>
      <c r="D14" s="53"/>
      <c r="E14" s="33">
        <f t="shared" si="0"/>
        <v>1737.1299999999997</v>
      </c>
    </row>
    <row r="15" spans="1:6" x14ac:dyDescent="0.25">
      <c r="A15" s="11">
        <v>7</v>
      </c>
      <c r="B15" s="92" t="s">
        <v>158</v>
      </c>
      <c r="C15" s="41">
        <f>SUM(C9:C14)</f>
        <v>1080496.07</v>
      </c>
      <c r="D15" s="41">
        <f t="shared" ref="D15:E15" si="1">SUM(D9:D14)</f>
        <v>0</v>
      </c>
      <c r="E15" s="41">
        <f t="shared" si="1"/>
        <v>1080496.07</v>
      </c>
      <c r="F15" s="1"/>
    </row>
    <row r="16" spans="1:6" x14ac:dyDescent="0.25">
      <c r="A16" s="11">
        <v>8</v>
      </c>
      <c r="B16" s="18" t="s">
        <v>6</v>
      </c>
      <c r="C16" s="53">
        <v>294795.69</v>
      </c>
      <c r="D16" s="53">
        <v>-30880</v>
      </c>
      <c r="E16" s="42">
        <f>SUM(C16:D16)</f>
        <v>263915.69</v>
      </c>
    </row>
    <row r="17" spans="1:6" x14ac:dyDescent="0.25">
      <c r="A17" s="11">
        <v>9</v>
      </c>
      <c r="B17" s="18" t="s">
        <v>40</v>
      </c>
      <c r="C17" s="53">
        <v>129471.01999999999</v>
      </c>
      <c r="D17" s="53">
        <v>-14042</v>
      </c>
      <c r="E17" s="42">
        <f t="shared" ref="E17:E21" si="2">SUM(C17:D17)</f>
        <v>115429.01999999999</v>
      </c>
    </row>
    <row r="18" spans="1:6" x14ac:dyDescent="0.25">
      <c r="A18" s="11">
        <v>10</v>
      </c>
      <c r="B18" s="18" t="s">
        <v>7</v>
      </c>
      <c r="C18" s="53">
        <v>407598</v>
      </c>
      <c r="D18" s="53">
        <v>-41426</v>
      </c>
      <c r="E18" s="42">
        <f t="shared" si="2"/>
        <v>366172</v>
      </c>
    </row>
    <row r="19" spans="1:6" x14ac:dyDescent="0.25">
      <c r="A19" s="11">
        <v>11</v>
      </c>
      <c r="B19" s="18" t="s">
        <v>8</v>
      </c>
      <c r="C19" s="53">
        <v>16765.11</v>
      </c>
      <c r="D19" s="53">
        <v>-1945</v>
      </c>
      <c r="E19" s="42">
        <f t="shared" si="2"/>
        <v>14820.11</v>
      </c>
    </row>
    <row r="20" spans="1:6" x14ac:dyDescent="0.25">
      <c r="A20" s="11">
        <v>12</v>
      </c>
      <c r="B20" s="18" t="s">
        <v>9</v>
      </c>
      <c r="C20" s="53">
        <v>92827</v>
      </c>
      <c r="D20" s="53">
        <v>-9459</v>
      </c>
      <c r="E20" s="42">
        <f t="shared" si="2"/>
        <v>83368</v>
      </c>
    </row>
    <row r="21" spans="1:6" x14ac:dyDescent="0.25">
      <c r="A21" s="11">
        <v>13</v>
      </c>
      <c r="B21" s="18" t="s">
        <v>10</v>
      </c>
      <c r="C21" s="53">
        <v>151668.28</v>
      </c>
      <c r="D21" s="53">
        <v>-17036</v>
      </c>
      <c r="E21" s="42">
        <f t="shared" si="2"/>
        <v>134632.28</v>
      </c>
    </row>
    <row r="22" spans="1:6" x14ac:dyDescent="0.25">
      <c r="A22" s="11" t="s">
        <v>154</v>
      </c>
      <c r="B22" s="18" t="s">
        <v>160</v>
      </c>
      <c r="C22" s="103"/>
      <c r="D22" s="103"/>
      <c r="E22" s="88">
        <v>0</v>
      </c>
      <c r="F22" s="48" t="s">
        <v>248</v>
      </c>
    </row>
    <row r="23" spans="1:6" x14ac:dyDescent="0.25">
      <c r="A23" s="11" t="s">
        <v>155</v>
      </c>
      <c r="B23" s="18" t="s">
        <v>156</v>
      </c>
      <c r="C23" s="33">
        <f>SUM(C21:C22)</f>
        <v>151668.28</v>
      </c>
      <c r="D23" s="33">
        <f t="shared" ref="D23:E23" si="3">SUM(D21:D22)</f>
        <v>-17036</v>
      </c>
      <c r="E23" s="42">
        <f t="shared" si="3"/>
        <v>134632.28</v>
      </c>
    </row>
    <row r="24" spans="1:6" x14ac:dyDescent="0.25">
      <c r="A24" s="11">
        <v>14</v>
      </c>
      <c r="B24" s="92" t="s">
        <v>157</v>
      </c>
      <c r="C24" s="41">
        <f>C16+C17+C18+C19+C20+C23</f>
        <v>1093125.0999999999</v>
      </c>
      <c r="D24" s="41">
        <f t="shared" ref="D24:E24" si="4">D16+D17+D18+D19+D20+D23</f>
        <v>-114788</v>
      </c>
      <c r="E24" s="43">
        <f t="shared" si="4"/>
        <v>978337.1</v>
      </c>
      <c r="F24" s="1"/>
    </row>
    <row r="25" spans="1:6" x14ac:dyDescent="0.25">
      <c r="A25" s="11">
        <v>15</v>
      </c>
      <c r="B25" s="18" t="s">
        <v>14</v>
      </c>
      <c r="C25" s="33">
        <f>C15-C24</f>
        <v>-12629.029999999795</v>
      </c>
      <c r="D25" s="33">
        <f t="shared" ref="D25:E25" si="5">D15-D24</f>
        <v>114788</v>
      </c>
      <c r="E25" s="33">
        <f t="shared" si="5"/>
        <v>102158.97000000009</v>
      </c>
    </row>
    <row r="26" spans="1:6" x14ac:dyDescent="0.25">
      <c r="A26" s="11">
        <v>16</v>
      </c>
      <c r="B26" s="18" t="s">
        <v>161</v>
      </c>
      <c r="C26" s="53">
        <v>-1642.8600000000006</v>
      </c>
      <c r="D26" s="108">
        <v>29681</v>
      </c>
      <c r="E26" s="33">
        <f>SUM(C26:D26)</f>
        <v>28038.14</v>
      </c>
    </row>
    <row r="27" spans="1:6" x14ac:dyDescent="0.25">
      <c r="A27" s="11">
        <v>17</v>
      </c>
      <c r="B27" s="18" t="s">
        <v>11</v>
      </c>
      <c r="C27" s="53">
        <v>0</v>
      </c>
      <c r="D27" s="53"/>
      <c r="E27" s="33">
        <f t="shared" ref="E27:E29" si="6">SUM(C27:D27)</f>
        <v>0</v>
      </c>
    </row>
    <row r="28" spans="1:6" x14ac:dyDescent="0.25">
      <c r="A28" s="11">
        <v>18</v>
      </c>
      <c r="B28" s="18" t="s">
        <v>242</v>
      </c>
      <c r="C28" s="53">
        <v>-20677.989999999998</v>
      </c>
      <c r="D28" s="108">
        <v>52453</v>
      </c>
      <c r="E28" s="33">
        <f t="shared" si="6"/>
        <v>31775.010000000002</v>
      </c>
    </row>
    <row r="29" spans="1:6" x14ac:dyDescent="0.25">
      <c r="A29" s="11">
        <v>19</v>
      </c>
      <c r="B29" s="18" t="s">
        <v>13</v>
      </c>
      <c r="C29" s="53">
        <v>44855.38</v>
      </c>
      <c r="D29" s="53">
        <v>-5396</v>
      </c>
      <c r="E29" s="33">
        <f t="shared" si="6"/>
        <v>39459.379999999997</v>
      </c>
    </row>
    <row r="30" spans="1:6" x14ac:dyDescent="0.25">
      <c r="A30" s="11">
        <v>20</v>
      </c>
      <c r="B30" s="92" t="s">
        <v>12</v>
      </c>
      <c r="C30" s="38">
        <f>SUM(C27:C29)</f>
        <v>24177.39</v>
      </c>
      <c r="D30" s="38">
        <f t="shared" ref="D30:E30" si="7">SUM(D27:D29)</f>
        <v>47057</v>
      </c>
      <c r="E30" s="44">
        <f t="shared" si="7"/>
        <v>71234.39</v>
      </c>
    </row>
    <row r="31" spans="1:6" x14ac:dyDescent="0.25">
      <c r="A31" s="11">
        <v>21</v>
      </c>
      <c r="B31" s="92" t="s">
        <v>23</v>
      </c>
      <c r="C31" s="38">
        <f>C25+C26-C30</f>
        <v>-38449.279999999795</v>
      </c>
      <c r="D31" s="38">
        <f>D25+D26-D30</f>
        <v>97412</v>
      </c>
      <c r="E31" s="44">
        <f>E25+E26-E30</f>
        <v>58962.720000000088</v>
      </c>
    </row>
    <row r="32" spans="1:6" x14ac:dyDescent="0.25">
      <c r="A32" s="11">
        <v>22</v>
      </c>
      <c r="B32" s="18" t="s">
        <v>15</v>
      </c>
      <c r="C32" s="53">
        <v>0</v>
      </c>
      <c r="D32" s="57"/>
      <c r="E32" s="33">
        <f>SUM(C32:D32)</f>
        <v>0</v>
      </c>
    </row>
    <row r="33" spans="1:5" x14ac:dyDescent="0.25">
      <c r="A33" s="11">
        <v>23</v>
      </c>
      <c r="B33" s="18" t="s">
        <v>16</v>
      </c>
      <c r="C33" s="53">
        <v>0</v>
      </c>
      <c r="D33" s="57"/>
      <c r="E33" s="33">
        <f t="shared" ref="E33:E35" si="8">SUM(C33:D33)</f>
        <v>0</v>
      </c>
    </row>
    <row r="34" spans="1:5" x14ac:dyDescent="0.25">
      <c r="A34" s="11">
        <v>24</v>
      </c>
      <c r="B34" s="18" t="s">
        <v>17</v>
      </c>
      <c r="C34" s="53">
        <v>0</v>
      </c>
      <c r="D34" s="57"/>
      <c r="E34" s="33">
        <f t="shared" si="8"/>
        <v>0</v>
      </c>
    </row>
    <row r="35" spans="1:5" x14ac:dyDescent="0.25">
      <c r="A35" s="11">
        <v>25</v>
      </c>
      <c r="B35" s="18" t="s">
        <v>175</v>
      </c>
      <c r="C35" s="53">
        <v>0</v>
      </c>
      <c r="D35" s="57"/>
      <c r="E35" s="34">
        <f t="shared" si="8"/>
        <v>0</v>
      </c>
    </row>
    <row r="36" spans="1:5" x14ac:dyDescent="0.25">
      <c r="A36" s="11">
        <v>26</v>
      </c>
      <c r="B36" s="92" t="s">
        <v>18</v>
      </c>
      <c r="C36" s="38">
        <f>SUM(C32:C35)</f>
        <v>0</v>
      </c>
      <c r="D36" s="66">
        <f t="shared" ref="D36" si="9">SUM(D32:D35)</f>
        <v>0</v>
      </c>
      <c r="E36" s="38">
        <f>SUM(E32:E35)</f>
        <v>0</v>
      </c>
    </row>
    <row r="37" spans="1:5" x14ac:dyDescent="0.25">
      <c r="A37" s="11">
        <v>27</v>
      </c>
      <c r="B37" s="18" t="s">
        <v>19</v>
      </c>
      <c r="C37" s="53">
        <v>1135.52</v>
      </c>
      <c r="D37" s="57"/>
      <c r="E37" s="33">
        <f>SUM(C37:D37)</f>
        <v>1135.52</v>
      </c>
    </row>
    <row r="38" spans="1:5" x14ac:dyDescent="0.25">
      <c r="A38" s="11">
        <v>28</v>
      </c>
      <c r="B38" s="18" t="s">
        <v>20</v>
      </c>
      <c r="C38" s="53">
        <v>0</v>
      </c>
      <c r="D38" s="57"/>
      <c r="E38" s="33">
        <f t="shared" ref="E38:E40" si="10">SUM(C38:D38)</f>
        <v>0</v>
      </c>
    </row>
    <row r="39" spans="1:5" x14ac:dyDescent="0.25">
      <c r="A39" s="11">
        <v>29</v>
      </c>
      <c r="B39" s="18" t="s">
        <v>80</v>
      </c>
      <c r="C39" s="53">
        <v>0</v>
      </c>
      <c r="D39" s="57"/>
      <c r="E39" s="33">
        <f t="shared" si="10"/>
        <v>0</v>
      </c>
    </row>
    <row r="40" spans="1:5" x14ac:dyDescent="0.25">
      <c r="A40" s="11">
        <v>30</v>
      </c>
      <c r="B40" s="18" t="s">
        <v>223</v>
      </c>
      <c r="C40" s="53">
        <v>70432.470000000016</v>
      </c>
      <c r="D40" s="72">
        <f>-1*(D31-D36)</f>
        <v>-97412</v>
      </c>
      <c r="E40" s="33">
        <f t="shared" si="10"/>
        <v>-26979.529999999984</v>
      </c>
    </row>
    <row r="41" spans="1:5" x14ac:dyDescent="0.25">
      <c r="A41" s="11">
        <v>31</v>
      </c>
      <c r="B41" s="92" t="s">
        <v>22</v>
      </c>
      <c r="C41" s="38">
        <f>C31-C36+C37+C38+C39+C40</f>
        <v>33118.710000000217</v>
      </c>
      <c r="D41" s="38">
        <f t="shared" ref="D41:E41" si="11">D31-D36+D37+D38+D39+D40</f>
        <v>0</v>
      </c>
      <c r="E41" s="38">
        <f t="shared" si="11"/>
        <v>33118.710000000101</v>
      </c>
    </row>
    <row r="42" spans="1:5" x14ac:dyDescent="0.25">
      <c r="A42" s="11">
        <v>32</v>
      </c>
      <c r="B42" s="18" t="s">
        <v>24</v>
      </c>
      <c r="C42" s="70"/>
      <c r="D42" s="70"/>
      <c r="E42" s="45"/>
    </row>
    <row r="43" spans="1:5" x14ac:dyDescent="0.25">
      <c r="A43" s="11">
        <v>33</v>
      </c>
      <c r="B43" s="18" t="s">
        <v>25</v>
      </c>
      <c r="C43" s="53">
        <v>1766309.08</v>
      </c>
      <c r="D43" s="57"/>
      <c r="E43" s="33">
        <f t="shared" ref="E43:E48" si="12">SUM(C43:D43)</f>
        <v>1766309.08</v>
      </c>
    </row>
    <row r="44" spans="1:5" x14ac:dyDescent="0.25">
      <c r="A44" s="11">
        <v>34</v>
      </c>
      <c r="B44" s="18" t="s">
        <v>26</v>
      </c>
      <c r="C44" s="53">
        <v>245784.42000000333</v>
      </c>
      <c r="D44" s="57"/>
      <c r="E44" s="33">
        <f t="shared" si="12"/>
        <v>245784.42000000333</v>
      </c>
    </row>
    <row r="45" spans="1:5" x14ac:dyDescent="0.25">
      <c r="A45" s="11">
        <v>35</v>
      </c>
      <c r="B45" s="18" t="s">
        <v>27</v>
      </c>
      <c r="C45" s="53">
        <v>189445.28</v>
      </c>
      <c r="D45" s="57"/>
      <c r="E45" s="33">
        <f t="shared" si="12"/>
        <v>189445.28</v>
      </c>
    </row>
    <row r="46" spans="1:5" x14ac:dyDescent="0.25">
      <c r="A46" s="11">
        <v>36</v>
      </c>
      <c r="B46" s="18" t="s">
        <v>28</v>
      </c>
      <c r="C46" s="53">
        <v>0</v>
      </c>
      <c r="D46" s="57"/>
      <c r="E46" s="33">
        <f t="shared" si="12"/>
        <v>0</v>
      </c>
    </row>
    <row r="47" spans="1:5" x14ac:dyDescent="0.25">
      <c r="A47" s="11">
        <v>37</v>
      </c>
      <c r="B47" s="18" t="s">
        <v>29</v>
      </c>
      <c r="C47" s="53">
        <v>0</v>
      </c>
      <c r="D47" s="57"/>
      <c r="E47" s="33">
        <f t="shared" si="12"/>
        <v>0</v>
      </c>
    </row>
    <row r="48" spans="1:5" x14ac:dyDescent="0.25">
      <c r="A48" s="11">
        <v>38</v>
      </c>
      <c r="B48" s="18" t="s">
        <v>30</v>
      </c>
      <c r="C48" s="53">
        <v>0</v>
      </c>
      <c r="D48" s="57"/>
      <c r="E48" s="33">
        <f t="shared" si="12"/>
        <v>0</v>
      </c>
    </row>
    <row r="49" spans="1:7" x14ac:dyDescent="0.25">
      <c r="A49" s="11">
        <v>39</v>
      </c>
      <c r="B49" s="92" t="s">
        <v>258</v>
      </c>
      <c r="C49" s="38">
        <f>(C41+C43+C44)-(C45+C46+C47+C48)</f>
        <v>1855766.9300000037</v>
      </c>
      <c r="D49" s="66">
        <f t="shared" ref="D49:E49" si="13">(D41+D43+D44)-(D45+D46+D47+D48)</f>
        <v>0</v>
      </c>
      <c r="E49" s="44">
        <f t="shared" si="13"/>
        <v>1855766.9300000037</v>
      </c>
    </row>
    <row r="50" spans="1:7" x14ac:dyDescent="0.25">
      <c r="A50" s="11">
        <v>40</v>
      </c>
      <c r="B50" s="18" t="s">
        <v>32</v>
      </c>
      <c r="C50" s="53">
        <v>0</v>
      </c>
      <c r="D50" s="57"/>
      <c r="E50" s="33">
        <f>SUM(C50:D50)</f>
        <v>0</v>
      </c>
    </row>
    <row r="51" spans="1:7" x14ac:dyDescent="0.25">
      <c r="A51" s="11">
        <v>41</v>
      </c>
      <c r="B51" s="18" t="s">
        <v>30</v>
      </c>
      <c r="C51" s="53">
        <v>0</v>
      </c>
      <c r="D51" s="57"/>
      <c r="E51" s="33">
        <f t="shared" ref="E51:E52" si="14">SUM(C51:D51)</f>
        <v>0</v>
      </c>
    </row>
    <row r="52" spans="1:7" x14ac:dyDescent="0.25">
      <c r="A52" s="11">
        <v>42</v>
      </c>
      <c r="B52" s="18" t="s">
        <v>33</v>
      </c>
      <c r="C52" s="53">
        <v>0</v>
      </c>
      <c r="D52" s="57"/>
      <c r="E52" s="33">
        <f t="shared" si="14"/>
        <v>0</v>
      </c>
    </row>
    <row r="53" spans="1:7" x14ac:dyDescent="0.25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25">
      <c r="A54" s="11">
        <v>44</v>
      </c>
      <c r="B54" s="18" t="s">
        <v>35</v>
      </c>
      <c r="C54" s="56">
        <v>0</v>
      </c>
      <c r="D54" s="107"/>
      <c r="E54" s="33">
        <f>C54</f>
        <v>0</v>
      </c>
    </row>
    <row r="55" spans="1:7" x14ac:dyDescent="0.25">
      <c r="A55" s="11">
        <v>45</v>
      </c>
      <c r="B55" s="18" t="s">
        <v>36</v>
      </c>
      <c r="C55" s="47">
        <f>((C24+C30-C18-C19)/C15)</f>
        <v>0.64131596517514378</v>
      </c>
      <c r="D55" s="47" t="e">
        <f>((D24+D30-D18-D19)/D15)</f>
        <v>#DIV/0!</v>
      </c>
      <c r="E55" s="47">
        <f>((E24+E30-E18-E19)/E15)</f>
        <v>0.61877076517270435</v>
      </c>
    </row>
    <row r="56" spans="1:7" x14ac:dyDescent="0.25">
      <c r="A56" s="11">
        <v>46</v>
      </c>
      <c r="B56" s="18" t="s">
        <v>37</v>
      </c>
      <c r="C56" s="47">
        <f>((C24+C30+C36)/C15)</f>
        <v>1.0340643719324214</v>
      </c>
      <c r="D56" s="47" t="e">
        <f>((D24+D30+D36)/D15)</f>
        <v>#DIV/0!</v>
      </c>
      <c r="E56" s="47">
        <f>((E24+E30+E36)/E15)</f>
        <v>0.97137927581726413</v>
      </c>
    </row>
    <row r="57" spans="1:7" x14ac:dyDescent="0.25">
      <c r="A57" s="11">
        <v>47</v>
      </c>
      <c r="B57" s="18" t="s">
        <v>38</v>
      </c>
      <c r="C57" s="47" t="e">
        <f>((C41+C36)/C36)</f>
        <v>#DIV/0!</v>
      </c>
      <c r="D57" s="47" t="e">
        <f t="shared" ref="D57:E57" si="16">((D41+D36)/D36)</f>
        <v>#DIV/0!</v>
      </c>
      <c r="E57" s="47" t="e">
        <f t="shared" si="16"/>
        <v>#DIV/0!</v>
      </c>
    </row>
    <row r="58" spans="1:7" x14ac:dyDescent="0.25">
      <c r="A58" s="11">
        <v>48</v>
      </c>
      <c r="B58" s="18" t="s">
        <v>39</v>
      </c>
      <c r="C58" s="47" t="e">
        <f>(C41+C36+C18+C19)/C54</f>
        <v>#DIV/0!</v>
      </c>
      <c r="D58" s="47" t="e">
        <f t="shared" ref="D58:E58" si="17">(D41+D36+D18+D19)/D54</f>
        <v>#DIV/0!</v>
      </c>
      <c r="E58" s="47" t="e">
        <f t="shared" si="17"/>
        <v>#DIV/0!</v>
      </c>
    </row>
    <row r="59" spans="1:7" x14ac:dyDescent="0.25">
      <c r="A59" s="20"/>
      <c r="B59" s="20"/>
      <c r="C59" s="20"/>
      <c r="D59" s="20"/>
      <c r="E59" s="16"/>
    </row>
    <row r="60" spans="1:7" x14ac:dyDescent="0.25">
      <c r="A60" s="13"/>
      <c r="B60" s="74" t="s">
        <v>205</v>
      </c>
      <c r="C60" s="69"/>
      <c r="D60" s="68"/>
      <c r="E60" s="68"/>
      <c r="F60" s="68"/>
      <c r="G60" s="68"/>
    </row>
    <row r="61" spans="1:7" x14ac:dyDescent="0.25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25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25">
      <c r="A63" s="48"/>
      <c r="B63" t="s">
        <v>257</v>
      </c>
      <c r="C63" s="68"/>
      <c r="D63" s="68"/>
      <c r="E63" s="68"/>
      <c r="F63" s="68"/>
      <c r="G63" s="68"/>
    </row>
    <row r="64" spans="1:7" x14ac:dyDescent="0.25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25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25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25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25">
      <c r="A68" s="104"/>
      <c r="B68" s="68" t="s">
        <v>255</v>
      </c>
      <c r="C68" s="68"/>
      <c r="D68" s="68"/>
      <c r="E68" s="68"/>
      <c r="F68" s="68"/>
      <c r="G68" s="68"/>
    </row>
    <row r="69" spans="1:7" x14ac:dyDescent="0.25">
      <c r="A69" s="68"/>
      <c r="B69" s="68" t="s">
        <v>249</v>
      </c>
      <c r="C69" s="68"/>
      <c r="D69" s="68"/>
      <c r="E69" s="68"/>
      <c r="F69" s="68"/>
      <c r="G69" s="68"/>
    </row>
    <row r="70" spans="1:7" x14ac:dyDescent="0.25">
      <c r="A70" s="68"/>
      <c r="B70" s="68"/>
      <c r="C70" s="68"/>
      <c r="D70" s="68"/>
      <c r="E70" s="68"/>
      <c r="F70" s="68"/>
      <c r="G70" s="68"/>
    </row>
    <row r="71" spans="1:7" x14ac:dyDescent="0.25">
      <c r="A71" s="68"/>
      <c r="B71" s="68"/>
      <c r="C71" s="68"/>
      <c r="D71" s="68"/>
      <c r="E71" s="68"/>
      <c r="F71" s="68"/>
      <c r="G71" s="68"/>
    </row>
    <row r="72" spans="1:7" x14ac:dyDescent="0.25">
      <c r="A72" s="68"/>
      <c r="B72" s="68"/>
      <c r="C72" s="68"/>
      <c r="D72" s="68"/>
      <c r="E72" s="68"/>
      <c r="F72" s="68"/>
      <c r="G72" s="68"/>
    </row>
    <row r="73" spans="1:7" x14ac:dyDescent="0.25">
      <c r="A73" s="68"/>
      <c r="B73" s="68"/>
      <c r="C73" s="68"/>
      <c r="D73" s="68"/>
      <c r="E73" s="68"/>
      <c r="F73" s="68"/>
      <c r="G73" s="68"/>
    </row>
    <row r="74" spans="1:7" x14ac:dyDescent="0.25">
      <c r="A74" s="68"/>
      <c r="B74" s="68"/>
      <c r="C74" s="68"/>
      <c r="D74" s="68"/>
      <c r="E74" s="68"/>
    </row>
    <row r="75" spans="1:7" x14ac:dyDescent="0.25">
      <c r="A75" s="68"/>
      <c r="B75" s="68"/>
      <c r="C75" s="68"/>
      <c r="D75" s="68"/>
      <c r="E75" s="68"/>
    </row>
    <row r="76" spans="1:7" x14ac:dyDescent="0.25">
      <c r="A76" s="68"/>
      <c r="B76" s="68"/>
      <c r="C76" s="68"/>
      <c r="D76" s="68"/>
      <c r="E76" s="68"/>
    </row>
    <row r="77" spans="1:7" x14ac:dyDescent="0.25">
      <c r="A77" s="68"/>
      <c r="B77" s="68"/>
      <c r="C77" s="68"/>
      <c r="D77" s="68"/>
      <c r="E77" s="68"/>
    </row>
    <row r="78" spans="1:7" x14ac:dyDescent="0.25">
      <c r="A78" s="68"/>
      <c r="B78" s="68"/>
      <c r="C78" s="68"/>
      <c r="D78" s="68"/>
      <c r="E78" s="68"/>
    </row>
    <row r="79" spans="1:7" x14ac:dyDescent="0.25">
      <c r="A79" s="68"/>
      <c r="B79" s="68"/>
      <c r="C79" s="68"/>
      <c r="D79" s="68"/>
      <c r="E79" s="68"/>
    </row>
    <row r="80" spans="1:7" x14ac:dyDescent="0.25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H73"/>
  <sheetViews>
    <sheetView zoomScaleNormal="100" workbookViewId="0"/>
  </sheetViews>
  <sheetFormatPr defaultRowHeight="15" x14ac:dyDescent="0.25"/>
  <cols>
    <col min="1" max="1" width="6.28515625" customWidth="1"/>
    <col min="2" max="2" width="65.140625" customWidth="1"/>
    <col min="3" max="4" width="13.85546875" customWidth="1"/>
  </cols>
  <sheetData>
    <row r="2" spans="1:5" x14ac:dyDescent="0.25">
      <c r="B2" t="s">
        <v>173</v>
      </c>
    </row>
    <row r="3" spans="1:5" x14ac:dyDescent="0.25">
      <c r="B3" s="59" t="s">
        <v>268</v>
      </c>
      <c r="C3" s="68"/>
      <c r="D3" s="68"/>
    </row>
    <row r="4" spans="1:5" x14ac:dyDescent="0.25">
      <c r="B4" s="68"/>
      <c r="C4" s="68"/>
      <c r="D4" s="68"/>
    </row>
    <row r="5" spans="1:5" x14ac:dyDescent="0.25">
      <c r="B5" s="68"/>
      <c r="C5" s="68"/>
      <c r="D5" s="68"/>
    </row>
    <row r="6" spans="1:5" x14ac:dyDescent="0.25">
      <c r="A6" s="7"/>
      <c r="B6" s="7"/>
      <c r="C6" s="10" t="s">
        <v>123</v>
      </c>
      <c r="D6" s="27" t="s">
        <v>123</v>
      </c>
    </row>
    <row r="7" spans="1:5" x14ac:dyDescent="0.25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25">
      <c r="A8" s="12"/>
      <c r="B8" s="12"/>
      <c r="C8" s="12">
        <v>2013</v>
      </c>
      <c r="D8" s="6">
        <v>2014</v>
      </c>
    </row>
    <row r="9" spans="1:5" x14ac:dyDescent="0.25">
      <c r="A9" s="10">
        <v>1</v>
      </c>
      <c r="B9" s="7" t="s">
        <v>1</v>
      </c>
      <c r="C9" s="37">
        <f>PriorYearIncomeStmt!E9</f>
        <v>311633.12000000017</v>
      </c>
      <c r="D9" s="42">
        <f>'CurrentYearIncomeStmt '!E9</f>
        <v>293251.52000000014</v>
      </c>
    </row>
    <row r="10" spans="1:5" x14ac:dyDescent="0.25">
      <c r="A10" s="11">
        <v>2</v>
      </c>
      <c r="B10" s="18" t="s">
        <v>2</v>
      </c>
      <c r="C10" s="33">
        <f>PriorYearIncomeStmt!E10</f>
        <v>772778.67</v>
      </c>
      <c r="D10" s="42">
        <f>'CurrentYearIncomeStmt '!E10</f>
        <v>730746.77000000014</v>
      </c>
    </row>
    <row r="11" spans="1:5" x14ac:dyDescent="0.25">
      <c r="A11" s="11">
        <v>3</v>
      </c>
      <c r="B11" s="18" t="s">
        <v>3</v>
      </c>
      <c r="C11" s="33">
        <f>PriorYearIncomeStmt!E11</f>
        <v>6.81</v>
      </c>
      <c r="D11" s="42">
        <f>'CurrentYearIncomeStmt '!E11</f>
        <v>0.26</v>
      </c>
    </row>
    <row r="12" spans="1:5" x14ac:dyDescent="0.25">
      <c r="A12" s="11">
        <v>4</v>
      </c>
      <c r="B12" s="18" t="s">
        <v>4</v>
      </c>
      <c r="C12" s="33">
        <f>PriorYearIncomeStmt!E12</f>
        <v>36889.240000000005</v>
      </c>
      <c r="D12" s="42">
        <f>'CurrentYearIncomeStmt '!E12</f>
        <v>36652.899999999994</v>
      </c>
    </row>
    <row r="13" spans="1:5" x14ac:dyDescent="0.25">
      <c r="A13" s="11">
        <v>5</v>
      </c>
      <c r="B13" s="18" t="s">
        <v>5</v>
      </c>
      <c r="C13" s="33">
        <f>PriorYearIncomeStmt!E13</f>
        <v>19259.730000000003</v>
      </c>
      <c r="D13" s="42">
        <f>'CurrentYearIncomeStmt '!E13</f>
        <v>18107.490000000002</v>
      </c>
    </row>
    <row r="14" spans="1:5" x14ac:dyDescent="0.25">
      <c r="A14" s="11">
        <v>6</v>
      </c>
      <c r="B14" s="18" t="s">
        <v>159</v>
      </c>
      <c r="C14" s="33">
        <f>PriorYearIncomeStmt!E14</f>
        <v>569.67999999999984</v>
      </c>
      <c r="D14" s="42">
        <f>'CurrentYearIncomeStmt '!E14</f>
        <v>1737.1299999999997</v>
      </c>
    </row>
    <row r="15" spans="1:5" x14ac:dyDescent="0.25">
      <c r="A15" s="11">
        <v>7</v>
      </c>
      <c r="B15" s="92" t="s">
        <v>158</v>
      </c>
      <c r="C15" s="41">
        <f>SUM(C9:C14)</f>
        <v>1141137.2500000002</v>
      </c>
      <c r="D15" s="43">
        <f t="shared" ref="D15" si="0">SUM(D9:D14)</f>
        <v>1080496.07</v>
      </c>
      <c r="E15" s="1"/>
    </row>
    <row r="16" spans="1:5" x14ac:dyDescent="0.25">
      <c r="A16" s="11">
        <v>8</v>
      </c>
      <c r="B16" s="18" t="s">
        <v>6</v>
      </c>
      <c r="C16" s="33">
        <f>PriorYearIncomeStmt!E16</f>
        <v>244269.78000000003</v>
      </c>
      <c r="D16" s="42">
        <f>'CurrentYearIncomeStmt '!E16</f>
        <v>263915.69</v>
      </c>
    </row>
    <row r="17" spans="1:5" x14ac:dyDescent="0.25">
      <c r="A17" s="11">
        <v>9</v>
      </c>
      <c r="B17" s="18" t="s">
        <v>40</v>
      </c>
      <c r="C17" s="33">
        <f>PriorYearIncomeStmt!E17</f>
        <v>111361.18000000001</v>
      </c>
      <c r="D17" s="42">
        <f>'CurrentYearIncomeStmt '!E17</f>
        <v>115429.01999999999</v>
      </c>
    </row>
    <row r="18" spans="1:5" x14ac:dyDescent="0.25">
      <c r="A18" s="11">
        <v>10</v>
      </c>
      <c r="B18" s="18" t="s">
        <v>7</v>
      </c>
      <c r="C18" s="33">
        <f>PriorYearIncomeStmt!E18</f>
        <v>311487.51</v>
      </c>
      <c r="D18" s="42">
        <f>'CurrentYearIncomeStmt '!E18</f>
        <v>366172</v>
      </c>
    </row>
    <row r="19" spans="1:5" x14ac:dyDescent="0.25">
      <c r="A19" s="11">
        <v>11</v>
      </c>
      <c r="B19" s="18" t="s">
        <v>8</v>
      </c>
      <c r="C19" s="33">
        <f>PriorYearIncomeStmt!E19</f>
        <v>13235.9</v>
      </c>
      <c r="D19" s="42">
        <f>'CurrentYearIncomeStmt '!E19</f>
        <v>14820.11</v>
      </c>
    </row>
    <row r="20" spans="1:5" x14ac:dyDescent="0.25">
      <c r="A20" s="11">
        <v>12</v>
      </c>
      <c r="B20" s="18" t="s">
        <v>9</v>
      </c>
      <c r="C20" s="33">
        <f>PriorYearIncomeStmt!E20</f>
        <v>101986.59</v>
      </c>
      <c r="D20" s="42">
        <f>'CurrentYearIncomeStmt '!E20</f>
        <v>83368</v>
      </c>
    </row>
    <row r="21" spans="1:5" x14ac:dyDescent="0.25">
      <c r="A21" s="11">
        <v>13</v>
      </c>
      <c r="B21" s="18" t="s">
        <v>10</v>
      </c>
      <c r="C21" s="33">
        <f>PriorYearIncomeStmt!E21</f>
        <v>142226.18</v>
      </c>
      <c r="D21" s="42">
        <f>'CurrentYearIncomeStmt '!E21</f>
        <v>134632.28</v>
      </c>
    </row>
    <row r="22" spans="1:5" x14ac:dyDescent="0.25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25">
      <c r="A23" s="11" t="s">
        <v>155</v>
      </c>
      <c r="B23" s="18" t="s">
        <v>156</v>
      </c>
      <c r="C23" s="33">
        <f>SUM(C21:C22)</f>
        <v>142226.18</v>
      </c>
      <c r="D23" s="42">
        <f t="shared" ref="D23" si="1">SUM(D21:D22)</f>
        <v>134632.28</v>
      </c>
    </row>
    <row r="24" spans="1:5" x14ac:dyDescent="0.25">
      <c r="A24" s="11">
        <v>14</v>
      </c>
      <c r="B24" s="92" t="s">
        <v>157</v>
      </c>
      <c r="C24" s="41">
        <f>C16+C17+C18+C19+C20+C23</f>
        <v>924567.1399999999</v>
      </c>
      <c r="D24" s="43">
        <f t="shared" ref="D24" si="2">D16+D17+D18+D19+D20+D23</f>
        <v>978337.1</v>
      </c>
      <c r="E24" s="1"/>
    </row>
    <row r="25" spans="1:5" x14ac:dyDescent="0.25">
      <c r="A25" s="11">
        <v>15</v>
      </c>
      <c r="B25" s="18" t="s">
        <v>14</v>
      </c>
      <c r="C25" s="33">
        <f>C15-C24</f>
        <v>216570.11000000034</v>
      </c>
      <c r="D25" s="42">
        <f t="shared" ref="D25" si="3">D15-D24</f>
        <v>102158.97000000009</v>
      </c>
    </row>
    <row r="26" spans="1:5" x14ac:dyDescent="0.25">
      <c r="A26" s="11">
        <v>16</v>
      </c>
      <c r="B26" s="18" t="s">
        <v>161</v>
      </c>
      <c r="C26" s="33">
        <f>PriorYearIncomeStmt!E26</f>
        <v>-1311.0899999999965</v>
      </c>
      <c r="D26" s="42">
        <f>'CurrentYearIncomeStmt '!E26</f>
        <v>28038.14</v>
      </c>
    </row>
    <row r="27" spans="1:5" x14ac:dyDescent="0.25">
      <c r="A27" s="11">
        <v>17</v>
      </c>
      <c r="B27" s="18" t="s">
        <v>11</v>
      </c>
      <c r="C27" s="33">
        <f>PriorYearIncomeStmt!E27</f>
        <v>0</v>
      </c>
      <c r="D27" s="42">
        <f>'CurrentYearIncomeStmt '!E27</f>
        <v>0</v>
      </c>
    </row>
    <row r="28" spans="1:5" x14ac:dyDescent="0.25">
      <c r="A28" s="11">
        <v>18</v>
      </c>
      <c r="B28" s="18" t="s">
        <v>224</v>
      </c>
      <c r="C28" s="33">
        <f>PriorYearIncomeStmt!E28</f>
        <v>60491.380000000005</v>
      </c>
      <c r="D28" s="42">
        <f>'CurrentYearIncomeStmt '!E28</f>
        <v>31775.010000000002</v>
      </c>
    </row>
    <row r="29" spans="1:5" x14ac:dyDescent="0.25">
      <c r="A29" s="11">
        <v>19</v>
      </c>
      <c r="B29" s="18" t="s">
        <v>13</v>
      </c>
      <c r="C29" s="33">
        <f>PriorYearIncomeStmt!E29</f>
        <v>42888.99</v>
      </c>
      <c r="D29" s="42">
        <f>'CurrentYearIncomeStmt '!E29</f>
        <v>39459.379999999997</v>
      </c>
    </row>
    <row r="30" spans="1:5" x14ac:dyDescent="0.25">
      <c r="A30" s="11">
        <v>20</v>
      </c>
      <c r="B30" s="92" t="s">
        <v>12</v>
      </c>
      <c r="C30" s="38">
        <f>SUM(C27:C29)</f>
        <v>103380.37</v>
      </c>
      <c r="D30" s="44">
        <f t="shared" ref="D30" si="4">SUM(D27:D29)</f>
        <v>71234.39</v>
      </c>
    </row>
    <row r="31" spans="1:5" x14ac:dyDescent="0.25">
      <c r="A31" s="11">
        <v>21</v>
      </c>
      <c r="B31" s="92" t="s">
        <v>23</v>
      </c>
      <c r="C31" s="38">
        <f>C25+C26-C30</f>
        <v>111878.65000000034</v>
      </c>
      <c r="D31" s="44">
        <f>D25+D26-D30</f>
        <v>58962.720000000088</v>
      </c>
    </row>
    <row r="32" spans="1:5" x14ac:dyDescent="0.25">
      <c r="A32" s="11">
        <v>22</v>
      </c>
      <c r="B32" s="18" t="s">
        <v>15</v>
      </c>
      <c r="C32" s="33">
        <f>PriorYearIncomeStmt!E32</f>
        <v>0</v>
      </c>
      <c r="D32" s="42">
        <f>'CurrentYearIncomeStmt '!E32</f>
        <v>0</v>
      </c>
    </row>
    <row r="33" spans="1:4" x14ac:dyDescent="0.25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25">
      <c r="A34" s="11">
        <v>24</v>
      </c>
      <c r="B34" s="18" t="s">
        <v>17</v>
      </c>
      <c r="C34" s="33">
        <f>PriorYearIncomeStmt!E34</f>
        <v>-1.28</v>
      </c>
      <c r="D34" s="42">
        <f>'CurrentYearIncomeStmt '!E34</f>
        <v>0</v>
      </c>
    </row>
    <row r="35" spans="1:4" x14ac:dyDescent="0.25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25">
      <c r="A36" s="11">
        <v>26</v>
      </c>
      <c r="B36" s="92" t="s">
        <v>18</v>
      </c>
      <c r="C36" s="38">
        <f>SUM(C32:C35)</f>
        <v>-1.28</v>
      </c>
      <c r="D36" s="44">
        <f t="shared" ref="D36" si="5">SUM(D32:D35)</f>
        <v>0</v>
      </c>
    </row>
    <row r="37" spans="1:4" x14ac:dyDescent="0.25">
      <c r="A37" s="11">
        <v>27</v>
      </c>
      <c r="B37" s="18" t="s">
        <v>19</v>
      </c>
      <c r="C37" s="33">
        <f>PriorYearIncomeStmt!E37</f>
        <v>1069.58</v>
      </c>
      <c r="D37" s="42">
        <f>'CurrentYearIncomeStmt '!E37</f>
        <v>1135.52</v>
      </c>
    </row>
    <row r="38" spans="1:4" x14ac:dyDescent="0.25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25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25">
      <c r="A40" s="11">
        <v>30</v>
      </c>
      <c r="B40" s="18" t="s">
        <v>21</v>
      </c>
      <c r="C40" s="33">
        <f>PriorYearIncomeStmt!E40</f>
        <v>-26711.620000000039</v>
      </c>
      <c r="D40" s="42">
        <f>'CurrentYearIncomeStmt '!E40</f>
        <v>-26979.529999999984</v>
      </c>
    </row>
    <row r="41" spans="1:4" x14ac:dyDescent="0.25">
      <c r="A41" s="11">
        <v>31</v>
      </c>
      <c r="B41" s="92" t="s">
        <v>22</v>
      </c>
      <c r="C41" s="38">
        <f>C31-C36+C37+C38+C39+C40</f>
        <v>86237.890000000305</v>
      </c>
      <c r="D41" s="44">
        <f t="shared" ref="D41" si="6">D31-D36+D37+D38+D39+D40</f>
        <v>33118.710000000101</v>
      </c>
    </row>
    <row r="42" spans="1:4" x14ac:dyDescent="0.25">
      <c r="A42" s="11">
        <v>32</v>
      </c>
      <c r="B42" s="18" t="s">
        <v>24</v>
      </c>
      <c r="C42" s="45"/>
      <c r="D42" s="73"/>
    </row>
    <row r="43" spans="1:4" x14ac:dyDescent="0.25">
      <c r="A43" s="11">
        <v>33</v>
      </c>
      <c r="B43" s="18" t="s">
        <v>25</v>
      </c>
      <c r="C43" s="33">
        <f>PriorYearIncomeStmt!E43</f>
        <v>1971936.86</v>
      </c>
      <c r="D43" s="42">
        <f>'CurrentYearIncomeStmt '!E43</f>
        <v>1766309.08</v>
      </c>
    </row>
    <row r="44" spans="1:4" x14ac:dyDescent="0.25">
      <c r="A44" s="11">
        <v>34</v>
      </c>
      <c r="B44" s="18" t="s">
        <v>26</v>
      </c>
      <c r="C44" s="33">
        <f>PriorYearIncomeStmt!E44</f>
        <v>238465.18</v>
      </c>
      <c r="D44" s="42">
        <f>'CurrentYearIncomeStmt '!E44</f>
        <v>245784.42000000333</v>
      </c>
    </row>
    <row r="45" spans="1:4" x14ac:dyDescent="0.25">
      <c r="A45" s="11">
        <v>35</v>
      </c>
      <c r="B45" s="18" t="s">
        <v>27</v>
      </c>
      <c r="C45" s="33">
        <f>PriorYearIncomeStmt!E45</f>
        <v>338581.31</v>
      </c>
      <c r="D45" s="42">
        <f>'CurrentYearIncomeStmt '!E45</f>
        <v>189445.28</v>
      </c>
    </row>
    <row r="46" spans="1:4" x14ac:dyDescent="0.25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25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25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25">
      <c r="A49" s="11">
        <v>39</v>
      </c>
      <c r="B49" s="92" t="s">
        <v>31</v>
      </c>
      <c r="C49" s="38">
        <f>(C41+C43+C44)-(C45+C46+C47+C48)</f>
        <v>1958058.6200000006</v>
      </c>
      <c r="D49" s="44">
        <f t="shared" ref="D49" si="7">(D41+D43+D44)-(D45+D46+D47+D48)</f>
        <v>1855766.9300000037</v>
      </c>
    </row>
    <row r="50" spans="1:8" x14ac:dyDescent="0.25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25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25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25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25">
      <c r="A54" s="11">
        <v>44</v>
      </c>
      <c r="B54" s="18" t="s">
        <v>35</v>
      </c>
      <c r="C54" s="33">
        <f>PriorYearIncomeStmt!E54</f>
        <v>0</v>
      </c>
      <c r="D54" s="42">
        <f>'CurrentYearIncomeStmt '!E54</f>
        <v>0</v>
      </c>
    </row>
    <row r="55" spans="1:8" x14ac:dyDescent="0.25">
      <c r="A55" s="11">
        <v>45</v>
      </c>
      <c r="B55" s="18" t="s">
        <v>36</v>
      </c>
      <c r="C55" s="50">
        <f>((C24+C30-C18-C19)/C15)</f>
        <v>0.61624848369466489</v>
      </c>
      <c r="D55" s="50">
        <f>((D24+D30-D18-D19)/D15)</f>
        <v>0.61877076517270435</v>
      </c>
    </row>
    <row r="56" spans="1:8" x14ac:dyDescent="0.25">
      <c r="A56" s="11">
        <v>46</v>
      </c>
      <c r="B56" s="18" t="s">
        <v>37</v>
      </c>
      <c r="C56" s="50">
        <f>((C24+C30+C36)/C15)</f>
        <v>0.90080858371769013</v>
      </c>
      <c r="D56" s="50">
        <f>((D24+D30+D36)/D15)</f>
        <v>0.97137927581726413</v>
      </c>
    </row>
    <row r="57" spans="1:8" x14ac:dyDescent="0.25">
      <c r="A57" s="11">
        <v>47</v>
      </c>
      <c r="B57" s="18" t="s">
        <v>38</v>
      </c>
      <c r="C57" s="50">
        <f>((C41+C36)/C36)</f>
        <v>-67372.351562500233</v>
      </c>
      <c r="D57" s="50" t="e">
        <f t="shared" ref="D57" si="9">((D41+D36)/D36)</f>
        <v>#DIV/0!</v>
      </c>
    </row>
    <row r="58" spans="1:8" x14ac:dyDescent="0.25">
      <c r="A58" s="11">
        <v>48</v>
      </c>
      <c r="B58" s="18" t="s">
        <v>39</v>
      </c>
      <c r="C58" s="46" t="e">
        <f>(C41+C36+C18+C19)/C54</f>
        <v>#DIV/0!</v>
      </c>
      <c r="D58" s="50" t="e">
        <f t="shared" ref="D58" si="10">(D41+D36+D18+D19)/D54</f>
        <v>#DIV/0!</v>
      </c>
    </row>
    <row r="59" spans="1:8" x14ac:dyDescent="0.25">
      <c r="A59" s="20"/>
      <c r="B59" s="20"/>
      <c r="C59" s="20"/>
      <c r="D59" s="16"/>
    </row>
    <row r="61" spans="1:8" x14ac:dyDescent="0.25">
      <c r="B61" t="s">
        <v>225</v>
      </c>
      <c r="C61" s="49" t="s">
        <v>177</v>
      </c>
      <c r="D61" s="49" t="s">
        <v>261</v>
      </c>
    </row>
    <row r="62" spans="1:8" x14ac:dyDescent="0.25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25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25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25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25">
      <c r="A66" s="68"/>
      <c r="B66" s="68"/>
      <c r="C66" s="68"/>
      <c r="D66" s="68"/>
      <c r="E66" s="68"/>
      <c r="F66" s="68"/>
      <c r="G66" s="68"/>
      <c r="H66" s="68"/>
    </row>
    <row r="67" spans="1:8" x14ac:dyDescent="0.25">
      <c r="A67" s="68"/>
      <c r="B67" s="68"/>
      <c r="C67" s="68"/>
      <c r="D67" s="68"/>
      <c r="E67" s="68"/>
      <c r="F67" s="68"/>
      <c r="G67" s="68"/>
      <c r="H67" s="68"/>
    </row>
    <row r="68" spans="1:8" x14ac:dyDescent="0.25">
      <c r="A68" s="68"/>
      <c r="B68" s="68"/>
      <c r="C68" s="68"/>
      <c r="D68" s="68"/>
      <c r="E68" s="68"/>
      <c r="F68" s="68"/>
      <c r="G68" s="68"/>
      <c r="H68" s="68"/>
    </row>
    <row r="69" spans="1:8" x14ac:dyDescent="0.25">
      <c r="A69" s="68"/>
      <c r="B69" s="68"/>
      <c r="C69" s="68"/>
      <c r="D69" s="68"/>
      <c r="E69" s="68"/>
      <c r="F69" s="68"/>
      <c r="G69" s="68"/>
      <c r="H69" s="68"/>
    </row>
    <row r="70" spans="1:8" x14ac:dyDescent="0.25">
      <c r="A70" s="68"/>
      <c r="B70" s="68"/>
      <c r="C70" s="68"/>
      <c r="D70" s="68"/>
      <c r="E70" s="68"/>
      <c r="F70" s="68"/>
      <c r="G70" s="68"/>
      <c r="H70" s="68"/>
    </row>
    <row r="71" spans="1:8" x14ac:dyDescent="0.25">
      <c r="A71" s="68"/>
      <c r="B71" s="68"/>
      <c r="C71" s="68"/>
      <c r="D71" s="68"/>
      <c r="E71" s="68"/>
      <c r="F71" s="68"/>
      <c r="G71" s="68"/>
      <c r="H71" s="68"/>
    </row>
    <row r="72" spans="1:8" x14ac:dyDescent="0.25">
      <c r="A72" s="68"/>
      <c r="B72" s="68"/>
      <c r="C72" s="68"/>
      <c r="D72" s="68"/>
      <c r="E72" s="68"/>
      <c r="F72" s="68"/>
      <c r="G72" s="68"/>
      <c r="H72" s="68"/>
    </row>
    <row r="73" spans="1:8" x14ac:dyDescent="0.25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2015-07-31T07:00:00+00:00</OpenedDate>
    <Date1 xmlns="dc463f71-b30c-4ab2-9473-d307f9d35888">2015-07-31T07:00:00+00:00</Date1>
    <IsDocumentOrder xmlns="dc463f71-b30c-4ab2-9473-d307f9d35888" xsi:nil="true"/>
    <IsHighlyConfidential xmlns="dc463f71-b30c-4ab2-9473-d307f9d35888">false</IsHighlyConfidential>
    <CaseCompanyNames xmlns="dc463f71-b30c-4ab2-9473-d307f9d35888">Asotin Telephone Company</CaseCompanyNames>
    <DocketNumber xmlns="dc463f71-b30c-4ab2-9473-d307f9d35888">151586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62F1E138F2BA4C9B9C63B25EBF7B89" ma:contentTypeVersion="119" ma:contentTypeDescription="" ma:contentTypeScope="" ma:versionID="9d4b405cea45d63e16c1b5bab467b13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6F59B9A-8EAF-48FD-9C4C-EB7F80D9A29E}"/>
</file>

<file path=customXml/itemProps2.xml><?xml version="1.0" encoding="utf-8"?>
<ds:datastoreItem xmlns:ds="http://schemas.openxmlformats.org/officeDocument/2006/customXml" ds:itemID="{D1116EE6-B540-49F9-9851-5B92D2B90846}"/>
</file>

<file path=customXml/itemProps3.xml><?xml version="1.0" encoding="utf-8"?>
<ds:datastoreItem xmlns:ds="http://schemas.openxmlformats.org/officeDocument/2006/customXml" ds:itemID="{8165D052-0C7A-4A5F-BBDE-BD044C3CC4EE}"/>
</file>

<file path=customXml/itemProps4.xml><?xml version="1.0" encoding="utf-8"?>
<ds:datastoreItem xmlns:ds="http://schemas.openxmlformats.org/officeDocument/2006/customXml" ds:itemID="{4914A397-4B69-4CE7-BD02-F7493EC5AF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usrdud</cp:lastModifiedBy>
  <cp:lastPrinted>2015-06-04T22:32:37Z</cp:lastPrinted>
  <dcterms:created xsi:type="dcterms:W3CDTF">2014-05-21T17:51:51Z</dcterms:created>
  <dcterms:modified xsi:type="dcterms:W3CDTF">2015-07-31T15:51:17Z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0x0101006E56B4D1795A2E4DB2F0B01679ED314A00E462F1E138F2BA4C9B9C63B25EBF7B89</vt:lpwstr>
  </property>
  <property fmtid="{D5CDD505-2E9C-101B-9397-08002B2CF9AE}" pid="3" name="_docset_NoMedatataSyncRequired">
    <vt:lpwstr>False</vt:lpwstr>
  </property>
</Properties>
</file>