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0" windowWidth="25200" windowHeight="11850"/>
  </bookViews>
  <sheets>
    <sheet name="ADIT Dec 2017" sheetId="5" r:id="rId1"/>
    <sheet name="Electric" sheetId="15" r:id="rId2"/>
    <sheet name="Gas" sheetId="14" r:id="rId3"/>
    <sheet name="Common" sheetId="13" r:id="rId4"/>
    <sheet name="PT 257" sheetId="18" r:id="rId5"/>
  </sheets>
  <definedNames>
    <definedName name="_xlnm._FilterDatabase" localSheetId="0" hidden="1">'ADIT Dec 2017'!$B$6:$H$80</definedName>
    <definedName name="_xlnm._FilterDatabase" localSheetId="3" hidden="1">Common!$B$6:$H$26</definedName>
    <definedName name="_xlnm._FilterDatabase" localSheetId="1" hidden="1">Electric!$B$6:$H$60</definedName>
    <definedName name="_xlnm._FilterDatabase" localSheetId="2" hidden="1">Gas!$B$6:$H$31</definedName>
    <definedName name="_xlnm._FilterDatabase" localSheetId="4" hidden="1">'PT 257'!$A$6:$S$97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2">Gas!$1:$6</definedName>
  </definedNames>
  <calcPr calcId="162913" calcMode="autoNoTable"/>
</workbook>
</file>

<file path=xl/calcChain.xml><?xml version="1.0" encoding="utf-8"?>
<calcChain xmlns="http://schemas.openxmlformats.org/spreadsheetml/2006/main">
  <c r="O132" i="18" l="1"/>
  <c r="I128" i="18"/>
  <c r="H128" i="18"/>
  <c r="G127" i="18"/>
  <c r="G125" i="18"/>
  <c r="G121" i="18"/>
  <c r="O120" i="18"/>
  <c r="G120" i="18"/>
  <c r="G119" i="18"/>
  <c r="G131" i="18" s="1"/>
  <c r="G115" i="18"/>
  <c r="L112" i="18"/>
  <c r="J113" i="18" s="1"/>
  <c r="H112" i="18"/>
  <c r="L111" i="18"/>
  <c r="L110" i="18"/>
  <c r="H113" i="18" s="1"/>
  <c r="K110" i="18"/>
  <c r="J110" i="18"/>
  <c r="J112" i="18" s="1"/>
  <c r="I110" i="18"/>
  <c r="I112" i="18" s="1"/>
  <c r="H110" i="18"/>
  <c r="G110" i="18"/>
  <c r="G112" i="18" s="1"/>
  <c r="L105" i="18"/>
  <c r="H105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G133" i="18" l="1"/>
  <c r="L113" i="18"/>
  <c r="G128" i="18"/>
  <c r="H106" i="18"/>
  <c r="J114" i="18"/>
  <c r="H120" i="18" s="1"/>
  <c r="I120" i="18" s="1"/>
  <c r="M113" i="18"/>
  <c r="H114" i="18"/>
  <c r="H121" i="18" s="1"/>
  <c r="H133" i="18" s="1"/>
  <c r="L122" i="18"/>
  <c r="J116" i="18"/>
  <c r="I113" i="18"/>
  <c r="I114" i="18" s="1"/>
  <c r="H119" i="18" s="1"/>
  <c r="H131" i="18" s="1"/>
  <c r="L106" i="18"/>
  <c r="G132" i="18"/>
  <c r="G134" i="18" s="1"/>
  <c r="G122" i="18"/>
  <c r="K121" i="18" l="1"/>
  <c r="K119" i="18"/>
  <c r="K122" i="18" s="1"/>
  <c r="I132" i="18"/>
  <c r="K131" i="18" s="1"/>
  <c r="I121" i="18"/>
  <c r="I133" i="18" s="1"/>
  <c r="L119" i="18"/>
  <c r="L121" i="18" s="1"/>
  <c r="N121" i="18" s="1"/>
  <c r="H132" i="18"/>
  <c r="H134" i="18" s="1"/>
  <c r="I119" i="18"/>
  <c r="N119" i="18"/>
  <c r="G113" i="18"/>
  <c r="G114" i="18" s="1"/>
  <c r="I116" i="18"/>
  <c r="L134" i="18"/>
  <c r="H116" i="18"/>
  <c r="N122" i="18" l="1"/>
  <c r="K133" i="18"/>
  <c r="M121" i="18"/>
  <c r="O121" i="18" s="1"/>
  <c r="L131" i="18"/>
  <c r="N131" i="18" s="1"/>
  <c r="I131" i="18"/>
  <c r="M119" i="18"/>
  <c r="K134" i="18"/>
  <c r="H122" i="18"/>
  <c r="G116" i="18"/>
  <c r="I122" i="18" s="1"/>
  <c r="M133" i="18"/>
  <c r="L133" i="18" l="1"/>
  <c r="N133" i="18" s="1"/>
  <c r="N134" i="18" s="1"/>
  <c r="O133" i="18"/>
  <c r="O119" i="18"/>
  <c r="O122" i="18" s="1"/>
  <c r="M122" i="18"/>
  <c r="M131" i="18"/>
  <c r="I134" i="18"/>
  <c r="O131" i="18" l="1"/>
  <c r="M134" i="18"/>
  <c r="O134" i="18" l="1"/>
  <c r="H88" i="5" l="1"/>
  <c r="H89" i="5"/>
  <c r="H87" i="5"/>
  <c r="H37" i="14"/>
  <c r="H36" i="14"/>
  <c r="H35" i="14"/>
  <c r="H66" i="15"/>
  <c r="H65" i="15"/>
  <c r="H64" i="15"/>
  <c r="H86" i="5"/>
  <c r="F80" i="13"/>
  <c r="E80" i="13"/>
  <c r="G80" i="13" s="1"/>
  <c r="F56" i="13"/>
  <c r="E56" i="13"/>
  <c r="G56" i="13" s="1"/>
  <c r="F32" i="13"/>
  <c r="E32" i="13"/>
  <c r="G32" i="13" s="1"/>
  <c r="F24" i="14"/>
  <c r="E24" i="14"/>
  <c r="G24" i="14" s="1"/>
  <c r="F49" i="15"/>
  <c r="E49" i="15"/>
  <c r="G49" i="15" s="1"/>
  <c r="G35" i="15"/>
  <c r="H35" i="15" s="1"/>
  <c r="F20" i="13"/>
  <c r="E20" i="13"/>
  <c r="G20" i="13" s="1"/>
  <c r="H30" i="15"/>
  <c r="E30" i="15"/>
  <c r="H17" i="13"/>
  <c r="E17" i="13"/>
  <c r="H18" i="14"/>
  <c r="E18" i="14"/>
  <c r="G24" i="15"/>
  <c r="H24" i="15" s="1"/>
  <c r="F11" i="14"/>
  <c r="E11" i="14"/>
  <c r="G11" i="14" s="1"/>
  <c r="F10" i="14"/>
  <c r="E10" i="14"/>
  <c r="G10" i="14" s="1"/>
  <c r="L8" i="13"/>
  <c r="K8" i="13"/>
  <c r="J8" i="13"/>
  <c r="G8" i="13"/>
  <c r="H8" i="13" s="1"/>
  <c r="E47" i="5"/>
  <c r="E46" i="5"/>
  <c r="E45" i="5"/>
  <c r="H80" i="13" l="1"/>
  <c r="H56" i="13"/>
  <c r="H32" i="13"/>
  <c r="H24" i="14"/>
  <c r="H49" i="15"/>
  <c r="H20" i="13"/>
  <c r="H10" i="14"/>
  <c r="H11" i="14"/>
  <c r="F70" i="5"/>
  <c r="E70" i="5"/>
  <c r="F69" i="5"/>
  <c r="E69" i="5"/>
  <c r="G53" i="5"/>
  <c r="H53" i="5" s="1"/>
  <c r="G8" i="5"/>
  <c r="H8" i="5" s="1"/>
  <c r="F50" i="5"/>
  <c r="E50" i="5"/>
  <c r="G40" i="5"/>
  <c r="H40" i="5" s="1"/>
  <c r="F26" i="5"/>
  <c r="E26" i="5"/>
  <c r="F25" i="5"/>
  <c r="E25" i="5"/>
  <c r="G18" i="13" l="1"/>
  <c r="G65" i="13"/>
  <c r="G66" i="13" s="1"/>
  <c r="G41" i="13"/>
  <c r="G42" i="13" s="1"/>
  <c r="G48" i="5"/>
  <c r="L21" i="13" l="1"/>
  <c r="K21" i="13"/>
  <c r="J21" i="13"/>
  <c r="L20" i="13"/>
  <c r="K20" i="13"/>
  <c r="J20" i="13"/>
  <c r="L9" i="13"/>
  <c r="K9" i="13"/>
  <c r="J9" i="13"/>
  <c r="F33" i="13" s="1"/>
  <c r="G19" i="14"/>
  <c r="G31" i="15"/>
  <c r="F93" i="13"/>
  <c r="E93" i="13"/>
  <c r="F92" i="13"/>
  <c r="E92" i="13"/>
  <c r="E94" i="13" s="1"/>
  <c r="F89" i="13"/>
  <c r="E89" i="13"/>
  <c r="F86" i="13"/>
  <c r="E86" i="13"/>
  <c r="G86" i="13" s="1"/>
  <c r="F85" i="13"/>
  <c r="E85" i="13"/>
  <c r="G85" i="13" s="1"/>
  <c r="F84" i="13"/>
  <c r="E84" i="13"/>
  <c r="G84" i="13" s="1"/>
  <c r="F81" i="13"/>
  <c r="E81" i="13"/>
  <c r="G81" i="13" s="1"/>
  <c r="G93" i="13"/>
  <c r="G89" i="13"/>
  <c r="G90" i="13" s="1"/>
  <c r="F69" i="13"/>
  <c r="E69" i="13"/>
  <c r="G69" i="13" s="1"/>
  <c r="F68" i="13"/>
  <c r="E68" i="13"/>
  <c r="G68" i="13" s="1"/>
  <c r="F65" i="13"/>
  <c r="E65" i="13"/>
  <c r="E66" i="13" s="1"/>
  <c r="E19" i="14" s="1"/>
  <c r="F62" i="13"/>
  <c r="E62" i="13"/>
  <c r="G62" i="13" s="1"/>
  <c r="F61" i="13"/>
  <c r="E61" i="13"/>
  <c r="G61" i="13" s="1"/>
  <c r="F60" i="13"/>
  <c r="E60" i="13"/>
  <c r="G60" i="13" s="1"/>
  <c r="F57" i="13"/>
  <c r="E57" i="13"/>
  <c r="G57" i="13" s="1"/>
  <c r="F45" i="13"/>
  <c r="E45" i="13"/>
  <c r="G45" i="13" s="1"/>
  <c r="F44" i="13"/>
  <c r="E44" i="13"/>
  <c r="G44" i="13" s="1"/>
  <c r="F41" i="13"/>
  <c r="F42" i="13" s="1"/>
  <c r="F31" i="15" s="1"/>
  <c r="E41" i="13"/>
  <c r="F38" i="13"/>
  <c r="E38" i="13"/>
  <c r="G38" i="13" s="1"/>
  <c r="F37" i="13"/>
  <c r="E37" i="13"/>
  <c r="G37" i="13" s="1"/>
  <c r="F36" i="13"/>
  <c r="E36" i="13"/>
  <c r="G36" i="13" s="1"/>
  <c r="E33" i="13"/>
  <c r="G33" i="13" s="1"/>
  <c r="L11" i="13"/>
  <c r="F83" i="13" s="1"/>
  <c r="K11" i="13"/>
  <c r="F59" i="13" s="1"/>
  <c r="J11" i="13"/>
  <c r="F35" i="13" s="1"/>
  <c r="L10" i="13"/>
  <c r="E82" i="13" s="1"/>
  <c r="G82" i="13" s="1"/>
  <c r="K10" i="13"/>
  <c r="F58" i="13" s="1"/>
  <c r="J10" i="13"/>
  <c r="F34" i="13" s="1"/>
  <c r="L7" i="13"/>
  <c r="F79" i="13" s="1"/>
  <c r="K7" i="13"/>
  <c r="F55" i="13" s="1"/>
  <c r="J7" i="13"/>
  <c r="F31" i="13" s="1"/>
  <c r="F46" i="13" l="1"/>
  <c r="F54" i="15" s="1"/>
  <c r="E42" i="13"/>
  <c r="H36" i="13"/>
  <c r="H38" i="13"/>
  <c r="H41" i="13"/>
  <c r="H37" i="13"/>
  <c r="H45" i="13"/>
  <c r="G46" i="13"/>
  <c r="G54" i="15" s="1"/>
  <c r="H33" i="13"/>
  <c r="E58" i="13"/>
  <c r="G58" i="13" s="1"/>
  <c r="H58" i="13" s="1"/>
  <c r="E79" i="13"/>
  <c r="G79" i="13" s="1"/>
  <c r="H79" i="13" s="1"/>
  <c r="G70" i="13"/>
  <c r="G25" i="14" s="1"/>
  <c r="G26" i="14" s="1"/>
  <c r="E34" i="13"/>
  <c r="G34" i="13" s="1"/>
  <c r="H34" i="13" s="1"/>
  <c r="F39" i="13"/>
  <c r="E55" i="13"/>
  <c r="G55" i="13" s="1"/>
  <c r="H55" i="13" s="1"/>
  <c r="E31" i="13"/>
  <c r="G31" i="13" s="1"/>
  <c r="H31" i="13" s="1"/>
  <c r="F82" i="13"/>
  <c r="H82" i="13" s="1"/>
  <c r="E35" i="13"/>
  <c r="G35" i="13" s="1"/>
  <c r="H35" i="13" s="1"/>
  <c r="E59" i="13"/>
  <c r="G59" i="13" s="1"/>
  <c r="H59" i="13" s="1"/>
  <c r="E83" i="13"/>
  <c r="G83" i="13" s="1"/>
  <c r="H83" i="13" s="1"/>
  <c r="E46" i="13"/>
  <c r="E54" i="15" s="1"/>
  <c r="E55" i="15" s="1"/>
  <c r="H81" i="13"/>
  <c r="H85" i="13"/>
  <c r="H89" i="13"/>
  <c r="H93" i="13"/>
  <c r="H84" i="13"/>
  <c r="H86" i="13"/>
  <c r="E90" i="13"/>
  <c r="F94" i="13"/>
  <c r="G92" i="13"/>
  <c r="G94" i="13" s="1"/>
  <c r="F90" i="13"/>
  <c r="H60" i="13"/>
  <c r="H62" i="13"/>
  <c r="H68" i="13"/>
  <c r="G75" i="13"/>
  <c r="E75" i="13"/>
  <c r="H57" i="13"/>
  <c r="H61" i="13"/>
  <c r="H69" i="13"/>
  <c r="E70" i="13"/>
  <c r="E25" i="14" s="1"/>
  <c r="E26" i="14" s="1"/>
  <c r="F63" i="13"/>
  <c r="F15" i="14" s="1"/>
  <c r="F16" i="14" s="1"/>
  <c r="F66" i="13"/>
  <c r="F19" i="14" s="1"/>
  <c r="F70" i="13"/>
  <c r="F25" i="14" s="1"/>
  <c r="F26" i="14" s="1"/>
  <c r="H65" i="13"/>
  <c r="H42" i="13"/>
  <c r="E51" i="13"/>
  <c r="H44" i="13"/>
  <c r="H46" i="13" s="1"/>
  <c r="H54" i="15" s="1"/>
  <c r="F51" i="13"/>
  <c r="G20" i="14"/>
  <c r="F20" i="14"/>
  <c r="F32" i="14" s="1"/>
  <c r="E20" i="14"/>
  <c r="E32" i="14" s="1"/>
  <c r="F55" i="15"/>
  <c r="G32" i="15"/>
  <c r="F32" i="15"/>
  <c r="F61" i="15" s="1"/>
  <c r="G81" i="5"/>
  <c r="G51" i="13" l="1"/>
  <c r="E31" i="15"/>
  <c r="E32" i="15" s="1"/>
  <c r="E61" i="15" s="1"/>
  <c r="E63" i="13"/>
  <c r="E72" i="13" s="1"/>
  <c r="H51" i="13"/>
  <c r="H31" i="15"/>
  <c r="F72" i="13"/>
  <c r="F50" i="13"/>
  <c r="F27" i="15"/>
  <c r="F28" i="15" s="1"/>
  <c r="F60" i="15" s="1"/>
  <c r="F31" i="14"/>
  <c r="F87" i="13"/>
  <c r="F98" i="13" s="1"/>
  <c r="F48" i="13"/>
  <c r="E87" i="13"/>
  <c r="E96" i="13" s="1"/>
  <c r="E39" i="13"/>
  <c r="H92" i="13"/>
  <c r="H94" i="13" s="1"/>
  <c r="E99" i="13"/>
  <c r="G99" i="13"/>
  <c r="F99" i="13"/>
  <c r="F84" i="5" s="1"/>
  <c r="H66" i="13"/>
  <c r="F75" i="13"/>
  <c r="E74" i="13"/>
  <c r="G63" i="13"/>
  <c r="G15" i="14" s="1"/>
  <c r="G16" i="14" s="1"/>
  <c r="F74" i="13"/>
  <c r="H70" i="13"/>
  <c r="H25" i="14" s="1"/>
  <c r="H26" i="14" s="1"/>
  <c r="G53" i="15"/>
  <c r="H53" i="15" s="1"/>
  <c r="G52" i="15"/>
  <c r="H52" i="15" s="1"/>
  <c r="G51" i="15"/>
  <c r="H51" i="15" s="1"/>
  <c r="G50" i="15"/>
  <c r="H50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4" i="15"/>
  <c r="G55" i="15" s="1"/>
  <c r="G61" i="15"/>
  <c r="G26" i="15"/>
  <c r="H26" i="15" s="1"/>
  <c r="G25" i="15"/>
  <c r="H25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3" i="14"/>
  <c r="H23" i="14" s="1"/>
  <c r="G22" i="14"/>
  <c r="H22" i="14" s="1"/>
  <c r="G32" i="14"/>
  <c r="G14" i="14"/>
  <c r="H14" i="14" s="1"/>
  <c r="G13" i="14"/>
  <c r="H13" i="14" s="1"/>
  <c r="G12" i="14"/>
  <c r="H12" i="14" s="1"/>
  <c r="G9" i="14"/>
  <c r="H9" i="14" s="1"/>
  <c r="G8" i="14"/>
  <c r="H8" i="14" s="1"/>
  <c r="G7" i="14"/>
  <c r="H7" i="14" s="1"/>
  <c r="F22" i="13"/>
  <c r="F104" i="13" s="1"/>
  <c r="E22" i="13"/>
  <c r="E104" i="13" s="1"/>
  <c r="G21" i="13"/>
  <c r="H21" i="13" s="1"/>
  <c r="F18" i="13"/>
  <c r="E18" i="13"/>
  <c r="F15" i="13"/>
  <c r="E15" i="13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7" i="13"/>
  <c r="H7" i="13" s="1"/>
  <c r="F96" i="13" l="1"/>
  <c r="E15" i="14"/>
  <c r="E16" i="14" s="1"/>
  <c r="E31" i="14" s="1"/>
  <c r="E84" i="5"/>
  <c r="H32" i="15"/>
  <c r="H61" i="15" s="1"/>
  <c r="H84" i="5" s="1"/>
  <c r="G84" i="5"/>
  <c r="F83" i="5"/>
  <c r="H75" i="13"/>
  <c r="H19" i="14"/>
  <c r="H20" i="14" s="1"/>
  <c r="H32" i="14" s="1"/>
  <c r="E50" i="13"/>
  <c r="E27" i="15"/>
  <c r="E28" i="15" s="1"/>
  <c r="E60" i="15" s="1"/>
  <c r="E98" i="13"/>
  <c r="G87" i="13"/>
  <c r="G98" i="13" s="1"/>
  <c r="F103" i="13"/>
  <c r="F27" i="13"/>
  <c r="F108" i="13" s="1"/>
  <c r="F102" i="13"/>
  <c r="F26" i="13"/>
  <c r="F107" i="13" s="1"/>
  <c r="E48" i="13"/>
  <c r="G39" i="13"/>
  <c r="G27" i="15" s="1"/>
  <c r="G28" i="15" s="1"/>
  <c r="G15" i="13"/>
  <c r="H15" i="13" s="1"/>
  <c r="E102" i="13"/>
  <c r="E26" i="13"/>
  <c r="H18" i="13"/>
  <c r="E103" i="13"/>
  <c r="E27" i="13"/>
  <c r="E108" i="13" s="1"/>
  <c r="H90" i="13"/>
  <c r="H99" i="13" s="1"/>
  <c r="G74" i="13"/>
  <c r="G72" i="13"/>
  <c r="H63" i="13"/>
  <c r="H15" i="14" s="1"/>
  <c r="H16" i="14" s="1"/>
  <c r="F28" i="14"/>
  <c r="E28" i="14"/>
  <c r="F57" i="15"/>
  <c r="H34" i="15"/>
  <c r="H55" i="15" s="1"/>
  <c r="G31" i="14"/>
  <c r="H22" i="13"/>
  <c r="H104" i="13" s="1"/>
  <c r="E24" i="13"/>
  <c r="F24" i="13"/>
  <c r="F105" i="13" s="1"/>
  <c r="G22" i="13"/>
  <c r="H87" i="13" l="1"/>
  <c r="G96" i="13"/>
  <c r="E83" i="5"/>
  <c r="E107" i="13"/>
  <c r="E57" i="15"/>
  <c r="E105" i="13"/>
  <c r="H26" i="13"/>
  <c r="G102" i="13"/>
  <c r="G26" i="13"/>
  <c r="G103" i="13"/>
  <c r="G27" i="13"/>
  <c r="G108" i="13" s="1"/>
  <c r="G50" i="13"/>
  <c r="G48" i="13"/>
  <c r="H39" i="13"/>
  <c r="H27" i="15" s="1"/>
  <c r="H28" i="15" s="1"/>
  <c r="H60" i="15" s="1"/>
  <c r="G24" i="13"/>
  <c r="G104" i="13"/>
  <c r="H103" i="13"/>
  <c r="H27" i="13"/>
  <c r="H108" i="13" s="1"/>
  <c r="H98" i="13"/>
  <c r="H96" i="13"/>
  <c r="H74" i="13"/>
  <c r="H72" i="13"/>
  <c r="G60" i="15"/>
  <c r="G83" i="5" s="1"/>
  <c r="H24" i="13"/>
  <c r="G57" i="15"/>
  <c r="H31" i="14"/>
  <c r="G28" i="14"/>
  <c r="H83" i="5" l="1"/>
  <c r="G107" i="13"/>
  <c r="G105" i="13"/>
  <c r="H48" i="13"/>
  <c r="H105" i="13" s="1"/>
  <c r="H50" i="13"/>
  <c r="H107" i="13" s="1"/>
  <c r="H102" i="13"/>
  <c r="H57" i="15"/>
  <c r="H28" i="14"/>
  <c r="G74" i="5" l="1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2" i="5"/>
  <c r="H52" i="5" s="1"/>
  <c r="G51" i="5"/>
  <c r="H51" i="5" s="1"/>
  <c r="G50" i="5"/>
  <c r="H50" i="5" s="1"/>
  <c r="H47" i="5"/>
  <c r="H46" i="5"/>
  <c r="H45" i="5"/>
  <c r="G42" i="5"/>
  <c r="H42" i="5" s="1"/>
  <c r="G41" i="5"/>
  <c r="H41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7" i="5"/>
  <c r="H7" i="5" s="1"/>
  <c r="F75" i="5" l="1"/>
  <c r="E75" i="5"/>
  <c r="F48" i="5"/>
  <c r="E48" i="5"/>
  <c r="E81" i="5" s="1"/>
  <c r="F43" i="5"/>
  <c r="E43" i="5"/>
  <c r="H48" i="5" l="1"/>
  <c r="H81" i="5" s="1"/>
  <c r="F81" i="5"/>
  <c r="F80" i="5"/>
  <c r="G43" i="5"/>
  <c r="E80" i="5"/>
  <c r="H43" i="5"/>
  <c r="F77" i="5"/>
  <c r="E77" i="5"/>
  <c r="G75" i="5"/>
  <c r="G77" i="5" s="1"/>
  <c r="H75" i="5"/>
  <c r="H80" i="5" l="1"/>
  <c r="G80" i="5"/>
  <c r="H77" i="5"/>
</calcChain>
</file>

<file path=xl/sharedStrings.xml><?xml version="1.0" encoding="utf-8"?>
<sst xmlns="http://schemas.openxmlformats.org/spreadsheetml/2006/main" count="813" uniqueCount="217">
  <si>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</si>
  <si>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</si>
  <si>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</si>
  <si>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</si>
  <si>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</si>
  <si>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</si>
  <si>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</si>
  <si>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</si>
  <si>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</si>
  <si>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</si>
  <si>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</si>
  <si>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</si>
  <si>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</si>
  <si>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</si>
  <si>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</si>
  <si>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</si>
  <si>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</si>
  <si>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</si>
  <si>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</si>
  <si>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</si>
  <si>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</si>
  <si>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</si>
  <si>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</si>
  <si>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</si>
  <si>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</si>
  <si>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</si>
  <si>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</si>
  <si>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</si>
  <si>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</si>
  <si>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</si>
  <si>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</si>
  <si>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</si>
  <si>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</si>
  <si>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</si>
  <si>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</si>
  <si>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</si>
  <si>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</si>
  <si>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</si>
  <si>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</si>
  <si>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</si>
  <si>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</si>
  <si>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</si>
  <si>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</si>
  <si>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</si>
  <si>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</si>
  <si>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</si>
  <si>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</si>
  <si>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</si>
  <si>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</si>
  <si>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</si>
  <si>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</si>
  <si>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</si>
  <si>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</si>
  <si>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</si>
  <si>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</si>
  <si>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</si>
  <si>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</si>
  <si>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</si>
  <si>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</si>
  <si>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</si>
  <si>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</si>
  <si>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</si>
  <si>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</si>
  <si>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</si>
  <si>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</si>
  <si>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</si>
  <si>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</si>
  <si>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</si>
  <si>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</si>
  <si>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</si>
  <si>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</si>
  <si>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</si>
  <si>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</si>
  <si>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</si>
  <si>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</si>
  <si>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</si>
  <si>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</si>
  <si>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</si>
  <si>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</si>
  <si>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</si>
  <si>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</si>
  <si>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</si>
  <si>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</si>
  <si>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</si>
  <si>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</si>
  <si>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</si>
  <si>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</si>
  <si>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</si>
  <si>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</si>
  <si>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</si>
  <si>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</si>
  <si>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</si>
  <si>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</si>
  <si>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</si>
  <si>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</si>
  <si>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</si>
  <si>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</si>
  <si>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</si>
  <si>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</si>
  <si>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</si>
  <si>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</si>
  <si>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</si>
  <si>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</si>
  <si>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</si>
  <si>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</si>
  <si>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</si>
  <si>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</si>
  <si>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</si>
  <si>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</si>
  <si>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</si>
  <si>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</si>
  <si>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</si>
  <si>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</si>
  <si>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</si>
  <si>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</si>
  <si>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</si>
  <si>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</si>
  <si>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</si>
  <si>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</si>
  <si>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</si>
  <si>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</si>
  <si>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</si>
  <si>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</si>
  <si>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</si>
  <si>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</si>
  <si>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</si>
  <si>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</si>
  <si>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</si>
  <si>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</si>
  <si>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</si>
  <si>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</si>
  <si>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</si>
  <si>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</si>
  <si>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</si>
  <si>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</si>
  <si>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</si>
  <si>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</si>
  <si>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</si>
  <si>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</si>
  <si>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</si>
  <si>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</si>
  <si>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</si>
  <si>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</si>
  <si>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</si>
  <si>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</si>
  <si>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</si>
  <si>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</si>
  <si>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</si>
  <si>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</si>
  <si>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</si>
  <si>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</si>
  <si>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</si>
  <si>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</si>
  <si>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</si>
  <si>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</si>
  <si>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</si>
  <si>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</si>
  <si>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</si>
  <si>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</si>
  <si>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</si>
  <si>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</si>
  <si>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</si>
  <si>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</si>
  <si>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</si>
  <si>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</si>
  <si>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</si>
  <si>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</si>
  <si>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</si>
  <si>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</si>
  <si>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</si>
  <si>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</si>
  <si>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</si>
  <si>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</si>
  <si>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</si>
  <si>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</si>
  <si>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</si>
  <si>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</si>
  <si>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</si>
  <si>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</si>
  <si>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</si>
  <si>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</si>
  <si>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</si>
  <si>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</si>
  <si>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</si>
  <si>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</si>
  <si>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</si>
  <si>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</si>
  <si>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</si>
  <si>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</si>
  <si>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</si>
  <si>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</si>
  <si>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</si>
  <si>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</si>
  <si>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</si>
  <si>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</si>
  <si>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</si>
  <si>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</si>
  <si>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December 2017, with the Return to Provision adjustment</t>
  </si>
  <si>
    <t>19001001 DFIT Pole Contact Revenue</t>
  </si>
  <si>
    <t>19000113 DFIT Redmond Prepaid Rent:</t>
  </si>
  <si>
    <t>28300001 DFIT Credit Card Deferral:</t>
  </si>
  <si>
    <t>Uprotected total</t>
  </si>
  <si>
    <t>Protected total</t>
  </si>
  <si>
    <t>Tax Year: 2017</t>
  </si>
  <si>
    <t>PowerTax Deferred Tax Summary Report - Alternate</t>
  </si>
  <si>
    <t>2017 Tax Return Case-B</t>
  </si>
  <si>
    <t>FED - Cap Property Taxes FT MT</t>
  </si>
  <si>
    <t>allocated common</t>
  </si>
  <si>
    <t>total allocated gas &amp; elect</t>
  </si>
  <si>
    <t>unprotected</t>
  </si>
  <si>
    <t>protected</t>
  </si>
  <si>
    <t>Manual adj 481(a) DTA</t>
  </si>
  <si>
    <t>Gas</t>
  </si>
  <si>
    <t>Common</t>
  </si>
  <si>
    <t>Elect</t>
  </si>
  <si>
    <t>With manual Adj.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</si>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</sst>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1" fillId="0" borderId="1" xfId="41595" applyNumberFormat="1" applyFont="1" applyFill="1" applyBorder="1"/>
    <xf numFmtId="0" fontId="0" fillId="0" borderId="0" xfId="0" applyFill="1" applyAlignment="1">
      <alignment horizontal="center"/>
    </xf>
    <xf numFmtId="41" fontId="0" fillId="0" borderId="0" xfId="1" applyFont="1" applyFill="1"/>
    <xf numFmtId="0" fontId="2" fillId="0" borderId="0" xfId="0" applyFont="1" applyFill="1" applyAlignment="1">
      <alignment horizontal="center"/>
    </xf>
    <xf numFmtId="38" fontId="0" fillId="0" borderId="0" xfId="1" applyNumberFormat="1" applyFont="1" applyFill="1"/>
    <xf numFmtId="0" fontId="0" fillId="0" borderId="1" xfId="0" applyFill="1" applyBorder="1"/>
    <xf numFmtId="38" fontId="0" fillId="0" borderId="1" xfId="1" applyNumberFormat="1" applyFont="1" applyFill="1" applyBorder="1"/>
    <xf numFmtId="38" fontId="0" fillId="0" borderId="1" xfId="1" applyNumberFormat="1" applyFont="1" applyFill="1" applyBorder="1" applyAlignment="1">
      <alignment wrapText="1"/>
    </xf>
    <xf numFmtId="38" fontId="0" fillId="0" borderId="21" xfId="1" applyNumberFormat="1" applyFont="1" applyFill="1" applyBorder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" fillId="0" borderId="0" xfId="2" applyNumberFormat="1" applyFont="1" applyFill="1"/>
    <xf numFmtId="165" fontId="0" fillId="0" borderId="21" xfId="0" applyNumberFormat="1" applyFill="1" applyBorder="1"/>
    <xf numFmtId="165" fontId="0" fillId="0" borderId="23" xfId="0" applyNumberFormat="1" applyFill="1" applyBorder="1"/>
    <xf numFmtId="38" fontId="40" fillId="0" borderId="0" xfId="1" applyNumberFormat="1" applyFont="1" applyFill="1" applyAlignment="1">
      <alignment horizontal="lef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41595" applyNumberFormat="1" applyFont="1" applyFill="1" applyAlignment="1">
      <alignment horizontal="right"/>
    </xf>
    <xf numFmtId="165" fontId="1" fillId="0" borderId="0" xfId="41595" applyNumberFormat="1" applyFont="1" applyFill="1"/>
    <xf numFmtId="165" fontId="1" fillId="0" borderId="0" xfId="41595" applyNumberFormat="1" applyFont="1" applyFill="1" applyBorder="1"/>
    <xf numFmtId="9" fontId="1" fillId="0" borderId="1" xfId="2" applyFont="1" applyFill="1" applyBorder="1"/>
    <xf numFmtId="164" fontId="0" fillId="0" borderId="0" xfId="2" applyNumberFormat="1" applyFont="1" applyFill="1" applyBorder="1"/>
    <xf numFmtId="165" fontId="1" fillId="0" borderId="0" xfId="41595" applyNumberFormat="1" applyFont="1" applyFill="1" applyAlignment="1">
      <alignment horizontal="right"/>
    </xf>
    <xf numFmtId="165" fontId="1" fillId="0" borderId="1" xfId="41595" applyNumberFormat="1" applyFont="1" applyFill="1" applyBorder="1" applyAlignment="1">
      <alignment horizontal="right"/>
    </xf>
    <xf numFmtId="165" fontId="0" fillId="0" borderId="1" xfId="41595" applyNumberFormat="1" applyFont="1" applyFill="1" applyBorder="1" applyAlignment="1">
      <alignment horizontal="center"/>
    </xf>
    <xf numFmtId="165" fontId="1" fillId="0" borderId="1" xfId="41595" applyNumberFormat="1" applyFont="1" applyFill="1" applyBorder="1" applyAlignment="1">
      <alignment horizontal="center"/>
    </xf>
    <xf numFmtId="10" fontId="1" fillId="0" borderId="0" xfId="2" applyNumberFormat="1" applyFont="1" applyFill="1"/>
    <xf numFmtId="165" fontId="1" fillId="0" borderId="2" xfId="41595" applyNumberFormat="1" applyFont="1" applyFill="1" applyBorder="1"/>
    <xf numFmtId="38" fontId="0" fillId="0" borderId="2" xfId="1" applyNumberFormat="1" applyFont="1" applyFill="1" applyBorder="1"/>
    <xf numFmtId="165" fontId="38" fillId="0" borderId="0" xfId="41595" applyNumberFormat="1" applyFont="1" applyFill="1"/>
    <xf numFmtId="165" fontId="1" fillId="0" borderId="24" xfId="41595" applyNumberFormat="1" applyFont="1" applyFill="1" applyBorder="1" applyAlignment="1">
      <alignment horizontal="center"/>
    </xf>
    <xf numFmtId="165" fontId="1" fillId="0" borderId="25" xfId="41595" applyNumberFormat="1" applyFont="1" applyFill="1" applyBorder="1" applyAlignment="1">
      <alignment horizontal="center"/>
    </xf>
    <xf numFmtId="164" fontId="1" fillId="0" borderId="24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164" fontId="1" fillId="0" borderId="25" xfId="2" applyNumberFormat="1" applyFont="1" applyFill="1" applyBorder="1" applyAlignment="1">
      <alignment horizontal="center"/>
    </xf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workbookViewId="0"/>
  </sheetViews>
  <sheetFormatPr defaultRowHeight="15" x14ac:dyDescent="0.25"/>
  <cols>
    <col min="1" max="1" width="7.28515625" style="5" customWidth="1"/>
    <col min="2" max="2" width="39.85546875" customWidth="1"/>
    <col min="3" max="3" width="10.28515625" style="9" customWidth="1"/>
    <col min="4" max="4" width="14.42578125" style="9" customWidth="1"/>
    <col min="5" max="8" width="15" style="10" customWidth="1"/>
    <col min="9" max="9" width="14.28515625" style="10" customWidth="1"/>
    <col min="10" max="10" width="9.28515625" bestFit="1" customWidth="1"/>
  </cols>
  <sheetData>
    <row r="1" spans="1:9" ht="14.25" x14ac:dyDescent="0.25">
      <c r="A1" t="s">
        <v>0</v>
      </c>
    </row>
    <row r="2" spans="1:9" ht="14.25" x14ac:dyDescent="0.25">
      <c r="A2" t="s">
        <v>93</v>
      </c>
    </row>
    <row r="3" spans="1:9" ht="14.25" x14ac:dyDescent="0.25">
      <c r="A3" s="7" t="s">
        <v>197</v>
      </c>
    </row>
    <row r="5" spans="1:9" s="2" customFormat="1" ht="14.25" x14ac:dyDescent="0.25">
      <c r="C5" s="21"/>
      <c r="D5" s="21"/>
      <c r="E5" s="10"/>
      <c r="F5" s="10"/>
      <c r="G5" s="10"/>
      <c r="H5" s="10"/>
      <c r="I5" s="28"/>
    </row>
    <row r="6" spans="1:9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28"/>
    </row>
    <row r="7" spans="1:9" ht="14.25" x14ac:dyDescent="0.25">
      <c r="A7" s="9">
        <v>1</v>
      </c>
      <c r="B7" t="s">
        <v>1</v>
      </c>
      <c r="C7" s="9" t="s">
        <v>74</v>
      </c>
      <c r="D7" s="36">
        <v>190</v>
      </c>
      <c r="E7" s="13">
        <v>7366980</v>
      </c>
      <c r="F7" s="13">
        <v>2578443</v>
      </c>
      <c r="G7" s="13">
        <f t="shared" ref="G7:G43" si="0">E7*0.21</f>
        <v>1547065.8</v>
      </c>
      <c r="H7" s="13">
        <f t="shared" ref="H7:H43" si="1">F7-G7</f>
        <v>1031377.2</v>
      </c>
    </row>
    <row r="8" spans="1:9" s="5" customFormat="1" ht="14.25" x14ac:dyDescent="0.25">
      <c r="A8" s="9">
        <v>2</v>
      </c>
      <c r="B8" s="5" t="s">
        <v>199</v>
      </c>
      <c r="C8" s="9" t="s">
        <v>74</v>
      </c>
      <c r="D8" s="36">
        <v>190</v>
      </c>
      <c r="E8" s="13">
        <v>675825</v>
      </c>
      <c r="F8" s="13">
        <v>236539</v>
      </c>
      <c r="G8" s="13">
        <f t="shared" ref="G8" si="2">E8*0.21</f>
        <v>141923.25</v>
      </c>
      <c r="H8" s="13">
        <f t="shared" ref="H8" si="3">F8-G8</f>
        <v>94615.75</v>
      </c>
      <c r="I8" s="10"/>
    </row>
    <row r="9" spans="1:9" ht="14.25" x14ac:dyDescent="0.25">
      <c r="A9" s="9">
        <v>3</v>
      </c>
      <c r="B9" t="s">
        <v>2</v>
      </c>
      <c r="C9" s="9" t="s">
        <v>74</v>
      </c>
      <c r="D9" s="36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</row>
    <row r="10" spans="1:9" ht="14.25" x14ac:dyDescent="0.25">
      <c r="A10" s="9">
        <v>4</v>
      </c>
      <c r="B10" t="s">
        <v>3</v>
      </c>
      <c r="C10" s="9" t="s">
        <v>74</v>
      </c>
      <c r="D10" s="36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</row>
    <row r="11" spans="1:9" ht="14.25" x14ac:dyDescent="0.25">
      <c r="A11" s="9">
        <v>5</v>
      </c>
      <c r="B11" t="s">
        <v>4</v>
      </c>
      <c r="C11" s="9" t="s">
        <v>74</v>
      </c>
      <c r="D11" s="36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</row>
    <row r="12" spans="1:9" ht="14.25" x14ac:dyDescent="0.25">
      <c r="A12" s="9">
        <v>6</v>
      </c>
      <c r="B12" t="s">
        <v>5</v>
      </c>
      <c r="C12" s="9" t="s">
        <v>75</v>
      </c>
      <c r="D12" s="36">
        <v>190</v>
      </c>
      <c r="E12" s="13">
        <v>2371550</v>
      </c>
      <c r="F12" s="13">
        <v>830043</v>
      </c>
      <c r="G12" s="13">
        <f t="shared" si="0"/>
        <v>498025.5</v>
      </c>
      <c r="H12" s="13">
        <f t="shared" si="1"/>
        <v>332017.5</v>
      </c>
    </row>
    <row r="13" spans="1:9" ht="14.25" x14ac:dyDescent="0.25">
      <c r="A13" s="9">
        <v>7</v>
      </c>
      <c r="B13" t="s">
        <v>6</v>
      </c>
      <c r="C13" s="9" t="s">
        <v>76</v>
      </c>
      <c r="D13" s="36">
        <v>190</v>
      </c>
      <c r="E13" s="13">
        <v>26989</v>
      </c>
      <c r="F13" s="13">
        <v>9446</v>
      </c>
      <c r="G13" s="13">
        <f t="shared" si="0"/>
        <v>5667.69</v>
      </c>
      <c r="H13" s="13">
        <f t="shared" si="1"/>
        <v>3778.3100000000004</v>
      </c>
    </row>
    <row r="14" spans="1:9" ht="14.25" x14ac:dyDescent="0.25">
      <c r="A14" s="9">
        <v>8</v>
      </c>
      <c r="B14" t="s">
        <v>7</v>
      </c>
      <c r="C14" s="9" t="s">
        <v>76</v>
      </c>
      <c r="D14" s="36">
        <v>190</v>
      </c>
      <c r="E14" s="13">
        <v>-343269</v>
      </c>
      <c r="F14" s="13">
        <v>-120144</v>
      </c>
      <c r="G14" s="13">
        <f t="shared" si="0"/>
        <v>-72086.489999999991</v>
      </c>
      <c r="H14" s="13">
        <f t="shared" si="1"/>
        <v>-48057.510000000009</v>
      </c>
    </row>
    <row r="15" spans="1:9" ht="14.25" x14ac:dyDescent="0.25">
      <c r="A15" s="9">
        <v>9</v>
      </c>
      <c r="B15" t="s">
        <v>8</v>
      </c>
      <c r="C15" s="9" t="s">
        <v>75</v>
      </c>
      <c r="D15" s="36">
        <v>190</v>
      </c>
      <c r="E15" s="13">
        <v>326808</v>
      </c>
      <c r="F15" s="13">
        <v>114383</v>
      </c>
      <c r="G15" s="13">
        <f t="shared" si="0"/>
        <v>68629.679999999993</v>
      </c>
      <c r="H15" s="13">
        <f t="shared" si="1"/>
        <v>45753.320000000007</v>
      </c>
    </row>
    <row r="16" spans="1:9" ht="14.25" x14ac:dyDescent="0.25">
      <c r="A16" s="9">
        <v>10</v>
      </c>
      <c r="B16" t="s">
        <v>9</v>
      </c>
      <c r="C16" s="9" t="s">
        <v>75</v>
      </c>
      <c r="D16" s="36">
        <v>190</v>
      </c>
      <c r="E16" s="13">
        <v>-5828662</v>
      </c>
      <c r="F16" s="13">
        <v>-2040032</v>
      </c>
      <c r="G16" s="13">
        <f t="shared" si="0"/>
        <v>-1224019.02</v>
      </c>
      <c r="H16" s="13">
        <f t="shared" si="1"/>
        <v>-816012.98</v>
      </c>
    </row>
    <row r="17" spans="1:9" s="1" customFormat="1" ht="14.25" x14ac:dyDescent="0.25">
      <c r="A17" s="9">
        <v>11</v>
      </c>
      <c r="B17" t="s">
        <v>10</v>
      </c>
      <c r="C17" s="9" t="s">
        <v>75</v>
      </c>
      <c r="D17" s="36">
        <v>190</v>
      </c>
      <c r="E17" s="13">
        <v>5604</v>
      </c>
      <c r="F17" s="13">
        <v>1961</v>
      </c>
      <c r="G17" s="13">
        <f t="shared" si="0"/>
        <v>1176.8399999999999</v>
      </c>
      <c r="H17" s="13">
        <f t="shared" si="1"/>
        <v>784.16000000000008</v>
      </c>
      <c r="I17" s="10"/>
    </row>
    <row r="18" spans="1:9" s="1" customFormat="1" ht="14.25" x14ac:dyDescent="0.25">
      <c r="A18" s="9">
        <v>12</v>
      </c>
      <c r="B18" t="s">
        <v>11</v>
      </c>
      <c r="C18" s="9" t="s">
        <v>75</v>
      </c>
      <c r="D18" s="36">
        <v>190</v>
      </c>
      <c r="E18" s="13">
        <v>455534</v>
      </c>
      <c r="F18" s="13">
        <v>159437</v>
      </c>
      <c r="G18" s="13">
        <f t="shared" si="0"/>
        <v>95662.14</v>
      </c>
      <c r="H18" s="13">
        <f t="shared" si="1"/>
        <v>63774.86</v>
      </c>
      <c r="I18" s="10"/>
    </row>
    <row r="19" spans="1:9" s="1" customFormat="1" ht="14.25" x14ac:dyDescent="0.25">
      <c r="A19" s="9">
        <v>13</v>
      </c>
      <c r="B19" t="s">
        <v>12</v>
      </c>
      <c r="C19" s="9" t="s">
        <v>75</v>
      </c>
      <c r="D19" s="36">
        <v>190</v>
      </c>
      <c r="E19" s="13">
        <v>36671</v>
      </c>
      <c r="F19" s="13">
        <v>12835</v>
      </c>
      <c r="G19" s="13">
        <f t="shared" si="0"/>
        <v>7700.91</v>
      </c>
      <c r="H19" s="13">
        <f t="shared" si="1"/>
        <v>5134.09</v>
      </c>
      <c r="I19" s="10"/>
    </row>
    <row r="20" spans="1:9" s="1" customFormat="1" ht="14.25" x14ac:dyDescent="0.25">
      <c r="A20" s="9">
        <v>14</v>
      </c>
      <c r="B20" t="s">
        <v>13</v>
      </c>
      <c r="C20" s="9" t="s">
        <v>74</v>
      </c>
      <c r="D20" s="36">
        <v>190</v>
      </c>
      <c r="E20" s="13">
        <v>399960</v>
      </c>
      <c r="F20" s="13">
        <v>139986</v>
      </c>
      <c r="G20" s="13">
        <f t="shared" si="0"/>
        <v>83991.599999999991</v>
      </c>
      <c r="H20" s="13">
        <f t="shared" si="1"/>
        <v>55994.400000000009</v>
      </c>
      <c r="I20" s="10"/>
    </row>
    <row r="21" spans="1:9" s="1" customFormat="1" ht="14.25" x14ac:dyDescent="0.25">
      <c r="A21" s="9">
        <v>15</v>
      </c>
      <c r="B21" t="s">
        <v>14</v>
      </c>
      <c r="C21" s="9" t="s">
        <v>75</v>
      </c>
      <c r="D21" s="36">
        <v>190</v>
      </c>
      <c r="E21" s="13">
        <v>32183505</v>
      </c>
      <c r="F21" s="13">
        <v>11264227</v>
      </c>
      <c r="G21" s="13">
        <f t="shared" si="0"/>
        <v>6758536.0499999998</v>
      </c>
      <c r="H21" s="13">
        <f t="shared" si="1"/>
        <v>4505690.95</v>
      </c>
      <c r="I21" s="10"/>
    </row>
    <row r="22" spans="1:9" s="1" customFormat="1" ht="14.25" x14ac:dyDescent="0.25">
      <c r="A22" s="9">
        <v>16</v>
      </c>
      <c r="B22" t="s">
        <v>15</v>
      </c>
      <c r="C22" s="9" t="s">
        <v>75</v>
      </c>
      <c r="D22" s="36">
        <v>190</v>
      </c>
      <c r="E22" s="13">
        <v>11851024</v>
      </c>
      <c r="F22" s="13">
        <v>4147857</v>
      </c>
      <c r="G22" s="13">
        <f t="shared" si="0"/>
        <v>2488715.04</v>
      </c>
      <c r="H22" s="13">
        <f t="shared" si="1"/>
        <v>1659141.96</v>
      </c>
      <c r="I22" s="10"/>
    </row>
    <row r="23" spans="1:9" s="1" customFormat="1" ht="14.25" x14ac:dyDescent="0.25">
      <c r="A23" s="9">
        <v>17</v>
      </c>
      <c r="B23" t="s">
        <v>16</v>
      </c>
      <c r="C23" s="9" t="s">
        <v>76</v>
      </c>
      <c r="D23" s="36">
        <v>190</v>
      </c>
      <c r="E23" s="13">
        <v>1039730</v>
      </c>
      <c r="F23" s="13">
        <v>363906</v>
      </c>
      <c r="G23" s="13">
        <f t="shared" si="0"/>
        <v>218343.3</v>
      </c>
      <c r="H23" s="13">
        <f t="shared" si="1"/>
        <v>145562.70000000001</v>
      </c>
      <c r="I23" s="10"/>
    </row>
    <row r="24" spans="1:9" s="1" customFormat="1" ht="14.25" x14ac:dyDescent="0.25">
      <c r="A24" s="9">
        <v>18</v>
      </c>
      <c r="B24" t="s">
        <v>17</v>
      </c>
      <c r="C24" s="9" t="s">
        <v>74</v>
      </c>
      <c r="D24" s="36">
        <v>190</v>
      </c>
      <c r="E24" s="13">
        <v>141849</v>
      </c>
      <c r="F24" s="13">
        <v>49647</v>
      </c>
      <c r="G24" s="13">
        <f t="shared" si="0"/>
        <v>29788.289999999997</v>
      </c>
      <c r="H24" s="13">
        <f t="shared" si="1"/>
        <v>19858.710000000003</v>
      </c>
      <c r="I24" s="10"/>
    </row>
    <row r="25" spans="1:9" s="1" customFormat="1" ht="14.25" x14ac:dyDescent="0.25">
      <c r="A25" s="9">
        <v>19</v>
      </c>
      <c r="B25" t="s">
        <v>18</v>
      </c>
      <c r="C25" s="9" t="s">
        <v>76</v>
      </c>
      <c r="D25" s="36">
        <v>190</v>
      </c>
      <c r="E25" s="13">
        <f>3676761+245145</f>
        <v>3921906</v>
      </c>
      <c r="F25" s="13">
        <f>1286866+85801</f>
        <v>1372667</v>
      </c>
      <c r="G25" s="13">
        <f t="shared" si="0"/>
        <v>823600.26</v>
      </c>
      <c r="H25" s="13">
        <f t="shared" si="1"/>
        <v>549066.74</v>
      </c>
      <c r="I25" s="10"/>
    </row>
    <row r="26" spans="1:9" s="1" customFormat="1" ht="14.25" x14ac:dyDescent="0.25">
      <c r="A26" s="9">
        <v>20</v>
      </c>
      <c r="B26" t="s">
        <v>19</v>
      </c>
      <c r="C26" s="9" t="s">
        <v>76</v>
      </c>
      <c r="D26" s="36">
        <v>190</v>
      </c>
      <c r="E26" s="13">
        <f>768173+232385</f>
        <v>1000558</v>
      </c>
      <c r="F26" s="13">
        <f>268861+81335</f>
        <v>350196</v>
      </c>
      <c r="G26" s="13">
        <f t="shared" si="0"/>
        <v>210117.18</v>
      </c>
      <c r="H26" s="13">
        <f t="shared" si="1"/>
        <v>140078.82</v>
      </c>
      <c r="I26" s="10"/>
    </row>
    <row r="27" spans="1:9" s="1" customFormat="1" ht="14.25" x14ac:dyDescent="0.25">
      <c r="A27" s="9">
        <v>21</v>
      </c>
      <c r="B27" t="s">
        <v>20</v>
      </c>
      <c r="C27" s="9" t="s">
        <v>74</v>
      </c>
      <c r="D27" s="36">
        <v>190</v>
      </c>
      <c r="E27" s="13">
        <v>482075</v>
      </c>
      <c r="F27" s="13">
        <v>168726</v>
      </c>
      <c r="G27" s="13">
        <f t="shared" si="0"/>
        <v>101235.75</v>
      </c>
      <c r="H27" s="13">
        <f t="shared" si="1"/>
        <v>67490.25</v>
      </c>
      <c r="I27" s="10"/>
    </row>
    <row r="28" spans="1:9" s="1" customFormat="1" ht="14.25" x14ac:dyDescent="0.25">
      <c r="A28" s="9">
        <v>22</v>
      </c>
      <c r="B28" t="s">
        <v>21</v>
      </c>
      <c r="C28" s="9" t="s">
        <v>76</v>
      </c>
      <c r="D28" s="36">
        <v>190</v>
      </c>
      <c r="E28" s="13">
        <v>560780</v>
      </c>
      <c r="F28" s="13">
        <v>196273</v>
      </c>
      <c r="G28" s="13">
        <f t="shared" si="0"/>
        <v>117763.8</v>
      </c>
      <c r="H28" s="13">
        <f t="shared" si="1"/>
        <v>78509.2</v>
      </c>
      <c r="I28" s="10"/>
    </row>
    <row r="29" spans="1:9" s="1" customFormat="1" ht="14.25" x14ac:dyDescent="0.25">
      <c r="A29" s="9">
        <v>23</v>
      </c>
      <c r="B29" t="s">
        <v>22</v>
      </c>
      <c r="C29" s="9" t="s">
        <v>75</v>
      </c>
      <c r="D29" s="36">
        <v>190</v>
      </c>
      <c r="E29" s="13">
        <v>1196228</v>
      </c>
      <c r="F29" s="13">
        <v>418680</v>
      </c>
      <c r="G29" s="13">
        <f t="shared" si="0"/>
        <v>251207.88</v>
      </c>
      <c r="H29" s="13">
        <f t="shared" si="1"/>
        <v>167472.12</v>
      </c>
      <c r="I29" s="10"/>
    </row>
    <row r="30" spans="1:9" s="1" customFormat="1" ht="14.25" x14ac:dyDescent="0.25">
      <c r="A30" s="9">
        <v>24</v>
      </c>
      <c r="B30" t="s">
        <v>23</v>
      </c>
      <c r="C30" s="9" t="s">
        <v>75</v>
      </c>
      <c r="D30" s="36">
        <v>190</v>
      </c>
      <c r="E30" s="13">
        <v>140000</v>
      </c>
      <c r="F30" s="13">
        <v>49000</v>
      </c>
      <c r="G30" s="13">
        <f t="shared" si="0"/>
        <v>29400</v>
      </c>
      <c r="H30" s="13">
        <f t="shared" si="1"/>
        <v>19600</v>
      </c>
      <c r="I30" s="10"/>
    </row>
    <row r="31" spans="1:9" s="1" customFormat="1" ht="14.25" x14ac:dyDescent="0.25">
      <c r="A31" s="9">
        <v>25</v>
      </c>
      <c r="B31" t="s">
        <v>24</v>
      </c>
      <c r="C31" s="9" t="s">
        <v>76</v>
      </c>
      <c r="D31" s="36">
        <v>190</v>
      </c>
      <c r="E31" s="13">
        <v>2150000</v>
      </c>
      <c r="F31" s="13">
        <v>752500</v>
      </c>
      <c r="G31" s="13">
        <f t="shared" si="0"/>
        <v>451500</v>
      </c>
      <c r="H31" s="13">
        <f t="shared" si="1"/>
        <v>301000</v>
      </c>
      <c r="I31" s="10"/>
    </row>
    <row r="32" spans="1:9" s="1" customFormat="1" ht="14.25" x14ac:dyDescent="0.25">
      <c r="A32" s="9">
        <v>26</v>
      </c>
      <c r="B32" t="s">
        <v>25</v>
      </c>
      <c r="C32" s="9" t="s">
        <v>75</v>
      </c>
      <c r="D32" s="36">
        <v>190</v>
      </c>
      <c r="E32" s="13">
        <v>448022</v>
      </c>
      <c r="F32" s="13">
        <v>156808</v>
      </c>
      <c r="G32" s="13">
        <f t="shared" si="0"/>
        <v>94084.62</v>
      </c>
      <c r="H32" s="13">
        <f t="shared" si="1"/>
        <v>62723.380000000005</v>
      </c>
      <c r="I32" s="10"/>
    </row>
    <row r="33" spans="1:9" s="1" customFormat="1" ht="14.25" x14ac:dyDescent="0.25">
      <c r="A33" s="9">
        <v>27</v>
      </c>
      <c r="B33" t="s">
        <v>26</v>
      </c>
      <c r="C33" s="9" t="s">
        <v>75</v>
      </c>
      <c r="D33" s="36">
        <v>190</v>
      </c>
      <c r="E33" s="13">
        <v>31056</v>
      </c>
      <c r="F33" s="13">
        <v>10870</v>
      </c>
      <c r="G33" s="13">
        <f t="shared" si="0"/>
        <v>6521.7599999999993</v>
      </c>
      <c r="H33" s="13">
        <f t="shared" si="1"/>
        <v>4348.2400000000007</v>
      </c>
      <c r="I33" s="10"/>
    </row>
    <row r="34" spans="1:9" s="1" customFormat="1" ht="14.25" x14ac:dyDescent="0.25">
      <c r="A34" s="9">
        <v>28</v>
      </c>
      <c r="B34" t="s">
        <v>27</v>
      </c>
      <c r="C34" s="9" t="s">
        <v>75</v>
      </c>
      <c r="D34" s="36">
        <v>190</v>
      </c>
      <c r="E34" s="13">
        <v>2907360</v>
      </c>
      <c r="F34" s="13">
        <v>1017576</v>
      </c>
      <c r="G34" s="13">
        <f t="shared" si="0"/>
        <v>610545.6</v>
      </c>
      <c r="H34" s="13">
        <f t="shared" si="1"/>
        <v>407030.4</v>
      </c>
      <c r="I34" s="10"/>
    </row>
    <row r="35" spans="1:9" s="1" customFormat="1" ht="14.25" x14ac:dyDescent="0.25">
      <c r="A35" s="9">
        <v>29</v>
      </c>
      <c r="B35" t="s">
        <v>28</v>
      </c>
      <c r="C35" s="9" t="s">
        <v>76</v>
      </c>
      <c r="D35" s="36">
        <v>190</v>
      </c>
      <c r="E35" s="13">
        <v>1555140</v>
      </c>
      <c r="F35" s="13">
        <v>544299</v>
      </c>
      <c r="G35" s="13">
        <f t="shared" si="0"/>
        <v>326579.39999999997</v>
      </c>
      <c r="H35" s="13">
        <f t="shared" si="1"/>
        <v>217719.60000000003</v>
      </c>
      <c r="I35" s="10"/>
    </row>
    <row r="36" spans="1:9" s="1" customFormat="1" ht="14.25" x14ac:dyDescent="0.25">
      <c r="A36" s="9">
        <v>30</v>
      </c>
      <c r="B36" t="s">
        <v>29</v>
      </c>
      <c r="C36" s="9" t="s">
        <v>75</v>
      </c>
      <c r="D36" s="36">
        <v>190</v>
      </c>
      <c r="E36" s="13">
        <v>7861016</v>
      </c>
      <c r="F36" s="13">
        <v>2751355</v>
      </c>
      <c r="G36" s="13">
        <f t="shared" si="0"/>
        <v>1650813.3599999999</v>
      </c>
      <c r="H36" s="13">
        <f t="shared" si="1"/>
        <v>1100541.6400000001</v>
      </c>
      <c r="I36" s="10"/>
    </row>
    <row r="37" spans="1:9" s="1" customFormat="1" ht="14.25" x14ac:dyDescent="0.25">
      <c r="A37" s="9">
        <v>31</v>
      </c>
      <c r="B37" t="s">
        <v>30</v>
      </c>
      <c r="C37" s="9" t="s">
        <v>75</v>
      </c>
      <c r="D37" s="36">
        <v>190</v>
      </c>
      <c r="E37" s="13">
        <v>-15030</v>
      </c>
      <c r="F37" s="13">
        <v>-5261</v>
      </c>
      <c r="G37" s="13">
        <f t="shared" si="0"/>
        <v>-3156.2999999999997</v>
      </c>
      <c r="H37" s="13">
        <f t="shared" si="1"/>
        <v>-2104.7000000000003</v>
      </c>
      <c r="I37" s="10"/>
    </row>
    <row r="38" spans="1:9" s="1" customFormat="1" ht="14.25" x14ac:dyDescent="0.25">
      <c r="A38" s="9">
        <v>32</v>
      </c>
      <c r="B38" t="s">
        <v>31</v>
      </c>
      <c r="C38" s="9" t="s">
        <v>75</v>
      </c>
      <c r="D38" s="36">
        <v>190</v>
      </c>
      <c r="E38" s="13">
        <v>28669</v>
      </c>
      <c r="F38" s="13">
        <v>10034</v>
      </c>
      <c r="G38" s="13">
        <f t="shared" si="0"/>
        <v>6020.49</v>
      </c>
      <c r="H38" s="13">
        <f t="shared" si="1"/>
        <v>4013.51</v>
      </c>
      <c r="I38" s="10"/>
    </row>
    <row r="39" spans="1:9" s="1" customFormat="1" ht="14.25" x14ac:dyDescent="0.25">
      <c r="A39" s="9">
        <v>33</v>
      </c>
      <c r="B39" t="s">
        <v>32</v>
      </c>
      <c r="C39" s="9" t="s">
        <v>75</v>
      </c>
      <c r="D39" s="36">
        <v>190</v>
      </c>
      <c r="E39" s="13">
        <v>41961</v>
      </c>
      <c r="F39" s="13">
        <v>14686</v>
      </c>
      <c r="G39" s="13">
        <f t="shared" si="0"/>
        <v>8811.81</v>
      </c>
      <c r="H39" s="13">
        <f t="shared" si="1"/>
        <v>5874.1900000000005</v>
      </c>
      <c r="I39" s="10"/>
    </row>
    <row r="40" spans="1:9" s="6" customFormat="1" x14ac:dyDescent="0.25">
      <c r="A40" s="9">
        <v>34</v>
      </c>
      <c r="B40" s="5" t="s">
        <v>198</v>
      </c>
      <c r="C40" s="9" t="s">
        <v>75</v>
      </c>
      <c r="D40" s="36">
        <v>190</v>
      </c>
      <c r="E40" s="13">
        <v>3550576</v>
      </c>
      <c r="F40" s="13">
        <v>1242702</v>
      </c>
      <c r="G40" s="13">
        <f t="shared" si="0"/>
        <v>745620.96</v>
      </c>
      <c r="H40" s="13">
        <f t="shared" si="1"/>
        <v>497081.04000000004</v>
      </c>
      <c r="I40" s="10"/>
    </row>
    <row r="41" spans="1:9" x14ac:dyDescent="0.25">
      <c r="A41" s="9">
        <v>35</v>
      </c>
      <c r="B41" t="s">
        <v>33</v>
      </c>
      <c r="C41" s="9" t="s">
        <v>75</v>
      </c>
      <c r="D41" s="36">
        <v>190</v>
      </c>
      <c r="E41" s="13">
        <v>1381856</v>
      </c>
      <c r="F41" s="13">
        <v>483650</v>
      </c>
      <c r="G41" s="13">
        <f t="shared" si="0"/>
        <v>290189.76</v>
      </c>
      <c r="H41" s="13">
        <f t="shared" si="1"/>
        <v>193460.24</v>
      </c>
    </row>
    <row r="42" spans="1:9" x14ac:dyDescent="0.25">
      <c r="A42" s="9">
        <v>36</v>
      </c>
      <c r="B42" t="s">
        <v>34</v>
      </c>
      <c r="C42" s="9" t="s">
        <v>75</v>
      </c>
      <c r="D42" s="36">
        <v>190</v>
      </c>
      <c r="E42" s="13">
        <v>400029</v>
      </c>
      <c r="F42" s="13">
        <v>140010</v>
      </c>
      <c r="G42" s="13">
        <f t="shared" si="0"/>
        <v>84006.09</v>
      </c>
      <c r="H42" s="13">
        <f t="shared" si="1"/>
        <v>56003.91</v>
      </c>
    </row>
    <row r="43" spans="1:9" x14ac:dyDescent="0.25">
      <c r="A43" s="9">
        <v>37</v>
      </c>
      <c r="D43" s="38" t="s">
        <v>62</v>
      </c>
      <c r="E43" s="17">
        <f>SUBTOTAL(9,E7:E42)</f>
        <v>114682259</v>
      </c>
      <c r="F43" s="17">
        <f>SUBTOTAL(9,F7:F42)</f>
        <v>40138792</v>
      </c>
      <c r="G43" s="17">
        <f t="shared" si="0"/>
        <v>24083274.390000001</v>
      </c>
      <c r="H43" s="17">
        <f t="shared" si="1"/>
        <v>16055517.609999999</v>
      </c>
    </row>
    <row r="44" spans="1:9" s="5" customFormat="1" x14ac:dyDescent="0.25">
      <c r="A44" s="9">
        <v>38</v>
      </c>
      <c r="C44" s="9"/>
      <c r="D44" s="38"/>
      <c r="E44" s="13"/>
      <c r="F44" s="13"/>
      <c r="G44" s="13"/>
      <c r="H44" s="13"/>
      <c r="I44" s="10"/>
    </row>
    <row r="45" spans="1:9" x14ac:dyDescent="0.25">
      <c r="A45" s="9">
        <v>39</v>
      </c>
      <c r="B45" t="s">
        <v>35</v>
      </c>
      <c r="C45" s="9" t="s">
        <v>76</v>
      </c>
      <c r="D45" s="36">
        <v>282</v>
      </c>
      <c r="E45" s="13">
        <f>2639165-1640131234</f>
        <v>-1637492069</v>
      </c>
      <c r="F45" s="13">
        <v>-574328772.75999999</v>
      </c>
      <c r="G45" s="13">
        <v>-344427559.12</v>
      </c>
      <c r="H45" s="13">
        <f>F45-G45</f>
        <v>-229901213.63999999</v>
      </c>
    </row>
    <row r="46" spans="1:9" x14ac:dyDescent="0.25">
      <c r="A46" s="9">
        <v>40</v>
      </c>
      <c r="B46" t="s">
        <v>36</v>
      </c>
      <c r="C46" s="9" t="s">
        <v>74</v>
      </c>
      <c r="D46" s="36">
        <v>282</v>
      </c>
      <c r="E46" s="13">
        <f>-6650977-202294406</f>
        <v>-208945383</v>
      </c>
      <c r="F46" s="13">
        <v>-70809079</v>
      </c>
      <c r="G46" s="13">
        <v>-42481825.259999998</v>
      </c>
      <c r="H46" s="13">
        <f>F46-G46</f>
        <v>-28327253.740000002</v>
      </c>
    </row>
    <row r="47" spans="1:9" x14ac:dyDescent="0.25">
      <c r="A47" s="9">
        <v>41</v>
      </c>
      <c r="B47" t="s">
        <v>37</v>
      </c>
      <c r="C47" s="9" t="s">
        <v>75</v>
      </c>
      <c r="D47" s="36">
        <v>282</v>
      </c>
      <c r="E47" s="13">
        <f>-163943731-3953819057</f>
        <v>-4117762788</v>
      </c>
      <c r="F47" s="13">
        <v>-1387490158.9000001</v>
      </c>
      <c r="G47" s="13">
        <v>-830302002.05999994</v>
      </c>
      <c r="H47" s="13">
        <f>F47-G47</f>
        <v>-557188156.84000015</v>
      </c>
    </row>
    <row r="48" spans="1:9" x14ac:dyDescent="0.25">
      <c r="A48" s="9">
        <v>42</v>
      </c>
      <c r="D48" s="38" t="s">
        <v>64</v>
      </c>
      <c r="E48" s="17">
        <f>SUBTOTAL(9,E45:E47)</f>
        <v>-5964200240</v>
      </c>
      <c r="F48" s="17">
        <f>SUBTOTAL(9,F45:F47)</f>
        <v>-2032628010.6600001</v>
      </c>
      <c r="G48" s="29">
        <f>SUM(G45:G47)</f>
        <v>-1217211386.4400001</v>
      </c>
      <c r="H48" s="17">
        <f>F48-G48</f>
        <v>-815416624.22000003</v>
      </c>
    </row>
    <row r="49" spans="1:9" s="5" customFormat="1" x14ac:dyDescent="0.25">
      <c r="A49" s="9">
        <v>43</v>
      </c>
      <c r="C49" s="9"/>
      <c r="D49" s="38"/>
      <c r="E49" s="13"/>
      <c r="F49" s="13"/>
      <c r="G49" s="13"/>
      <c r="H49" s="13"/>
      <c r="I49" s="10"/>
    </row>
    <row r="50" spans="1:9" x14ac:dyDescent="0.25">
      <c r="A50" s="9">
        <v>44</v>
      </c>
      <c r="B50" t="s">
        <v>38</v>
      </c>
      <c r="C50" s="9" t="s">
        <v>74</v>
      </c>
      <c r="D50" s="36">
        <v>283</v>
      </c>
      <c r="E50" s="13">
        <f>-39603007-71082</f>
        <v>-39674089</v>
      </c>
      <c r="F50" s="13">
        <f>-13861053-24879</f>
        <v>-13885932</v>
      </c>
      <c r="G50" s="13">
        <f t="shared" ref="G50:G74" si="4">E50*0.21</f>
        <v>-8331558.6899999995</v>
      </c>
      <c r="H50" s="13">
        <f t="shared" ref="H50:H74" si="5">F50-G50</f>
        <v>-5554373.3100000005</v>
      </c>
    </row>
    <row r="51" spans="1:9" x14ac:dyDescent="0.25">
      <c r="A51" s="9">
        <v>45</v>
      </c>
      <c r="B51" t="s">
        <v>39</v>
      </c>
      <c r="C51" s="9" t="s">
        <v>75</v>
      </c>
      <c r="D51" s="36">
        <v>283</v>
      </c>
      <c r="E51" s="13">
        <v>-13369404</v>
      </c>
      <c r="F51" s="13">
        <v>-4679291</v>
      </c>
      <c r="G51" s="13">
        <f t="shared" si="4"/>
        <v>-2807574.84</v>
      </c>
      <c r="H51" s="13">
        <f t="shared" si="5"/>
        <v>-1871716.1600000001</v>
      </c>
    </row>
    <row r="52" spans="1:9" x14ac:dyDescent="0.25">
      <c r="A52" s="9">
        <v>46</v>
      </c>
      <c r="B52" t="s">
        <v>40</v>
      </c>
      <c r="C52" s="9" t="s">
        <v>75</v>
      </c>
      <c r="D52" s="36">
        <v>283</v>
      </c>
      <c r="E52" s="13">
        <v>-5174698</v>
      </c>
      <c r="F52" s="13">
        <v>-1811144</v>
      </c>
      <c r="G52" s="13">
        <f t="shared" si="4"/>
        <v>-1086686.58</v>
      </c>
      <c r="H52" s="13">
        <f t="shared" si="5"/>
        <v>-724457.41999999993</v>
      </c>
    </row>
    <row r="53" spans="1:9" s="5" customFormat="1" x14ac:dyDescent="0.25">
      <c r="A53" s="9">
        <v>47</v>
      </c>
      <c r="B53" s="5" t="s">
        <v>200</v>
      </c>
      <c r="C53" s="9" t="s">
        <v>75</v>
      </c>
      <c r="D53" s="36">
        <v>283</v>
      </c>
      <c r="E53" s="13">
        <v>-749097</v>
      </c>
      <c r="F53" s="13">
        <v>-262184</v>
      </c>
      <c r="G53" s="13">
        <f t="shared" ref="G53" si="6">E53*0.21</f>
        <v>-157310.37</v>
      </c>
      <c r="H53" s="13">
        <f t="shared" ref="H53" si="7">F53-G53</f>
        <v>-104873.63</v>
      </c>
      <c r="I53" s="10"/>
    </row>
    <row r="54" spans="1:9" x14ac:dyDescent="0.25">
      <c r="A54" s="9">
        <v>48</v>
      </c>
      <c r="B54" t="s">
        <v>77</v>
      </c>
      <c r="C54" s="9" t="s">
        <v>75</v>
      </c>
      <c r="D54" s="36">
        <v>283</v>
      </c>
      <c r="E54" s="13">
        <v>-474882</v>
      </c>
      <c r="F54" s="13">
        <v>-166209</v>
      </c>
      <c r="G54" s="13">
        <f t="shared" si="4"/>
        <v>-99725.22</v>
      </c>
      <c r="H54" s="13">
        <f t="shared" si="5"/>
        <v>-66483.78</v>
      </c>
    </row>
    <row r="55" spans="1:9" x14ac:dyDescent="0.25">
      <c r="A55" s="9">
        <v>49</v>
      </c>
      <c r="B55" t="s">
        <v>41</v>
      </c>
      <c r="C55" s="9" t="s">
        <v>75</v>
      </c>
      <c r="D55" s="36">
        <v>283</v>
      </c>
      <c r="E55" s="13">
        <v>-54592489</v>
      </c>
      <c r="F55" s="13">
        <v>-19107371</v>
      </c>
      <c r="G55" s="13">
        <f t="shared" si="4"/>
        <v>-11464422.689999999</v>
      </c>
      <c r="H55" s="13">
        <f t="shared" si="5"/>
        <v>-7642948.3100000005</v>
      </c>
    </row>
    <row r="56" spans="1:9" x14ac:dyDescent="0.25">
      <c r="A56" s="9">
        <v>50</v>
      </c>
      <c r="B56" t="s">
        <v>42</v>
      </c>
      <c r="C56" s="9" t="s">
        <v>75</v>
      </c>
      <c r="D56" s="36">
        <v>283</v>
      </c>
      <c r="E56" s="13">
        <v>-17667580</v>
      </c>
      <c r="F56" s="13">
        <v>-6183653</v>
      </c>
      <c r="G56" s="13">
        <f t="shared" si="4"/>
        <v>-3710191.8</v>
      </c>
      <c r="H56" s="13">
        <f t="shared" si="5"/>
        <v>-2473461.2000000002</v>
      </c>
    </row>
    <row r="57" spans="1:9" x14ac:dyDescent="0.25">
      <c r="A57" s="9">
        <v>51</v>
      </c>
      <c r="B57" t="s">
        <v>43</v>
      </c>
      <c r="C57" s="9" t="s">
        <v>76</v>
      </c>
      <c r="D57" s="36">
        <v>283</v>
      </c>
      <c r="E57" s="13">
        <v>-25090463</v>
      </c>
      <c r="F57" s="13">
        <v>-8781662</v>
      </c>
      <c r="G57" s="13">
        <f t="shared" si="4"/>
        <v>-5268997.2299999995</v>
      </c>
      <c r="H57" s="13">
        <f t="shared" si="5"/>
        <v>-3512664.7700000005</v>
      </c>
    </row>
    <row r="58" spans="1:9" x14ac:dyDescent="0.25">
      <c r="A58" s="9">
        <v>52</v>
      </c>
      <c r="B58" t="s">
        <v>44</v>
      </c>
      <c r="C58" s="9" t="s">
        <v>76</v>
      </c>
      <c r="D58" s="36">
        <v>283</v>
      </c>
      <c r="E58" s="13">
        <v>-7041659</v>
      </c>
      <c r="F58" s="13">
        <v>-2464580</v>
      </c>
      <c r="G58" s="13">
        <f t="shared" si="4"/>
        <v>-1478748.39</v>
      </c>
      <c r="H58" s="13">
        <f t="shared" si="5"/>
        <v>-985831.6100000001</v>
      </c>
    </row>
    <row r="59" spans="1:9" x14ac:dyDescent="0.25">
      <c r="A59" s="9">
        <v>53</v>
      </c>
      <c r="B59" t="s">
        <v>45</v>
      </c>
      <c r="C59" s="9" t="s">
        <v>75</v>
      </c>
      <c r="D59" s="36">
        <v>283</v>
      </c>
      <c r="E59" s="13">
        <v>-24157793</v>
      </c>
      <c r="F59" s="13">
        <v>-8455228</v>
      </c>
      <c r="G59" s="13">
        <f t="shared" si="4"/>
        <v>-5073136.53</v>
      </c>
      <c r="H59" s="13">
        <f t="shared" si="5"/>
        <v>-3382091.4699999997</v>
      </c>
    </row>
    <row r="60" spans="1:9" s="1" customFormat="1" x14ac:dyDescent="0.25">
      <c r="A60" s="9">
        <v>54</v>
      </c>
      <c r="B60" t="s">
        <v>46</v>
      </c>
      <c r="C60" s="9" t="s">
        <v>75</v>
      </c>
      <c r="D60" s="36">
        <v>283</v>
      </c>
      <c r="E60" s="13">
        <v>-10437462</v>
      </c>
      <c r="F60" s="13">
        <v>-3653112</v>
      </c>
      <c r="G60" s="13">
        <f t="shared" si="4"/>
        <v>-2191867.02</v>
      </c>
      <c r="H60" s="13">
        <f t="shared" si="5"/>
        <v>-1461244.98</v>
      </c>
      <c r="I60" s="10"/>
    </row>
    <row r="61" spans="1:9" s="1" customFormat="1" x14ac:dyDescent="0.25">
      <c r="A61" s="9">
        <v>55</v>
      </c>
      <c r="B61" t="s">
        <v>47</v>
      </c>
      <c r="C61" s="9" t="s">
        <v>75</v>
      </c>
      <c r="D61" s="36">
        <v>283</v>
      </c>
      <c r="E61" s="13">
        <v>3059977</v>
      </c>
      <c r="F61" s="13">
        <v>1070992</v>
      </c>
      <c r="G61" s="13">
        <f t="shared" si="4"/>
        <v>642595.16999999993</v>
      </c>
      <c r="H61" s="13">
        <f t="shared" si="5"/>
        <v>428396.83000000007</v>
      </c>
      <c r="I61" s="10"/>
    </row>
    <row r="62" spans="1:9" s="1" customFormat="1" x14ac:dyDescent="0.25">
      <c r="A62" s="9">
        <v>56</v>
      </c>
      <c r="B62" t="s">
        <v>48</v>
      </c>
      <c r="C62" s="9" t="s">
        <v>74</v>
      </c>
      <c r="D62" s="36">
        <v>283</v>
      </c>
      <c r="E62" s="13">
        <v>-13147711</v>
      </c>
      <c r="F62" s="13">
        <v>-4601699</v>
      </c>
      <c r="G62" s="13">
        <f t="shared" si="4"/>
        <v>-2761019.31</v>
      </c>
      <c r="H62" s="13">
        <f t="shared" si="5"/>
        <v>-1840679.69</v>
      </c>
      <c r="I62" s="10"/>
    </row>
    <row r="63" spans="1:9" s="1" customFormat="1" x14ac:dyDescent="0.25">
      <c r="A63" s="9">
        <v>57</v>
      </c>
      <c r="B63" t="s">
        <v>49</v>
      </c>
      <c r="C63" s="9" t="s">
        <v>75</v>
      </c>
      <c r="D63" s="36">
        <v>283</v>
      </c>
      <c r="E63" s="13">
        <v>-36492692</v>
      </c>
      <c r="F63" s="13">
        <v>-12772442</v>
      </c>
      <c r="G63" s="13">
        <f t="shared" si="4"/>
        <v>-7663465.3199999994</v>
      </c>
      <c r="H63" s="13">
        <f t="shared" si="5"/>
        <v>-5108976.6800000006</v>
      </c>
      <c r="I63" s="10"/>
    </row>
    <row r="64" spans="1:9" s="1" customFormat="1" x14ac:dyDescent="0.25">
      <c r="A64" s="9">
        <v>58</v>
      </c>
      <c r="B64" t="s">
        <v>50</v>
      </c>
      <c r="C64" s="9" t="s">
        <v>75</v>
      </c>
      <c r="D64" s="36">
        <v>283</v>
      </c>
      <c r="E64" s="13">
        <v>-28496042</v>
      </c>
      <c r="F64" s="13">
        <v>-9973615</v>
      </c>
      <c r="G64" s="13">
        <f t="shared" si="4"/>
        <v>-5984168.8199999994</v>
      </c>
      <c r="H64" s="13">
        <f t="shared" si="5"/>
        <v>-3989446.1800000006</v>
      </c>
      <c r="I64" s="10"/>
    </row>
    <row r="65" spans="1:10" s="1" customFormat="1" x14ac:dyDescent="0.25">
      <c r="A65" s="9">
        <v>59</v>
      </c>
      <c r="B65" t="s">
        <v>51</v>
      </c>
      <c r="C65" s="9" t="s">
        <v>75</v>
      </c>
      <c r="D65" s="36">
        <v>283</v>
      </c>
      <c r="E65" s="13">
        <v>-19501592</v>
      </c>
      <c r="F65" s="13">
        <v>-6825557</v>
      </c>
      <c r="G65" s="13">
        <f t="shared" si="4"/>
        <v>-4095334.32</v>
      </c>
      <c r="H65" s="13">
        <f t="shared" si="5"/>
        <v>-2730222.68</v>
      </c>
      <c r="I65" s="10"/>
    </row>
    <row r="66" spans="1:10" s="1" customFormat="1" x14ac:dyDescent="0.25">
      <c r="A66" s="9">
        <v>60</v>
      </c>
      <c r="B66" t="s">
        <v>52</v>
      </c>
      <c r="C66" s="9" t="s">
        <v>75</v>
      </c>
      <c r="D66" s="36">
        <v>283</v>
      </c>
      <c r="E66" s="13">
        <v>-20750387</v>
      </c>
      <c r="F66" s="13">
        <v>-7262635</v>
      </c>
      <c r="G66" s="13">
        <f t="shared" si="4"/>
        <v>-4357581.2699999996</v>
      </c>
      <c r="H66" s="13">
        <f t="shared" si="5"/>
        <v>-2905053.7300000004</v>
      </c>
      <c r="I66" s="10"/>
    </row>
    <row r="67" spans="1:10" s="1" customFormat="1" x14ac:dyDescent="0.25">
      <c r="A67" s="9">
        <v>61</v>
      </c>
      <c r="B67" t="s">
        <v>53</v>
      </c>
      <c r="C67" s="9" t="s">
        <v>75</v>
      </c>
      <c r="D67" s="36">
        <v>283</v>
      </c>
      <c r="E67" s="13">
        <v>-8287438</v>
      </c>
      <c r="F67" s="13">
        <v>-2900603</v>
      </c>
      <c r="G67" s="13">
        <f t="shared" si="4"/>
        <v>-1740361.98</v>
      </c>
      <c r="H67" s="13">
        <f t="shared" si="5"/>
        <v>-1160241.02</v>
      </c>
      <c r="I67" s="10"/>
    </row>
    <row r="68" spans="1:10" s="1" customFormat="1" x14ac:dyDescent="0.25">
      <c r="A68" s="9">
        <v>62</v>
      </c>
      <c r="B68" t="s">
        <v>54</v>
      </c>
      <c r="C68" s="9" t="s">
        <v>75</v>
      </c>
      <c r="D68" s="36">
        <v>283</v>
      </c>
      <c r="E68" s="13">
        <v>-561113</v>
      </c>
      <c r="F68" s="13">
        <v>-196390</v>
      </c>
      <c r="G68" s="13">
        <f t="shared" si="4"/>
        <v>-117833.73</v>
      </c>
      <c r="H68" s="13">
        <f t="shared" si="5"/>
        <v>-78556.27</v>
      </c>
      <c r="I68" s="10"/>
    </row>
    <row r="69" spans="1:10" x14ac:dyDescent="0.25">
      <c r="A69" s="9">
        <v>63</v>
      </c>
      <c r="B69" t="s">
        <v>55</v>
      </c>
      <c r="C69" s="9" t="s">
        <v>75</v>
      </c>
      <c r="D69" s="36">
        <v>283</v>
      </c>
      <c r="E69" s="13">
        <f>518174-5942886</f>
        <v>-5424712</v>
      </c>
      <c r="F69" s="13">
        <f>181361-2080010</f>
        <v>-1898649</v>
      </c>
      <c r="G69" s="13">
        <f t="shared" si="4"/>
        <v>-1139189.52</v>
      </c>
      <c r="H69" s="13">
        <f t="shared" si="5"/>
        <v>-759459.48</v>
      </c>
    </row>
    <row r="70" spans="1:10" x14ac:dyDescent="0.25">
      <c r="A70" s="9">
        <v>64</v>
      </c>
      <c r="B70" t="s">
        <v>56</v>
      </c>
      <c r="C70" s="9" t="s">
        <v>76</v>
      </c>
      <c r="D70" s="36">
        <v>283</v>
      </c>
      <c r="E70" s="13">
        <f>3301571-630</f>
        <v>3300941</v>
      </c>
      <c r="F70" s="13">
        <f>1155550-221</f>
        <v>1155329</v>
      </c>
      <c r="G70" s="13">
        <f t="shared" si="4"/>
        <v>693197.61</v>
      </c>
      <c r="H70" s="13">
        <f t="shared" si="5"/>
        <v>462131.39</v>
      </c>
    </row>
    <row r="71" spans="1:10" x14ac:dyDescent="0.25">
      <c r="A71" s="9">
        <v>65</v>
      </c>
      <c r="B71" t="s">
        <v>57</v>
      </c>
      <c r="C71" s="9" t="s">
        <v>75</v>
      </c>
      <c r="D71" s="36">
        <v>283</v>
      </c>
      <c r="E71" s="13">
        <v>-33221190</v>
      </c>
      <c r="F71" s="13">
        <v>-11627417</v>
      </c>
      <c r="G71" s="13">
        <f t="shared" si="4"/>
        <v>-6976449.8999999994</v>
      </c>
      <c r="H71" s="13">
        <f t="shared" si="5"/>
        <v>-4650967.1000000006</v>
      </c>
    </row>
    <row r="72" spans="1:10" x14ac:dyDescent="0.25">
      <c r="A72" s="9">
        <v>66</v>
      </c>
      <c r="B72" t="s">
        <v>58</v>
      </c>
      <c r="C72" s="9" t="s">
        <v>75</v>
      </c>
      <c r="D72" s="36">
        <v>283</v>
      </c>
      <c r="E72" s="13">
        <v>-8723144</v>
      </c>
      <c r="F72" s="13">
        <v>-3053100</v>
      </c>
      <c r="G72" s="13">
        <f t="shared" si="4"/>
        <v>-1831860.24</v>
      </c>
      <c r="H72" s="13">
        <f t="shared" si="5"/>
        <v>-1221239.76</v>
      </c>
    </row>
    <row r="73" spans="1:10" x14ac:dyDescent="0.25">
      <c r="A73" s="9">
        <v>67</v>
      </c>
      <c r="B73" t="s">
        <v>59</v>
      </c>
      <c r="C73" s="9" t="s">
        <v>75</v>
      </c>
      <c r="D73" s="36">
        <v>283</v>
      </c>
      <c r="E73" s="13">
        <v>-3786308</v>
      </c>
      <c r="F73" s="13">
        <v>-1325208</v>
      </c>
      <c r="G73" s="13">
        <f t="shared" si="4"/>
        <v>-795124.67999999993</v>
      </c>
      <c r="H73" s="13">
        <f t="shared" si="5"/>
        <v>-530083.32000000007</v>
      </c>
    </row>
    <row r="74" spans="1:10" x14ac:dyDescent="0.25">
      <c r="A74" s="9">
        <v>68</v>
      </c>
      <c r="B74" t="s">
        <v>60</v>
      </c>
      <c r="C74" s="9" t="s">
        <v>75</v>
      </c>
      <c r="D74" s="36">
        <v>283</v>
      </c>
      <c r="E74" s="13">
        <v>-21653175</v>
      </c>
      <c r="F74" s="13">
        <v>-7578611</v>
      </c>
      <c r="G74" s="13">
        <f t="shared" si="4"/>
        <v>-4547166.75</v>
      </c>
      <c r="H74" s="13">
        <f t="shared" si="5"/>
        <v>-3031444.25</v>
      </c>
    </row>
    <row r="75" spans="1:10" x14ac:dyDescent="0.25">
      <c r="A75" s="9">
        <v>69</v>
      </c>
      <c r="D75" s="21" t="s">
        <v>65</v>
      </c>
      <c r="E75" s="19">
        <f>SUBTOTAL(9,E50:E74)</f>
        <v>-392114202</v>
      </c>
      <c r="F75" s="19">
        <f>SUBTOTAL(9,F50:F74)</f>
        <v>-137239971</v>
      </c>
      <c r="G75" s="20">
        <f>SUBTOTAL(9,G50:G74)</f>
        <v>-82343982.420000017</v>
      </c>
      <c r="H75" s="20">
        <f>SUBTOTAL(9,H50:H74)</f>
        <v>-54895988.580000013</v>
      </c>
    </row>
    <row r="76" spans="1:10" s="5" customFormat="1" x14ac:dyDescent="0.25">
      <c r="A76" s="9">
        <v>70</v>
      </c>
      <c r="C76" s="9"/>
      <c r="D76" s="21"/>
      <c r="E76" s="17"/>
      <c r="F76" s="17"/>
      <c r="G76" s="18"/>
      <c r="H76" s="18"/>
      <c r="I76" s="10"/>
    </row>
    <row r="77" spans="1:10" ht="15.75" thickBot="1" x14ac:dyDescent="0.3">
      <c r="A77" s="9">
        <v>71</v>
      </c>
      <c r="D77" s="21" t="s">
        <v>63</v>
      </c>
      <c r="E77" s="14">
        <f>SUBTOTAL(9,E7:E74)</f>
        <v>-6241632183</v>
      </c>
      <c r="F77" s="14">
        <f>SUBTOTAL(9,F7:F74)</f>
        <v>-2129729189.6600001</v>
      </c>
      <c r="G77" s="14">
        <f>SUM(G43,G48,G75)</f>
        <v>-1275472094.47</v>
      </c>
      <c r="H77" s="14">
        <f>SUM(H43,H48,H75)</f>
        <v>-854257095.19000006</v>
      </c>
    </row>
    <row r="78" spans="1:10" ht="13.7" customHeight="1" thickTop="1" x14ac:dyDescent="0.25">
      <c r="A78" s="9">
        <v>72</v>
      </c>
    </row>
    <row r="79" spans="1:10" x14ac:dyDescent="0.25">
      <c r="A79" s="9">
        <v>73</v>
      </c>
    </row>
    <row r="80" spans="1:10" x14ac:dyDescent="0.25">
      <c r="A80" s="9">
        <v>74</v>
      </c>
      <c r="D80" s="27" t="s">
        <v>78</v>
      </c>
      <c r="E80" s="28">
        <f>+E43+E75</f>
        <v>-277431943</v>
      </c>
      <c r="F80" s="28">
        <f t="shared" ref="F80:H80" si="8">+F43+F75</f>
        <v>-97101179</v>
      </c>
      <c r="G80" s="28">
        <f t="shared" si="8"/>
        <v>-58260708.030000016</v>
      </c>
      <c r="H80" s="28">
        <f t="shared" si="8"/>
        <v>-38840470.970000014</v>
      </c>
      <c r="J80" s="28"/>
    </row>
    <row r="81" spans="1:9" s="5" customFormat="1" x14ac:dyDescent="0.25">
      <c r="A81" s="9">
        <v>75</v>
      </c>
      <c r="C81" s="9"/>
      <c r="D81" s="27" t="s">
        <v>79</v>
      </c>
      <c r="E81" s="28">
        <f>+E48</f>
        <v>-5964200240</v>
      </c>
      <c r="F81" s="28">
        <f t="shared" ref="F81:H81" si="9">+F48</f>
        <v>-2032628010.6600001</v>
      </c>
      <c r="G81" s="28">
        <f t="shared" si="9"/>
        <v>-1217211386.4400001</v>
      </c>
      <c r="H81" s="28">
        <f t="shared" si="9"/>
        <v>-815416624.22000003</v>
      </c>
      <c r="I81" s="10"/>
    </row>
    <row r="82" spans="1:9" s="5" customFormat="1" x14ac:dyDescent="0.25">
      <c r="A82" s="9">
        <v>76</v>
      </c>
      <c r="C82" s="9"/>
      <c r="D82" s="9"/>
      <c r="E82" s="10"/>
      <c r="F82" s="10"/>
      <c r="G82" s="10"/>
      <c r="H82" s="10"/>
      <c r="I82" s="10"/>
    </row>
    <row r="83" spans="1:9" s="3" customFormat="1" x14ac:dyDescent="0.25">
      <c r="A83" s="9">
        <v>77</v>
      </c>
      <c r="B83"/>
      <c r="C83" s="9"/>
      <c r="D83" s="22" t="s">
        <v>88</v>
      </c>
      <c r="E83" s="10">
        <f>+E80-(+Electric!E60+Gas!E31+Common!E98)</f>
        <v>0</v>
      </c>
      <c r="F83" s="10">
        <f>+F80-(+Electric!F60+Gas!F31+Common!F98)</f>
        <v>0</v>
      </c>
      <c r="G83" s="10">
        <f>+G80-(+Electric!G60+Gas!G31+Common!G98)</f>
        <v>0</v>
      </c>
      <c r="H83" s="10">
        <f>+H80-(+Electric!H60+Gas!H31+Common!H98)</f>
        <v>0</v>
      </c>
      <c r="I83" s="10"/>
    </row>
    <row r="84" spans="1:9" x14ac:dyDescent="0.25">
      <c r="A84" s="9">
        <v>78</v>
      </c>
      <c r="D84" s="22" t="s">
        <v>89</v>
      </c>
      <c r="E84" s="10">
        <f>+E81-(+Electric!E61+Gas!E32+Common!E99)</f>
        <v>0</v>
      </c>
      <c r="F84" s="10">
        <f>+F81-(+Electric!F61+Gas!F32+Common!F99)</f>
        <v>0</v>
      </c>
      <c r="G84" s="10">
        <f>+G81-(+Electric!G61+Gas!G32+Common!G99)</f>
        <v>0</v>
      </c>
      <c r="H84" s="10">
        <f>+H81-(+Electric!H61+Gas!H32+Common!H99)</f>
        <v>0</v>
      </c>
    </row>
    <row r="85" spans="1:9" x14ac:dyDescent="0.25">
      <c r="A85" s="9">
        <v>79</v>
      </c>
    </row>
    <row r="86" spans="1:9" x14ac:dyDescent="0.25">
      <c r="A86" s="9">
        <v>80</v>
      </c>
      <c r="G86" s="10" t="s">
        <v>94</v>
      </c>
      <c r="H86" s="10">
        <f>+Electric!H63+Gas!H34</f>
        <v>-53042825.220700003</v>
      </c>
    </row>
    <row r="87" spans="1:9" x14ac:dyDescent="0.25">
      <c r="A87" s="9">
        <v>81</v>
      </c>
      <c r="G87" s="10" t="s">
        <v>95</v>
      </c>
      <c r="H87" s="10">
        <f>+Electric!H64+Gas!H35</f>
        <v>-762373798.99930012</v>
      </c>
    </row>
    <row r="88" spans="1:9" x14ac:dyDescent="0.25">
      <c r="A88" s="9">
        <v>82</v>
      </c>
      <c r="G88" s="10" t="s">
        <v>201</v>
      </c>
      <c r="H88" s="10">
        <f>+Electric!H65+Gas!H36+Common!H98</f>
        <v>-91883296.190700009</v>
      </c>
    </row>
    <row r="89" spans="1:9" x14ac:dyDescent="0.25">
      <c r="A89" s="9">
        <v>83</v>
      </c>
      <c r="G89" s="10" t="s">
        <v>202</v>
      </c>
      <c r="H89" s="10">
        <f>+Electric!H66+Gas!H37</f>
        <v>-762373798.99930012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10.28515625" style="9" customWidth="1"/>
    <col min="4" max="4" width="14.42578125" style="9" customWidth="1"/>
    <col min="5" max="8" width="15" style="10" customWidth="1"/>
    <col min="9" max="16384" width="9" style="5"/>
  </cols>
  <sheetData>
    <row r="1" spans="1:9" ht="14.25" x14ac:dyDescent="0.25">
      <c r="A1" s="5" t="s">
        <v>0</v>
      </c>
    </row>
    <row r="2" spans="1:9" ht="14.25" x14ac:dyDescent="0.25">
      <c r="A2" s="5" t="s">
        <v>69</v>
      </c>
    </row>
    <row r="3" spans="1:9" ht="14.25" x14ac:dyDescent="0.25">
      <c r="A3" s="7" t="s">
        <v>197</v>
      </c>
    </row>
    <row r="5" spans="1:9" s="2" customFormat="1" ht="14.25" x14ac:dyDescent="0.25">
      <c r="A5" s="2" t="s">
        <v>90</v>
      </c>
      <c r="C5" s="21"/>
      <c r="D5" s="21"/>
      <c r="E5" s="10"/>
      <c r="F5" s="10"/>
      <c r="G5" s="10"/>
      <c r="H5" s="10"/>
    </row>
    <row r="6" spans="1:9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9" ht="14.25" x14ac:dyDescent="0.25">
      <c r="A7" s="9">
        <v>1</v>
      </c>
      <c r="B7" s="5" t="s">
        <v>5</v>
      </c>
      <c r="C7" s="9" t="s">
        <v>75</v>
      </c>
      <c r="D7" s="36">
        <v>190</v>
      </c>
      <c r="E7" s="13">
        <v>2371550</v>
      </c>
      <c r="F7" s="13">
        <v>830043</v>
      </c>
      <c r="G7" s="13">
        <f t="shared" ref="G7:G26" si="0">E7*0.21</f>
        <v>498025.5</v>
      </c>
      <c r="H7" s="13">
        <f t="shared" ref="H7:H26" si="1">F7-G7</f>
        <v>332017.5</v>
      </c>
      <c r="I7" s="30"/>
    </row>
    <row r="8" spans="1:9" ht="14.25" x14ac:dyDescent="0.25">
      <c r="A8" s="9">
        <v>2</v>
      </c>
      <c r="B8" s="5" t="s">
        <v>8</v>
      </c>
      <c r="C8" s="9" t="s">
        <v>75</v>
      </c>
      <c r="D8" s="36">
        <v>190</v>
      </c>
      <c r="E8" s="13">
        <v>326808</v>
      </c>
      <c r="F8" s="13">
        <v>114383</v>
      </c>
      <c r="G8" s="13">
        <f t="shared" si="0"/>
        <v>68629.679999999993</v>
      </c>
      <c r="H8" s="13">
        <f t="shared" si="1"/>
        <v>45753.320000000007</v>
      </c>
      <c r="I8" s="30"/>
    </row>
    <row r="9" spans="1:9" ht="14.25" x14ac:dyDescent="0.25">
      <c r="A9" s="9">
        <v>3</v>
      </c>
      <c r="B9" s="5" t="s">
        <v>9</v>
      </c>
      <c r="C9" s="9" t="s">
        <v>75</v>
      </c>
      <c r="D9" s="36">
        <v>190</v>
      </c>
      <c r="E9" s="13">
        <v>-5828662</v>
      </c>
      <c r="F9" s="13">
        <v>-2040032</v>
      </c>
      <c r="G9" s="13">
        <f t="shared" si="0"/>
        <v>-1224019.02</v>
      </c>
      <c r="H9" s="13">
        <f t="shared" si="1"/>
        <v>-816012.98</v>
      </c>
      <c r="I9" s="30"/>
    </row>
    <row r="10" spans="1:9" s="6" customFormat="1" ht="14.25" x14ac:dyDescent="0.25">
      <c r="A10" s="9">
        <v>4</v>
      </c>
      <c r="B10" s="5" t="s">
        <v>10</v>
      </c>
      <c r="C10" s="9" t="s">
        <v>75</v>
      </c>
      <c r="D10" s="36">
        <v>190</v>
      </c>
      <c r="E10" s="13">
        <v>5604</v>
      </c>
      <c r="F10" s="13">
        <v>1961</v>
      </c>
      <c r="G10" s="13">
        <f t="shared" si="0"/>
        <v>1176.8399999999999</v>
      </c>
      <c r="H10" s="13">
        <f t="shared" si="1"/>
        <v>784.16000000000008</v>
      </c>
      <c r="I10" s="37"/>
    </row>
    <row r="11" spans="1:9" s="6" customFormat="1" ht="14.25" x14ac:dyDescent="0.25">
      <c r="A11" s="9">
        <v>5</v>
      </c>
      <c r="B11" s="5" t="s">
        <v>11</v>
      </c>
      <c r="C11" s="9" t="s">
        <v>75</v>
      </c>
      <c r="D11" s="36">
        <v>190</v>
      </c>
      <c r="E11" s="13">
        <v>455534</v>
      </c>
      <c r="F11" s="13">
        <v>159437</v>
      </c>
      <c r="G11" s="13">
        <f t="shared" si="0"/>
        <v>95662.14</v>
      </c>
      <c r="H11" s="13">
        <f t="shared" si="1"/>
        <v>63774.86</v>
      </c>
      <c r="I11" s="37"/>
    </row>
    <row r="12" spans="1:9" s="6" customFormat="1" ht="14.25" x14ac:dyDescent="0.25">
      <c r="A12" s="9">
        <v>6</v>
      </c>
      <c r="B12" s="5" t="s">
        <v>12</v>
      </c>
      <c r="C12" s="9" t="s">
        <v>75</v>
      </c>
      <c r="D12" s="36">
        <v>190</v>
      </c>
      <c r="E12" s="13">
        <v>36671</v>
      </c>
      <c r="F12" s="13">
        <v>12835</v>
      </c>
      <c r="G12" s="13">
        <f t="shared" si="0"/>
        <v>7700.91</v>
      </c>
      <c r="H12" s="13">
        <f t="shared" si="1"/>
        <v>5134.09</v>
      </c>
      <c r="I12" s="37"/>
    </row>
    <row r="13" spans="1:9" s="6" customFormat="1" ht="14.25" x14ac:dyDescent="0.25">
      <c r="A13" s="9">
        <v>7</v>
      </c>
      <c r="B13" s="5" t="s">
        <v>14</v>
      </c>
      <c r="C13" s="9" t="s">
        <v>75</v>
      </c>
      <c r="D13" s="36">
        <v>190</v>
      </c>
      <c r="E13" s="13">
        <v>32183505</v>
      </c>
      <c r="F13" s="13">
        <v>11264227</v>
      </c>
      <c r="G13" s="13">
        <f t="shared" si="0"/>
        <v>6758536.0499999998</v>
      </c>
      <c r="H13" s="13">
        <f t="shared" si="1"/>
        <v>4505690.95</v>
      </c>
      <c r="I13" s="37"/>
    </row>
    <row r="14" spans="1:9" s="6" customFormat="1" ht="14.25" x14ac:dyDescent="0.25">
      <c r="A14" s="9">
        <v>8</v>
      </c>
      <c r="B14" s="5" t="s">
        <v>15</v>
      </c>
      <c r="C14" s="9" t="s">
        <v>75</v>
      </c>
      <c r="D14" s="36">
        <v>190</v>
      </c>
      <c r="E14" s="13">
        <v>11851024</v>
      </c>
      <c r="F14" s="13">
        <v>4147857</v>
      </c>
      <c r="G14" s="13">
        <f t="shared" si="0"/>
        <v>2488715.04</v>
      </c>
      <c r="H14" s="13">
        <f t="shared" si="1"/>
        <v>1659141.96</v>
      </c>
      <c r="I14" s="37"/>
    </row>
    <row r="15" spans="1:9" s="6" customFormat="1" ht="14.25" x14ac:dyDescent="0.25">
      <c r="A15" s="9">
        <v>9</v>
      </c>
      <c r="B15" s="5" t="s">
        <v>22</v>
      </c>
      <c r="C15" s="9" t="s">
        <v>75</v>
      </c>
      <c r="D15" s="36">
        <v>190</v>
      </c>
      <c r="E15" s="13">
        <v>1196228</v>
      </c>
      <c r="F15" s="13">
        <v>418680</v>
      </c>
      <c r="G15" s="13">
        <f t="shared" si="0"/>
        <v>251207.88</v>
      </c>
      <c r="H15" s="13">
        <f t="shared" si="1"/>
        <v>167472.12</v>
      </c>
      <c r="I15" s="37"/>
    </row>
    <row r="16" spans="1:9" s="6" customFormat="1" ht="14.25" x14ac:dyDescent="0.25">
      <c r="A16" s="9">
        <v>10</v>
      </c>
      <c r="B16" s="5" t="s">
        <v>23</v>
      </c>
      <c r="C16" s="9" t="s">
        <v>75</v>
      </c>
      <c r="D16" s="36">
        <v>190</v>
      </c>
      <c r="E16" s="13">
        <v>140000</v>
      </c>
      <c r="F16" s="13">
        <v>49000</v>
      </c>
      <c r="G16" s="13">
        <f t="shared" si="0"/>
        <v>29400</v>
      </c>
      <c r="H16" s="13">
        <f t="shared" si="1"/>
        <v>19600</v>
      </c>
      <c r="I16" s="37"/>
    </row>
    <row r="17" spans="1:9" s="6" customFormat="1" ht="14.25" x14ac:dyDescent="0.25">
      <c r="A17" s="9">
        <v>11</v>
      </c>
      <c r="B17" s="5" t="s">
        <v>25</v>
      </c>
      <c r="C17" s="9" t="s">
        <v>75</v>
      </c>
      <c r="D17" s="36">
        <v>190</v>
      </c>
      <c r="E17" s="13">
        <v>448022</v>
      </c>
      <c r="F17" s="13">
        <v>156808</v>
      </c>
      <c r="G17" s="13">
        <f t="shared" si="0"/>
        <v>94084.62</v>
      </c>
      <c r="H17" s="13">
        <f t="shared" si="1"/>
        <v>62723.380000000005</v>
      </c>
      <c r="I17" s="37"/>
    </row>
    <row r="18" spans="1:9" s="6" customFormat="1" ht="14.25" x14ac:dyDescent="0.25">
      <c r="A18" s="9">
        <v>12</v>
      </c>
      <c r="B18" s="5" t="s">
        <v>26</v>
      </c>
      <c r="C18" s="9" t="s">
        <v>75</v>
      </c>
      <c r="D18" s="36">
        <v>190</v>
      </c>
      <c r="E18" s="13">
        <v>31056</v>
      </c>
      <c r="F18" s="13">
        <v>10870</v>
      </c>
      <c r="G18" s="13">
        <f t="shared" si="0"/>
        <v>6521.7599999999993</v>
      </c>
      <c r="H18" s="13">
        <f t="shared" si="1"/>
        <v>4348.2400000000007</v>
      </c>
      <c r="I18" s="37"/>
    </row>
    <row r="19" spans="1:9" s="6" customFormat="1" ht="14.25" x14ac:dyDescent="0.25">
      <c r="A19" s="9">
        <v>13</v>
      </c>
      <c r="B19" s="5" t="s">
        <v>27</v>
      </c>
      <c r="C19" s="9" t="s">
        <v>75</v>
      </c>
      <c r="D19" s="36">
        <v>190</v>
      </c>
      <c r="E19" s="13">
        <v>2907360</v>
      </c>
      <c r="F19" s="13">
        <v>1017576</v>
      </c>
      <c r="G19" s="13">
        <f t="shared" si="0"/>
        <v>610545.6</v>
      </c>
      <c r="H19" s="13">
        <f t="shared" si="1"/>
        <v>407030.4</v>
      </c>
      <c r="I19" s="37"/>
    </row>
    <row r="20" spans="1:9" s="6" customFormat="1" ht="14.25" x14ac:dyDescent="0.25">
      <c r="A20" s="9">
        <v>14</v>
      </c>
      <c r="B20" s="5" t="s">
        <v>29</v>
      </c>
      <c r="C20" s="9" t="s">
        <v>75</v>
      </c>
      <c r="D20" s="36">
        <v>190</v>
      </c>
      <c r="E20" s="13">
        <v>7861016</v>
      </c>
      <c r="F20" s="13">
        <v>2751355</v>
      </c>
      <c r="G20" s="13">
        <f t="shared" si="0"/>
        <v>1650813.3599999999</v>
      </c>
      <c r="H20" s="13">
        <f t="shared" si="1"/>
        <v>1100541.6400000001</v>
      </c>
      <c r="I20" s="37"/>
    </row>
    <row r="21" spans="1:9" s="6" customFormat="1" ht="14.25" x14ac:dyDescent="0.25">
      <c r="A21" s="9">
        <v>15</v>
      </c>
      <c r="B21" s="5" t="s">
        <v>30</v>
      </c>
      <c r="C21" s="9" t="s">
        <v>75</v>
      </c>
      <c r="D21" s="36">
        <v>190</v>
      </c>
      <c r="E21" s="13">
        <v>-15030</v>
      </c>
      <c r="F21" s="13">
        <v>-5261</v>
      </c>
      <c r="G21" s="13">
        <f t="shared" si="0"/>
        <v>-3156.2999999999997</v>
      </c>
      <c r="H21" s="13">
        <f t="shared" si="1"/>
        <v>-2104.7000000000003</v>
      </c>
      <c r="I21" s="37"/>
    </row>
    <row r="22" spans="1:9" s="6" customFormat="1" ht="14.25" x14ac:dyDescent="0.25">
      <c r="A22" s="9">
        <v>16</v>
      </c>
      <c r="B22" s="5" t="s">
        <v>31</v>
      </c>
      <c r="C22" s="9" t="s">
        <v>75</v>
      </c>
      <c r="D22" s="36">
        <v>190</v>
      </c>
      <c r="E22" s="13">
        <v>28669</v>
      </c>
      <c r="F22" s="13">
        <v>10034</v>
      </c>
      <c r="G22" s="13">
        <f t="shared" si="0"/>
        <v>6020.49</v>
      </c>
      <c r="H22" s="13">
        <f t="shared" si="1"/>
        <v>4013.51</v>
      </c>
      <c r="I22" s="37"/>
    </row>
    <row r="23" spans="1:9" s="6" customFormat="1" ht="14.25" x14ac:dyDescent="0.25">
      <c r="A23" s="9">
        <v>17</v>
      </c>
      <c r="B23" s="5" t="s">
        <v>32</v>
      </c>
      <c r="C23" s="9" t="s">
        <v>75</v>
      </c>
      <c r="D23" s="36">
        <v>190</v>
      </c>
      <c r="E23" s="13">
        <v>41961</v>
      </c>
      <c r="F23" s="13">
        <v>14686</v>
      </c>
      <c r="G23" s="13">
        <f t="shared" si="0"/>
        <v>8811.81</v>
      </c>
      <c r="H23" s="13">
        <f t="shared" si="1"/>
        <v>5874.1900000000005</v>
      </c>
      <c r="I23" s="37"/>
    </row>
    <row r="24" spans="1:9" s="6" customFormat="1" ht="14.25" x14ac:dyDescent="0.25">
      <c r="A24" s="9">
        <v>18</v>
      </c>
      <c r="B24" s="5" t="s">
        <v>198</v>
      </c>
      <c r="C24" s="9" t="s">
        <v>75</v>
      </c>
      <c r="D24" s="36">
        <v>190</v>
      </c>
      <c r="E24" s="13">
        <v>3550576</v>
      </c>
      <c r="F24" s="13">
        <v>1242702</v>
      </c>
      <c r="G24" s="13">
        <f t="shared" si="0"/>
        <v>745620.96</v>
      </c>
      <c r="H24" s="13">
        <f t="shared" si="1"/>
        <v>497081.04000000004</v>
      </c>
      <c r="I24" s="37"/>
    </row>
    <row r="25" spans="1:9" ht="14.25" x14ac:dyDescent="0.25">
      <c r="A25" s="9">
        <v>19</v>
      </c>
      <c r="B25" s="5" t="s">
        <v>33</v>
      </c>
      <c r="C25" s="9" t="s">
        <v>75</v>
      </c>
      <c r="D25" s="36">
        <v>190</v>
      </c>
      <c r="E25" s="13">
        <v>1381856</v>
      </c>
      <c r="F25" s="13">
        <v>483650</v>
      </c>
      <c r="G25" s="13">
        <f t="shared" si="0"/>
        <v>290189.76</v>
      </c>
      <c r="H25" s="13">
        <f t="shared" si="1"/>
        <v>193460.24</v>
      </c>
      <c r="I25" s="30"/>
    </row>
    <row r="26" spans="1:9" ht="14.25" x14ac:dyDescent="0.25">
      <c r="A26" s="9">
        <v>20</v>
      </c>
      <c r="B26" s="5" t="s">
        <v>34</v>
      </c>
      <c r="C26" s="9" t="s">
        <v>75</v>
      </c>
      <c r="D26" s="36">
        <v>190</v>
      </c>
      <c r="E26" s="13">
        <v>400029</v>
      </c>
      <c r="F26" s="13">
        <v>140010</v>
      </c>
      <c r="G26" s="13">
        <f t="shared" si="0"/>
        <v>84006.09</v>
      </c>
      <c r="H26" s="13">
        <f t="shared" si="1"/>
        <v>56003.91</v>
      </c>
      <c r="I26" s="30"/>
    </row>
    <row r="27" spans="1:9" ht="14.25" x14ac:dyDescent="0.25">
      <c r="A27" s="9">
        <v>21</v>
      </c>
      <c r="B27" s="5" t="s">
        <v>80</v>
      </c>
      <c r="D27" s="36"/>
      <c r="E27" s="13">
        <f>+Common!E39</f>
        <v>30373260.299599998</v>
      </c>
      <c r="F27" s="13">
        <f>+Common!F39</f>
        <v>10630641.914099999</v>
      </c>
      <c r="G27" s="13">
        <f>+Common!G39</f>
        <v>6378384.6629159991</v>
      </c>
      <c r="H27" s="13">
        <f>+Common!H39</f>
        <v>4252257.2511839997</v>
      </c>
      <c r="I27" s="30"/>
    </row>
    <row r="28" spans="1:9" ht="14.25" x14ac:dyDescent="0.25">
      <c r="A28" s="9">
        <v>22</v>
      </c>
      <c r="D28" s="38" t="s">
        <v>62</v>
      </c>
      <c r="E28" s="17">
        <f>SUBTOTAL(9,E7:E27)</f>
        <v>89747037.299600005</v>
      </c>
      <c r="F28" s="17">
        <f t="shared" ref="F28:H28" si="2">SUBTOTAL(9,F7:F27)</f>
        <v>31411462.914099999</v>
      </c>
      <c r="G28" s="17">
        <f t="shared" si="2"/>
        <v>18846877.832915999</v>
      </c>
      <c r="H28" s="17">
        <f t="shared" si="2"/>
        <v>12564585.081184</v>
      </c>
      <c r="I28" s="30"/>
    </row>
    <row r="29" spans="1:9" ht="14.25" x14ac:dyDescent="0.25">
      <c r="A29" s="9">
        <v>23</v>
      </c>
      <c r="D29" s="38"/>
      <c r="E29" s="13"/>
      <c r="F29" s="13"/>
      <c r="G29" s="13"/>
      <c r="H29" s="13"/>
      <c r="I29" s="30"/>
    </row>
    <row r="30" spans="1:9" ht="14.25" x14ac:dyDescent="0.25">
      <c r="A30" s="9">
        <v>24</v>
      </c>
      <c r="B30" s="5" t="s">
        <v>37</v>
      </c>
      <c r="C30" s="9" t="s">
        <v>75</v>
      </c>
      <c r="D30" s="36">
        <v>282</v>
      </c>
      <c r="E30" s="13">
        <f>-163943731-3953819057</f>
        <v>-4117762788</v>
      </c>
      <c r="F30" s="13">
        <v>-1387490158.9000001</v>
      </c>
      <c r="G30" s="13">
        <v>-830302002.05999994</v>
      </c>
      <c r="H30" s="13">
        <f>F30-G30</f>
        <v>-557188156.84000015</v>
      </c>
      <c r="I30" s="30"/>
    </row>
    <row r="31" spans="1:9" ht="14.25" x14ac:dyDescent="0.25">
      <c r="A31" s="9">
        <v>25</v>
      </c>
      <c r="B31" s="5" t="s">
        <v>80</v>
      </c>
      <c r="D31" s="36"/>
      <c r="E31" s="13">
        <f>+Common!E42</f>
        <v>-136754753.1735</v>
      </c>
      <c r="F31" s="13">
        <f>+Common!F42</f>
        <v>-46344542.205499999</v>
      </c>
      <c r="G31" s="13">
        <f>+Common!G42</f>
        <v>-27804354.632669996</v>
      </c>
      <c r="H31" s="13">
        <f>+Common!H42</f>
        <v>-18540187.572830003</v>
      </c>
      <c r="I31" s="30"/>
    </row>
    <row r="32" spans="1:9" ht="14.25" x14ac:dyDescent="0.25">
      <c r="A32" s="9">
        <v>26</v>
      </c>
      <c r="D32" s="38" t="s">
        <v>64</v>
      </c>
      <c r="E32" s="17">
        <f>SUBTOTAL(9,E30:E31)</f>
        <v>-4254517541.1735001</v>
      </c>
      <c r="F32" s="17">
        <f t="shared" ref="F32:H32" si="3">SUBTOTAL(9,F30:F31)</f>
        <v>-1433834701.1055</v>
      </c>
      <c r="G32" s="17">
        <f t="shared" si="3"/>
        <v>-858106356.69266999</v>
      </c>
      <c r="H32" s="17">
        <f t="shared" si="3"/>
        <v>-575728344.41283011</v>
      </c>
      <c r="I32" s="30"/>
    </row>
    <row r="33" spans="1:9" ht="14.25" x14ac:dyDescent="0.25">
      <c r="A33" s="9">
        <v>27</v>
      </c>
      <c r="D33" s="38"/>
      <c r="E33" s="13"/>
      <c r="F33" s="13"/>
      <c r="G33" s="13"/>
      <c r="H33" s="13"/>
      <c r="I33" s="30"/>
    </row>
    <row r="34" spans="1:9" ht="14.25" x14ac:dyDescent="0.25">
      <c r="A34" s="9">
        <v>28</v>
      </c>
      <c r="B34" s="5" t="s">
        <v>39</v>
      </c>
      <c r="C34" s="9" t="s">
        <v>75</v>
      </c>
      <c r="D34" s="36">
        <v>283</v>
      </c>
      <c r="E34" s="13">
        <v>-13369404</v>
      </c>
      <c r="F34" s="13">
        <v>-4679291</v>
      </c>
      <c r="G34" s="13">
        <f t="shared" ref="G34:G53" si="4">E34*0.21</f>
        <v>-2807574.84</v>
      </c>
      <c r="H34" s="13">
        <f t="shared" ref="H34:H53" si="5">F34-G34</f>
        <v>-1871716.1600000001</v>
      </c>
      <c r="I34" s="30"/>
    </row>
    <row r="35" spans="1:9" ht="14.25" x14ac:dyDescent="0.25">
      <c r="A35" s="9">
        <v>29</v>
      </c>
      <c r="B35" s="5" t="s">
        <v>200</v>
      </c>
      <c r="C35" s="9" t="s">
        <v>75</v>
      </c>
      <c r="D35" s="36">
        <v>283</v>
      </c>
      <c r="E35" s="13">
        <v>-749097</v>
      </c>
      <c r="F35" s="13">
        <v>-262184</v>
      </c>
      <c r="G35" s="13">
        <f t="shared" si="4"/>
        <v>-157310.37</v>
      </c>
      <c r="H35" s="13">
        <f t="shared" si="5"/>
        <v>-104873.63</v>
      </c>
      <c r="I35" s="30"/>
    </row>
    <row r="36" spans="1:9" ht="14.25" x14ac:dyDescent="0.25">
      <c r="A36" s="9">
        <v>30</v>
      </c>
      <c r="B36" s="5" t="s">
        <v>40</v>
      </c>
      <c r="C36" s="9" t="s">
        <v>75</v>
      </c>
      <c r="D36" s="36">
        <v>283</v>
      </c>
      <c r="E36" s="13">
        <v>-5174698</v>
      </c>
      <c r="F36" s="13">
        <v>-1811144</v>
      </c>
      <c r="G36" s="13">
        <f t="shared" si="4"/>
        <v>-1086686.58</v>
      </c>
      <c r="H36" s="13">
        <f t="shared" si="5"/>
        <v>-724457.41999999993</v>
      </c>
      <c r="I36" s="30"/>
    </row>
    <row r="37" spans="1:9" ht="14.25" x14ac:dyDescent="0.25">
      <c r="A37" s="9">
        <v>31</v>
      </c>
      <c r="B37" s="5" t="s">
        <v>77</v>
      </c>
      <c r="C37" s="9" t="s">
        <v>75</v>
      </c>
      <c r="D37" s="36">
        <v>283</v>
      </c>
      <c r="E37" s="13">
        <v>-474882</v>
      </c>
      <c r="F37" s="13">
        <v>-166209</v>
      </c>
      <c r="G37" s="13">
        <f t="shared" si="4"/>
        <v>-99725.22</v>
      </c>
      <c r="H37" s="13">
        <f t="shared" si="5"/>
        <v>-66483.78</v>
      </c>
      <c r="I37" s="30"/>
    </row>
    <row r="38" spans="1:9" ht="14.25" x14ac:dyDescent="0.25">
      <c r="A38" s="9">
        <v>32</v>
      </c>
      <c r="B38" s="5" t="s">
        <v>41</v>
      </c>
      <c r="C38" s="9" t="s">
        <v>75</v>
      </c>
      <c r="D38" s="36">
        <v>283</v>
      </c>
      <c r="E38" s="13">
        <v>-54592489</v>
      </c>
      <c r="F38" s="13">
        <v>-19107371</v>
      </c>
      <c r="G38" s="13">
        <f t="shared" si="4"/>
        <v>-11464422.689999999</v>
      </c>
      <c r="H38" s="13">
        <f t="shared" si="5"/>
        <v>-7642948.3100000005</v>
      </c>
      <c r="I38" s="30"/>
    </row>
    <row r="39" spans="1:9" ht="14.25" x14ac:dyDescent="0.25">
      <c r="A39" s="9">
        <v>33</v>
      </c>
      <c r="B39" s="5" t="s">
        <v>42</v>
      </c>
      <c r="C39" s="9" t="s">
        <v>75</v>
      </c>
      <c r="D39" s="36">
        <v>283</v>
      </c>
      <c r="E39" s="13">
        <v>-17667580</v>
      </c>
      <c r="F39" s="13">
        <v>-6183653</v>
      </c>
      <c r="G39" s="13">
        <f t="shared" si="4"/>
        <v>-3710191.8</v>
      </c>
      <c r="H39" s="13">
        <f t="shared" si="5"/>
        <v>-2473461.2000000002</v>
      </c>
      <c r="I39" s="30"/>
    </row>
    <row r="40" spans="1:9" x14ac:dyDescent="0.25">
      <c r="A40" s="9">
        <v>34</v>
      </c>
      <c r="B40" s="5" t="s">
        <v>45</v>
      </c>
      <c r="C40" s="9" t="s">
        <v>75</v>
      </c>
      <c r="D40" s="36">
        <v>283</v>
      </c>
      <c r="E40" s="13">
        <v>-24157793</v>
      </c>
      <c r="F40" s="13">
        <v>-8455228</v>
      </c>
      <c r="G40" s="13">
        <f t="shared" si="4"/>
        <v>-5073136.53</v>
      </c>
      <c r="H40" s="13">
        <f t="shared" si="5"/>
        <v>-3382091.4699999997</v>
      </c>
      <c r="I40" s="30"/>
    </row>
    <row r="41" spans="1:9" s="6" customFormat="1" x14ac:dyDescent="0.25">
      <c r="A41" s="9">
        <v>35</v>
      </c>
      <c r="B41" s="5" t="s">
        <v>46</v>
      </c>
      <c r="C41" s="9" t="s">
        <v>75</v>
      </c>
      <c r="D41" s="36">
        <v>283</v>
      </c>
      <c r="E41" s="13">
        <v>-10437462</v>
      </c>
      <c r="F41" s="13">
        <v>-3653112</v>
      </c>
      <c r="G41" s="13">
        <f t="shared" si="4"/>
        <v>-2191867.02</v>
      </c>
      <c r="H41" s="13">
        <f t="shared" si="5"/>
        <v>-1461244.98</v>
      </c>
      <c r="I41" s="37"/>
    </row>
    <row r="42" spans="1:9" s="6" customFormat="1" x14ac:dyDescent="0.25">
      <c r="A42" s="9">
        <v>36</v>
      </c>
      <c r="B42" s="5" t="s">
        <v>47</v>
      </c>
      <c r="C42" s="9" t="s">
        <v>75</v>
      </c>
      <c r="D42" s="36">
        <v>283</v>
      </c>
      <c r="E42" s="13">
        <v>3059977</v>
      </c>
      <c r="F42" s="13">
        <v>1070992</v>
      </c>
      <c r="G42" s="13">
        <f t="shared" si="4"/>
        <v>642595.16999999993</v>
      </c>
      <c r="H42" s="13">
        <f t="shared" si="5"/>
        <v>428396.83000000007</v>
      </c>
      <c r="I42" s="37"/>
    </row>
    <row r="43" spans="1:9" s="6" customFormat="1" x14ac:dyDescent="0.25">
      <c r="A43" s="9">
        <v>37</v>
      </c>
      <c r="B43" s="5" t="s">
        <v>49</v>
      </c>
      <c r="C43" s="9" t="s">
        <v>75</v>
      </c>
      <c r="D43" s="36">
        <v>283</v>
      </c>
      <c r="E43" s="13">
        <v>-36492692</v>
      </c>
      <c r="F43" s="13">
        <v>-12772442</v>
      </c>
      <c r="G43" s="13">
        <f t="shared" si="4"/>
        <v>-7663465.3199999994</v>
      </c>
      <c r="H43" s="13">
        <f t="shared" si="5"/>
        <v>-5108976.6800000006</v>
      </c>
      <c r="I43" s="37"/>
    </row>
    <row r="44" spans="1:9" s="6" customFormat="1" x14ac:dyDescent="0.25">
      <c r="A44" s="9">
        <v>38</v>
      </c>
      <c r="B44" s="5" t="s">
        <v>50</v>
      </c>
      <c r="C44" s="9" t="s">
        <v>75</v>
      </c>
      <c r="D44" s="36">
        <v>283</v>
      </c>
      <c r="E44" s="13">
        <v>-28496042</v>
      </c>
      <c r="F44" s="13">
        <v>-9973615</v>
      </c>
      <c r="G44" s="13">
        <f t="shared" si="4"/>
        <v>-5984168.8199999994</v>
      </c>
      <c r="H44" s="13">
        <f t="shared" si="5"/>
        <v>-3989446.1800000006</v>
      </c>
      <c r="I44" s="37"/>
    </row>
    <row r="45" spans="1:9" s="6" customFormat="1" x14ac:dyDescent="0.25">
      <c r="A45" s="9">
        <v>39</v>
      </c>
      <c r="B45" s="5" t="s">
        <v>51</v>
      </c>
      <c r="C45" s="9" t="s">
        <v>75</v>
      </c>
      <c r="D45" s="36">
        <v>283</v>
      </c>
      <c r="E45" s="13">
        <v>-19501592</v>
      </c>
      <c r="F45" s="13">
        <v>-6825557</v>
      </c>
      <c r="G45" s="13">
        <f t="shared" si="4"/>
        <v>-4095334.32</v>
      </c>
      <c r="H45" s="13">
        <f t="shared" si="5"/>
        <v>-2730222.68</v>
      </c>
      <c r="I45" s="37"/>
    </row>
    <row r="46" spans="1:9" s="6" customFormat="1" x14ac:dyDescent="0.25">
      <c r="A46" s="9">
        <v>40</v>
      </c>
      <c r="B46" s="5" t="s">
        <v>52</v>
      </c>
      <c r="C46" s="9" t="s">
        <v>75</v>
      </c>
      <c r="D46" s="36">
        <v>283</v>
      </c>
      <c r="E46" s="13">
        <v>-20750387</v>
      </c>
      <c r="F46" s="13">
        <v>-7262635</v>
      </c>
      <c r="G46" s="13">
        <f t="shared" si="4"/>
        <v>-4357581.2699999996</v>
      </c>
      <c r="H46" s="13">
        <f t="shared" si="5"/>
        <v>-2905053.7300000004</v>
      </c>
      <c r="I46" s="37"/>
    </row>
    <row r="47" spans="1:9" s="6" customFormat="1" x14ac:dyDescent="0.25">
      <c r="A47" s="9">
        <v>41</v>
      </c>
      <c r="B47" s="5" t="s">
        <v>53</v>
      </c>
      <c r="C47" s="9" t="s">
        <v>75</v>
      </c>
      <c r="D47" s="36">
        <v>283</v>
      </c>
      <c r="E47" s="13">
        <v>-8287438</v>
      </c>
      <c r="F47" s="13">
        <v>-2900603</v>
      </c>
      <c r="G47" s="13">
        <f t="shared" si="4"/>
        <v>-1740361.98</v>
      </c>
      <c r="H47" s="13">
        <f t="shared" si="5"/>
        <v>-1160241.02</v>
      </c>
      <c r="I47" s="37"/>
    </row>
    <row r="48" spans="1:9" s="6" customFormat="1" x14ac:dyDescent="0.25">
      <c r="A48" s="9">
        <v>42</v>
      </c>
      <c r="B48" s="5" t="s">
        <v>54</v>
      </c>
      <c r="C48" s="9" t="s">
        <v>75</v>
      </c>
      <c r="D48" s="36">
        <v>283</v>
      </c>
      <c r="E48" s="13">
        <v>-561113</v>
      </c>
      <c r="F48" s="13">
        <v>-196390</v>
      </c>
      <c r="G48" s="13">
        <f t="shared" si="4"/>
        <v>-117833.73</v>
      </c>
      <c r="H48" s="13">
        <f t="shared" si="5"/>
        <v>-78556.27</v>
      </c>
      <c r="I48" s="37"/>
    </row>
    <row r="49" spans="1:9" x14ac:dyDescent="0.25">
      <c r="A49" s="9">
        <v>43</v>
      </c>
      <c r="B49" s="5" t="s">
        <v>55</v>
      </c>
      <c r="C49" s="9" t="s">
        <v>75</v>
      </c>
      <c r="D49" s="36">
        <v>283</v>
      </c>
      <c r="E49" s="13">
        <f>518174-5942886</f>
        <v>-5424712</v>
      </c>
      <c r="F49" s="13">
        <f>181361-2080010</f>
        <v>-1898649</v>
      </c>
      <c r="G49" s="13">
        <f t="shared" si="4"/>
        <v>-1139189.52</v>
      </c>
      <c r="H49" s="13">
        <f t="shared" si="5"/>
        <v>-759459.48</v>
      </c>
      <c r="I49" s="30"/>
    </row>
    <row r="50" spans="1:9" x14ac:dyDescent="0.25">
      <c r="A50" s="9">
        <v>44</v>
      </c>
      <c r="B50" s="5" t="s">
        <v>57</v>
      </c>
      <c r="C50" s="9" t="s">
        <v>75</v>
      </c>
      <c r="D50" s="36">
        <v>283</v>
      </c>
      <c r="E50" s="13">
        <v>-33221190</v>
      </c>
      <c r="F50" s="13">
        <v>-11627417</v>
      </c>
      <c r="G50" s="13">
        <f t="shared" si="4"/>
        <v>-6976449.8999999994</v>
      </c>
      <c r="H50" s="13">
        <f t="shared" si="5"/>
        <v>-4650967.1000000006</v>
      </c>
      <c r="I50" s="30"/>
    </row>
    <row r="51" spans="1:9" x14ac:dyDescent="0.25">
      <c r="A51" s="9">
        <v>45</v>
      </c>
      <c r="B51" s="5" t="s">
        <v>58</v>
      </c>
      <c r="C51" s="9" t="s">
        <v>75</v>
      </c>
      <c r="D51" s="36">
        <v>283</v>
      </c>
      <c r="E51" s="13">
        <v>-8723144</v>
      </c>
      <c r="F51" s="13">
        <v>-3053100</v>
      </c>
      <c r="G51" s="13">
        <f t="shared" si="4"/>
        <v>-1831860.24</v>
      </c>
      <c r="H51" s="13">
        <f t="shared" si="5"/>
        <v>-1221239.76</v>
      </c>
      <c r="I51" s="30"/>
    </row>
    <row r="52" spans="1:9" x14ac:dyDescent="0.25">
      <c r="A52" s="9">
        <v>46</v>
      </c>
      <c r="B52" s="5" t="s">
        <v>59</v>
      </c>
      <c r="C52" s="9" t="s">
        <v>75</v>
      </c>
      <c r="D52" s="36">
        <v>283</v>
      </c>
      <c r="E52" s="13">
        <v>-3786308</v>
      </c>
      <c r="F52" s="13">
        <v>-1325208</v>
      </c>
      <c r="G52" s="13">
        <f t="shared" si="4"/>
        <v>-795124.67999999993</v>
      </c>
      <c r="H52" s="13">
        <f t="shared" si="5"/>
        <v>-530083.32000000007</v>
      </c>
      <c r="I52" s="30"/>
    </row>
    <row r="53" spans="1:9" x14ac:dyDescent="0.25">
      <c r="A53" s="9">
        <v>47</v>
      </c>
      <c r="B53" s="5" t="s">
        <v>60</v>
      </c>
      <c r="C53" s="9" t="s">
        <v>75</v>
      </c>
      <c r="D53" s="36">
        <v>283</v>
      </c>
      <c r="E53" s="13">
        <v>-21653175</v>
      </c>
      <c r="F53" s="13">
        <v>-7578611</v>
      </c>
      <c r="G53" s="13">
        <f t="shared" si="4"/>
        <v>-4547166.75</v>
      </c>
      <c r="H53" s="13">
        <f t="shared" si="5"/>
        <v>-3031444.25</v>
      </c>
      <c r="I53" s="30"/>
    </row>
    <row r="54" spans="1:9" x14ac:dyDescent="0.25">
      <c r="A54" s="9">
        <v>48</v>
      </c>
      <c r="B54" s="5" t="s">
        <v>80</v>
      </c>
      <c r="D54" s="36"/>
      <c r="E54" s="13">
        <f>+Common!E46</f>
        <v>-35358912.920000002</v>
      </c>
      <c r="F54" s="13">
        <f>+Common!F46</f>
        <v>-12375620.191399999</v>
      </c>
      <c r="G54" s="13">
        <f>+Common!G46</f>
        <v>-7425371.7131999992</v>
      </c>
      <c r="H54" s="13">
        <f>+Common!H46</f>
        <v>-4950248.4781999998</v>
      </c>
      <c r="I54" s="30"/>
    </row>
    <row r="55" spans="1:9" x14ac:dyDescent="0.25">
      <c r="A55" s="9">
        <v>49</v>
      </c>
      <c r="D55" s="21" t="s">
        <v>65</v>
      </c>
      <c r="E55" s="19">
        <f>SUBTOTAL(9,E34:E54)</f>
        <v>-345820133.92000002</v>
      </c>
      <c r="F55" s="19">
        <f t="shared" ref="F55:H55" si="6">SUBTOTAL(9,F34:F54)</f>
        <v>-121037047.19139999</v>
      </c>
      <c r="G55" s="19">
        <f t="shared" si="6"/>
        <v>-72622228.123199999</v>
      </c>
      <c r="H55" s="19">
        <f t="shared" si="6"/>
        <v>-48414819.068199992</v>
      </c>
    </row>
    <row r="56" spans="1:9" x14ac:dyDescent="0.25">
      <c r="A56" s="9">
        <v>50</v>
      </c>
      <c r="D56" s="21"/>
      <c r="E56" s="17"/>
      <c r="F56" s="17"/>
      <c r="G56" s="18"/>
      <c r="H56" s="18"/>
    </row>
    <row r="57" spans="1:9" ht="15.75" thickBot="1" x14ac:dyDescent="0.3">
      <c r="A57" s="9">
        <v>51</v>
      </c>
      <c r="D57" s="21" t="s">
        <v>63</v>
      </c>
      <c r="E57" s="14">
        <f>SUBTOTAL(9,E7:E53)</f>
        <v>-4475231724.8738995</v>
      </c>
      <c r="F57" s="14">
        <f>SUBTOTAL(9,F7:F53)</f>
        <v>-1511084665.1914001</v>
      </c>
      <c r="G57" s="15">
        <f>SUM(G28,G32,G55)</f>
        <v>-911881706.98295403</v>
      </c>
      <c r="H57" s="15">
        <f>SUM(H28,H32,H55)</f>
        <v>-611578578.39984608</v>
      </c>
    </row>
    <row r="58" spans="1:9" ht="13.7" customHeight="1" thickTop="1" x14ac:dyDescent="0.25">
      <c r="A58" s="9">
        <v>52</v>
      </c>
      <c r="G58" s="16"/>
    </row>
    <row r="59" spans="1:9" x14ac:dyDescent="0.25">
      <c r="A59" s="9">
        <v>53</v>
      </c>
    </row>
    <row r="60" spans="1:9" x14ac:dyDescent="0.25">
      <c r="A60" s="9">
        <v>54</v>
      </c>
      <c r="D60" s="27" t="s">
        <v>78</v>
      </c>
      <c r="E60" s="28">
        <f>+E55+E28</f>
        <v>-256073096.62040001</v>
      </c>
      <c r="F60" s="28">
        <f t="shared" ref="F60:H60" si="7">+F55+F28</f>
        <v>-89625584.2773</v>
      </c>
      <c r="G60" s="28">
        <f t="shared" si="7"/>
        <v>-53775350.290284</v>
      </c>
      <c r="H60" s="28">
        <f t="shared" si="7"/>
        <v>-35850233.987015992</v>
      </c>
    </row>
    <row r="61" spans="1:9" x14ac:dyDescent="0.25">
      <c r="A61" s="9">
        <v>55</v>
      </c>
      <c r="D61" s="27" t="s">
        <v>79</v>
      </c>
      <c r="E61" s="28">
        <f>+E32</f>
        <v>-4254517541.1735001</v>
      </c>
      <c r="F61" s="28">
        <f t="shared" ref="F61:H61" si="8">+F32</f>
        <v>-1433834701.1055</v>
      </c>
      <c r="G61" s="28">
        <f t="shared" si="8"/>
        <v>-858106356.69266999</v>
      </c>
      <c r="H61" s="28">
        <f t="shared" si="8"/>
        <v>-575728344.41283011</v>
      </c>
    </row>
    <row r="62" spans="1:9" x14ac:dyDescent="0.25">
      <c r="A62" s="9">
        <v>56</v>
      </c>
    </row>
    <row r="63" spans="1:9" s="3" customFormat="1" x14ac:dyDescent="0.25">
      <c r="A63" s="9">
        <v>57</v>
      </c>
      <c r="B63" s="5"/>
      <c r="C63" s="9"/>
      <c r="D63" s="9"/>
      <c r="E63" s="10"/>
      <c r="F63" s="10"/>
      <c r="G63" s="10" t="s">
        <v>94</v>
      </c>
      <c r="H63" s="10">
        <v>-32982756.257885002</v>
      </c>
    </row>
    <row r="64" spans="1:9" x14ac:dyDescent="0.25">
      <c r="A64" s="9">
        <v>58</v>
      </c>
      <c r="G64" s="10" t="s">
        <v>95</v>
      </c>
      <c r="H64" s="10">
        <f>+H32-H63</f>
        <v>-542745588.15494514</v>
      </c>
      <c r="I64" s="3"/>
    </row>
    <row r="65" spans="1:8" x14ac:dyDescent="0.25">
      <c r="A65" s="9">
        <v>59</v>
      </c>
      <c r="G65" s="10" t="s">
        <v>201</v>
      </c>
      <c r="H65" s="10">
        <f>+H63+H60</f>
        <v>-68832990.244901001</v>
      </c>
    </row>
    <row r="66" spans="1:8" x14ac:dyDescent="0.25">
      <c r="A66" s="9">
        <v>60</v>
      </c>
      <c r="G66" s="10" t="s">
        <v>202</v>
      </c>
      <c r="H66" s="10">
        <f>+H64</f>
        <v>-542745588.15494514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10.28515625" style="9" customWidth="1"/>
    <col min="4" max="4" width="14.42578125" style="9" customWidth="1"/>
    <col min="5" max="8" width="14.8554687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197</v>
      </c>
    </row>
    <row r="5" spans="1:8" s="2" customFormat="1" ht="14.25" x14ac:dyDescent="0.25">
      <c r="A5" s="2" t="s">
        <v>91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6</v>
      </c>
      <c r="C7" s="9" t="s">
        <v>76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ht="14.25" x14ac:dyDescent="0.25">
      <c r="A8" s="9">
        <v>2</v>
      </c>
      <c r="B8" s="5" t="s">
        <v>7</v>
      </c>
      <c r="C8" s="9" t="s">
        <v>76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ht="14.25" x14ac:dyDescent="0.25">
      <c r="A9" s="9">
        <v>3</v>
      </c>
      <c r="B9" s="5" t="s">
        <v>16</v>
      </c>
      <c r="C9" s="9" t="s">
        <v>76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ht="14.25" x14ac:dyDescent="0.25">
      <c r="A10" s="9">
        <v>4</v>
      </c>
      <c r="B10" s="5" t="s">
        <v>18</v>
      </c>
      <c r="C10" s="9" t="s">
        <v>76</v>
      </c>
      <c r="D10" s="9">
        <v>190</v>
      </c>
      <c r="E10" s="13">
        <f>3676761+245145</f>
        <v>3921906</v>
      </c>
      <c r="F10" s="13">
        <f>1286866+85801</f>
        <v>1372667</v>
      </c>
      <c r="G10" s="13">
        <f t="shared" si="0"/>
        <v>823600.26</v>
      </c>
      <c r="H10" s="13">
        <f t="shared" si="1"/>
        <v>549066.74</v>
      </c>
    </row>
    <row r="11" spans="1:8" s="6" customFormat="1" ht="14.25" x14ac:dyDescent="0.25">
      <c r="A11" s="9">
        <v>5</v>
      </c>
      <c r="B11" s="5" t="s">
        <v>19</v>
      </c>
      <c r="C11" s="9" t="s">
        <v>76</v>
      </c>
      <c r="D11" s="9">
        <v>190</v>
      </c>
      <c r="E11" s="13">
        <f>768173+232385</f>
        <v>1000558</v>
      </c>
      <c r="F11" s="13">
        <f>268861+81335</f>
        <v>350196</v>
      </c>
      <c r="G11" s="13">
        <f t="shared" si="0"/>
        <v>210117.18</v>
      </c>
      <c r="H11" s="13">
        <f t="shared" si="1"/>
        <v>140078.82</v>
      </c>
    </row>
    <row r="12" spans="1:8" s="6" customFormat="1" ht="14.25" x14ac:dyDescent="0.25">
      <c r="A12" s="9">
        <v>6</v>
      </c>
      <c r="B12" s="5" t="s">
        <v>21</v>
      </c>
      <c r="C12" s="9" t="s">
        <v>76</v>
      </c>
      <c r="D12" s="9">
        <v>190</v>
      </c>
      <c r="E12" s="13">
        <v>560780</v>
      </c>
      <c r="F12" s="13">
        <v>196273</v>
      </c>
      <c r="G12" s="13">
        <f t="shared" si="0"/>
        <v>117763.8</v>
      </c>
      <c r="H12" s="13">
        <f t="shared" si="1"/>
        <v>78509.2</v>
      </c>
    </row>
    <row r="13" spans="1:8" s="6" customFormat="1" ht="14.25" x14ac:dyDescent="0.25">
      <c r="A13" s="9">
        <v>7</v>
      </c>
      <c r="B13" s="5" t="s">
        <v>24</v>
      </c>
      <c r="C13" s="9" t="s">
        <v>76</v>
      </c>
      <c r="D13" s="9">
        <v>190</v>
      </c>
      <c r="E13" s="13">
        <v>2150000</v>
      </c>
      <c r="F13" s="13">
        <v>752500</v>
      </c>
      <c r="G13" s="13">
        <f t="shared" si="0"/>
        <v>451500</v>
      </c>
      <c r="H13" s="13">
        <f t="shared" si="1"/>
        <v>301000</v>
      </c>
    </row>
    <row r="14" spans="1:8" s="6" customFormat="1" ht="14.25" x14ac:dyDescent="0.25">
      <c r="A14" s="9">
        <v>8</v>
      </c>
      <c r="B14" s="5" t="s">
        <v>28</v>
      </c>
      <c r="C14" s="9" t="s">
        <v>76</v>
      </c>
      <c r="D14" s="9">
        <v>190</v>
      </c>
      <c r="E14" s="13">
        <v>1555140</v>
      </c>
      <c r="F14" s="13">
        <v>544299</v>
      </c>
      <c r="G14" s="13">
        <f t="shared" si="0"/>
        <v>326579.39999999997</v>
      </c>
      <c r="H14" s="13">
        <f t="shared" si="1"/>
        <v>217719.60000000003</v>
      </c>
    </row>
    <row r="15" spans="1:8" s="6" customFormat="1" ht="14.25" x14ac:dyDescent="0.25">
      <c r="A15" s="9">
        <v>9</v>
      </c>
      <c r="B15" s="5" t="s">
        <v>80</v>
      </c>
      <c r="C15" s="9"/>
      <c r="D15" s="9"/>
      <c r="E15" s="13">
        <f>+Common!E63</f>
        <v>11282763.6952</v>
      </c>
      <c r="F15" s="13">
        <f>+Common!F63</f>
        <v>3948967.5491999993</v>
      </c>
      <c r="G15" s="13">
        <f>+Common!G63</f>
        <v>2369380.3759920001</v>
      </c>
      <c r="H15" s="13">
        <f>+Common!H63</f>
        <v>1579587.1732079992</v>
      </c>
    </row>
    <row r="16" spans="1:8" ht="14.25" x14ac:dyDescent="0.25">
      <c r="A16" s="9">
        <v>10</v>
      </c>
      <c r="D16" s="21" t="s">
        <v>62</v>
      </c>
      <c r="E16" s="17">
        <f>SUBTOTAL(9,E7:E15)</f>
        <v>21194597.6952</v>
      </c>
      <c r="F16" s="17">
        <f t="shared" ref="F16:H16" si="2">SUBTOTAL(9,F7:F15)</f>
        <v>7418110.5491999993</v>
      </c>
      <c r="G16" s="17">
        <f t="shared" si="2"/>
        <v>4450865.5159919998</v>
      </c>
      <c r="H16" s="17">
        <f t="shared" si="2"/>
        <v>2967245.0332079995</v>
      </c>
    </row>
    <row r="17" spans="1:8" ht="14.25" x14ac:dyDescent="0.25">
      <c r="A17" s="9">
        <v>11</v>
      </c>
      <c r="D17" s="21"/>
      <c r="E17" s="13"/>
      <c r="F17" s="13"/>
      <c r="G17" s="13"/>
      <c r="H17" s="13"/>
    </row>
    <row r="18" spans="1:8" ht="14.25" x14ac:dyDescent="0.25">
      <c r="A18" s="9">
        <v>12</v>
      </c>
      <c r="B18" s="5" t="s">
        <v>35</v>
      </c>
      <c r="C18" s="9" t="s">
        <v>76</v>
      </c>
      <c r="D18" s="9">
        <v>282</v>
      </c>
      <c r="E18" s="13">
        <f>2639165-1640131234</f>
        <v>-1637492069</v>
      </c>
      <c r="F18" s="13">
        <v>-574328772.75999999</v>
      </c>
      <c r="G18" s="13">
        <v>-344427559.12</v>
      </c>
      <c r="H18" s="13">
        <f>F18-G18</f>
        <v>-229901213.63999999</v>
      </c>
    </row>
    <row r="19" spans="1:8" ht="14.25" x14ac:dyDescent="0.25">
      <c r="A19" s="9">
        <v>13</v>
      </c>
      <c r="B19" s="5" t="s">
        <v>80</v>
      </c>
      <c r="E19" s="13">
        <f>+Common!E66</f>
        <v>-72190629.826499999</v>
      </c>
      <c r="F19" s="13">
        <f>+Common!F66</f>
        <v>-24464536.794499997</v>
      </c>
      <c r="G19" s="13">
        <f>+Common!G66</f>
        <v>-14677470.627329998</v>
      </c>
      <c r="H19" s="13">
        <f>+Common!H66</f>
        <v>-9787066.1671699993</v>
      </c>
    </row>
    <row r="20" spans="1:8" ht="14.25" x14ac:dyDescent="0.25">
      <c r="A20" s="9">
        <v>14</v>
      </c>
      <c r="D20" s="21" t="s">
        <v>64</v>
      </c>
      <c r="E20" s="17">
        <f>SUBTOTAL(9,E18:E19)</f>
        <v>-1709682698.8264999</v>
      </c>
      <c r="F20" s="17">
        <f t="shared" ref="F20:H20" si="3">SUBTOTAL(9,F18:F19)</f>
        <v>-598793309.55449998</v>
      </c>
      <c r="G20" s="17">
        <f t="shared" si="3"/>
        <v>-359105029.74733001</v>
      </c>
      <c r="H20" s="17">
        <f t="shared" si="3"/>
        <v>-239688279.80716997</v>
      </c>
    </row>
    <row r="21" spans="1:8" ht="14.25" x14ac:dyDescent="0.25">
      <c r="A21" s="9">
        <v>15</v>
      </c>
      <c r="D21" s="21"/>
      <c r="E21" s="13"/>
      <c r="F21" s="13"/>
      <c r="G21" s="13"/>
      <c r="H21" s="13"/>
    </row>
    <row r="22" spans="1:8" ht="14.25" x14ac:dyDescent="0.25">
      <c r="A22" s="9">
        <v>16</v>
      </c>
      <c r="B22" s="5" t="s">
        <v>43</v>
      </c>
      <c r="C22" s="9" t="s">
        <v>76</v>
      </c>
      <c r="D22" s="9">
        <v>283</v>
      </c>
      <c r="E22" s="13">
        <v>-25090463</v>
      </c>
      <c r="F22" s="13">
        <v>-8781662</v>
      </c>
      <c r="G22" s="13">
        <f>E22*0.21</f>
        <v>-5268997.2299999995</v>
      </c>
      <c r="H22" s="13">
        <f>F22-G22</f>
        <v>-3512664.7700000005</v>
      </c>
    </row>
    <row r="23" spans="1:8" ht="14.25" x14ac:dyDescent="0.25">
      <c r="A23" s="9">
        <v>17</v>
      </c>
      <c r="B23" s="5" t="s">
        <v>44</v>
      </c>
      <c r="C23" s="9" t="s">
        <v>76</v>
      </c>
      <c r="D23" s="9">
        <v>283</v>
      </c>
      <c r="E23" s="13">
        <v>-7041659</v>
      </c>
      <c r="F23" s="13">
        <v>-2464580</v>
      </c>
      <c r="G23" s="13">
        <f>E23*0.21</f>
        <v>-1478748.39</v>
      </c>
      <c r="H23" s="13">
        <f>F23-G23</f>
        <v>-985831.6100000001</v>
      </c>
    </row>
    <row r="24" spans="1:8" ht="14.25" x14ac:dyDescent="0.25">
      <c r="A24" s="9">
        <v>18</v>
      </c>
      <c r="B24" s="5" t="s">
        <v>56</v>
      </c>
      <c r="C24" s="9" t="s">
        <v>76</v>
      </c>
      <c r="D24" s="9">
        <v>283</v>
      </c>
      <c r="E24" s="13">
        <f>3301571-630</f>
        <v>3300941</v>
      </c>
      <c r="F24" s="13">
        <f>1155550-221</f>
        <v>1155329</v>
      </c>
      <c r="G24" s="13">
        <f t="shared" ref="G24" si="4">E24*0.21</f>
        <v>693197.61</v>
      </c>
      <c r="H24" s="13">
        <f t="shared" ref="H24" si="5">F24-G24</f>
        <v>462131.39</v>
      </c>
    </row>
    <row r="25" spans="1:8" ht="14.25" x14ac:dyDescent="0.25">
      <c r="A25" s="9">
        <v>19</v>
      </c>
      <c r="B25" s="5" t="s">
        <v>80</v>
      </c>
      <c r="E25" s="13">
        <f>+Common!E70</f>
        <v>-13010009.34</v>
      </c>
      <c r="F25" s="13">
        <f>+Common!F70</f>
        <v>-4553503.5153000001</v>
      </c>
      <c r="G25" s="13">
        <f>+Common!G70</f>
        <v>-2732101.9613999999</v>
      </c>
      <c r="H25" s="13">
        <f>+Common!H70</f>
        <v>-1821401.5539000002</v>
      </c>
    </row>
    <row r="26" spans="1:8" ht="14.25" x14ac:dyDescent="0.25">
      <c r="A26" s="9">
        <v>20</v>
      </c>
      <c r="D26" s="21" t="s">
        <v>65</v>
      </c>
      <c r="E26" s="19">
        <f>SUBTOTAL(9,E22:E25)</f>
        <v>-41841190.340000004</v>
      </c>
      <c r="F26" s="19">
        <f t="shared" ref="F26:H26" si="6">SUBTOTAL(9,F22:F25)</f>
        <v>-14644416.5153</v>
      </c>
      <c r="G26" s="19">
        <f t="shared" si="6"/>
        <v>-8786649.9713999983</v>
      </c>
      <c r="H26" s="19">
        <f t="shared" si="6"/>
        <v>-5857766.5439000009</v>
      </c>
    </row>
    <row r="27" spans="1:8" ht="14.25" x14ac:dyDescent="0.25">
      <c r="A27" s="9">
        <v>21</v>
      </c>
      <c r="D27" s="21"/>
      <c r="E27" s="17"/>
      <c r="F27" s="17"/>
      <c r="G27" s="18"/>
      <c r="H27" s="18"/>
    </row>
    <row r="28" spans="1:8" thickBot="1" x14ac:dyDescent="0.3">
      <c r="A28" s="9">
        <v>22</v>
      </c>
      <c r="D28" s="21" t="s">
        <v>63</v>
      </c>
      <c r="E28" s="14">
        <f>SUBTOTAL(9,E7:E24)</f>
        <v>-1717319282.1313</v>
      </c>
      <c r="F28" s="14">
        <f>SUBTOTAL(9,F7:F24)</f>
        <v>-601466112.00529993</v>
      </c>
      <c r="G28" s="15">
        <f>SUM(G16,G20,G26)</f>
        <v>-363440814.20273805</v>
      </c>
      <c r="H28" s="15">
        <f>SUM(H16,H20,H26)</f>
        <v>-242578801.31786197</v>
      </c>
    </row>
    <row r="29" spans="1:8" ht="13.7" customHeight="1" thickTop="1" x14ac:dyDescent="0.25">
      <c r="A29" s="9">
        <v>23</v>
      </c>
      <c r="G29" s="16"/>
    </row>
    <row r="30" spans="1:8" ht="14.25" x14ac:dyDescent="0.25">
      <c r="A30" s="9">
        <v>24</v>
      </c>
    </row>
    <row r="31" spans="1:8" ht="14.25" x14ac:dyDescent="0.25">
      <c r="A31" s="9">
        <v>25</v>
      </c>
      <c r="D31" s="27" t="s">
        <v>78</v>
      </c>
      <c r="E31" s="28">
        <f>+E16+E26</f>
        <v>-20646592.644800004</v>
      </c>
      <c r="F31" s="28">
        <f t="shared" ref="F31:H31" si="7">+F16+F26</f>
        <v>-7226305.9661000008</v>
      </c>
      <c r="G31" s="28">
        <f t="shared" si="7"/>
        <v>-4335784.4554079985</v>
      </c>
      <c r="H31" s="28">
        <f t="shared" si="7"/>
        <v>-2890521.5106920013</v>
      </c>
    </row>
    <row r="32" spans="1:8" ht="14.25" x14ac:dyDescent="0.25">
      <c r="A32" s="9">
        <v>26</v>
      </c>
      <c r="D32" s="27" t="s">
        <v>79</v>
      </c>
      <c r="E32" s="28">
        <f>+E20</f>
        <v>-1709682698.8264999</v>
      </c>
      <c r="F32" s="28">
        <f t="shared" ref="F32:H32" si="8">+F20</f>
        <v>-598793309.55449998</v>
      </c>
      <c r="G32" s="28">
        <f t="shared" si="8"/>
        <v>-359105029.74733001</v>
      </c>
      <c r="H32" s="28">
        <f t="shared" si="8"/>
        <v>-239688279.80716997</v>
      </c>
    </row>
    <row r="33" spans="1:9" ht="14.25" x14ac:dyDescent="0.25">
      <c r="A33" s="9">
        <v>27</v>
      </c>
    </row>
    <row r="34" spans="1:9" s="3" customFormat="1" ht="14.25" x14ac:dyDescent="0.25">
      <c r="A34" s="9">
        <v>28</v>
      </c>
      <c r="B34" s="5"/>
      <c r="C34" s="9"/>
      <c r="D34" s="9"/>
      <c r="E34" s="10"/>
      <c r="F34" s="10"/>
      <c r="G34" s="10" t="s">
        <v>94</v>
      </c>
      <c r="H34" s="6">
        <v>-20060068.962815002</v>
      </c>
    </row>
    <row r="35" spans="1:9" ht="14.25" x14ac:dyDescent="0.25">
      <c r="A35" s="9">
        <v>29</v>
      </c>
      <c r="G35" s="10" t="s">
        <v>95</v>
      </c>
      <c r="H35" s="10">
        <f>+H20-H34</f>
        <v>-219628210.84435499</v>
      </c>
      <c r="I35" s="3"/>
    </row>
    <row r="36" spans="1:9" ht="14.25" x14ac:dyDescent="0.25">
      <c r="A36" s="9">
        <v>30</v>
      </c>
      <c r="G36" s="10" t="s">
        <v>201</v>
      </c>
      <c r="H36" s="10">
        <f>+H34+H31</f>
        <v>-22950590.473507002</v>
      </c>
    </row>
    <row r="37" spans="1:9" ht="14.25" x14ac:dyDescent="0.25">
      <c r="A37" s="9">
        <v>31</v>
      </c>
      <c r="G37" s="10" t="s">
        <v>202</v>
      </c>
      <c r="H37" s="10">
        <f>+H35</f>
        <v>-219628210.84435499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/>
  </sheetViews>
  <sheetFormatPr defaultColWidth="9" defaultRowHeight="15" x14ac:dyDescent="0.25"/>
  <cols>
    <col min="1" max="1" width="7.28515625" style="5" customWidth="1"/>
    <col min="2" max="2" width="39.85546875" style="5" customWidth="1"/>
    <col min="3" max="3" width="7.42578125" style="9" customWidth="1"/>
    <col min="4" max="4" width="14.42578125" style="9" customWidth="1"/>
    <col min="5" max="8" width="15" style="10" customWidth="1"/>
    <col min="9" max="9" width="5.5703125" style="5" customWidth="1"/>
    <col min="10" max="16384" width="9" style="5"/>
  </cols>
  <sheetData>
    <row r="1" spans="1:12" ht="14.25" x14ac:dyDescent="0.25">
      <c r="A1" s="5" t="s">
        <v>0</v>
      </c>
    </row>
    <row r="2" spans="1:12" ht="14.25" x14ac:dyDescent="0.25">
      <c r="A2" s="5" t="s">
        <v>69</v>
      </c>
    </row>
    <row r="3" spans="1:12" ht="14.25" x14ac:dyDescent="0.25">
      <c r="A3" s="7" t="s">
        <v>197</v>
      </c>
    </row>
    <row r="5" spans="1:12" s="2" customFormat="1" ht="19.149999999999999" x14ac:dyDescent="0.35">
      <c r="A5" s="24" t="s">
        <v>92</v>
      </c>
      <c r="C5" s="21"/>
      <c r="D5" s="21"/>
      <c r="E5" s="10"/>
      <c r="F5" s="10"/>
      <c r="G5" s="10"/>
      <c r="H5" s="10"/>
      <c r="I5" s="2" t="s">
        <v>96</v>
      </c>
    </row>
    <row r="6" spans="1:12" s="2" customFormat="1" ht="14.25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4"/>
      <c r="J6" s="8" t="s">
        <v>75</v>
      </c>
      <c r="K6" s="8" t="s">
        <v>76</v>
      </c>
      <c r="L6" s="8" t="s">
        <v>83</v>
      </c>
    </row>
    <row r="7" spans="1:12" ht="14.25" x14ac:dyDescent="0.25">
      <c r="A7" s="9">
        <v>1</v>
      </c>
      <c r="B7" s="5" t="s">
        <v>1</v>
      </c>
      <c r="C7" s="9" t="s">
        <v>74</v>
      </c>
      <c r="D7" s="9">
        <v>190</v>
      </c>
      <c r="E7" s="10">
        <v>7366980</v>
      </c>
      <c r="F7" s="10">
        <v>2578443</v>
      </c>
      <c r="G7" s="10">
        <f t="shared" ref="G7:G15" si="0">E7*0.21</f>
        <v>1547065.8</v>
      </c>
      <c r="H7" s="10">
        <f t="shared" ref="H7:H15" si="1">F7-G7</f>
        <v>1031377.2</v>
      </c>
      <c r="I7" s="23" t="s">
        <v>81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ht="14.25" x14ac:dyDescent="0.25">
      <c r="A8" s="9">
        <v>2</v>
      </c>
      <c r="B8" s="5" t="s">
        <v>199</v>
      </c>
      <c r="C8" s="9" t="s">
        <v>74</v>
      </c>
      <c r="D8" s="9">
        <v>190</v>
      </c>
      <c r="E8" s="13">
        <v>675825</v>
      </c>
      <c r="F8" s="13">
        <v>236539</v>
      </c>
      <c r="G8" s="13">
        <f t="shared" si="0"/>
        <v>141923.25</v>
      </c>
      <c r="H8" s="13">
        <f t="shared" si="1"/>
        <v>94615.75</v>
      </c>
      <c r="I8" s="23" t="s">
        <v>81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ht="14.25" x14ac:dyDescent="0.25">
      <c r="A9" s="9">
        <v>3</v>
      </c>
      <c r="B9" s="5" t="s">
        <v>2</v>
      </c>
      <c r="C9" s="9" t="s">
        <v>74</v>
      </c>
      <c r="D9" s="9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  <c r="I9" s="23" t="s">
        <v>81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ht="14.25" x14ac:dyDescent="0.25">
      <c r="A10" s="9">
        <v>4</v>
      </c>
      <c r="B10" s="5" t="s">
        <v>3</v>
      </c>
      <c r="C10" s="9" t="s">
        <v>74</v>
      </c>
      <c r="D10" s="9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  <c r="I10" s="23" t="s">
        <v>81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ht="14.25" x14ac:dyDescent="0.25">
      <c r="A11" s="9">
        <v>5</v>
      </c>
      <c r="B11" s="5" t="s">
        <v>4</v>
      </c>
      <c r="C11" s="9" t="s">
        <v>74</v>
      </c>
      <c r="D11" s="9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  <c r="I11" s="23" t="s">
        <v>81</v>
      </c>
      <c r="J11" s="25">
        <f>ROUND(+(0.673+0.6657)/2,4)</f>
        <v>0.6694</v>
      </c>
      <c r="K11" s="25">
        <f>ROUND(+(0.242+0.2505)/2,4)</f>
        <v>0.24629999999999999</v>
      </c>
      <c r="L11" s="25">
        <f>ROUND(+(0.0849+0.0838)/2,4)-0.0001</f>
        <v>8.43E-2</v>
      </c>
    </row>
    <row r="12" spans="1:12" s="6" customFormat="1" ht="14.25" x14ac:dyDescent="0.25">
      <c r="A12" s="9">
        <v>6</v>
      </c>
      <c r="B12" s="5" t="s">
        <v>13</v>
      </c>
      <c r="C12" s="9" t="s">
        <v>74</v>
      </c>
      <c r="D12" s="9">
        <v>190</v>
      </c>
      <c r="E12" s="13">
        <v>399960</v>
      </c>
      <c r="F12" s="13">
        <v>139986</v>
      </c>
      <c r="G12" s="13">
        <f t="shared" si="0"/>
        <v>83991.599999999991</v>
      </c>
      <c r="H12" s="13">
        <f t="shared" si="1"/>
        <v>55994.400000000009</v>
      </c>
      <c r="I12" s="23" t="s">
        <v>82</v>
      </c>
      <c r="J12" s="25">
        <v>0.65449999999999997</v>
      </c>
      <c r="K12" s="25">
        <v>0.34549999999999997</v>
      </c>
    </row>
    <row r="13" spans="1:12" s="6" customFormat="1" ht="14.25" x14ac:dyDescent="0.25">
      <c r="A13" s="9">
        <v>7</v>
      </c>
      <c r="B13" s="5" t="s">
        <v>17</v>
      </c>
      <c r="C13" s="9" t="s">
        <v>74</v>
      </c>
      <c r="D13" s="9">
        <v>190</v>
      </c>
      <c r="E13" s="13">
        <v>141849</v>
      </c>
      <c r="F13" s="13">
        <v>49647</v>
      </c>
      <c r="G13" s="13">
        <f t="shared" si="0"/>
        <v>29788.289999999997</v>
      </c>
      <c r="H13" s="13">
        <f t="shared" si="1"/>
        <v>19858.710000000003</v>
      </c>
      <c r="I13" s="23" t="s">
        <v>82</v>
      </c>
      <c r="J13" s="25">
        <v>0.65449999999999997</v>
      </c>
      <c r="K13" s="25">
        <v>0.34549999999999997</v>
      </c>
    </row>
    <row r="14" spans="1:12" s="6" customFormat="1" ht="14.25" x14ac:dyDescent="0.25">
      <c r="A14" s="9">
        <v>8</v>
      </c>
      <c r="B14" s="5" t="s">
        <v>20</v>
      </c>
      <c r="C14" s="9" t="s">
        <v>74</v>
      </c>
      <c r="D14" s="9">
        <v>190</v>
      </c>
      <c r="E14" s="13">
        <v>482075</v>
      </c>
      <c r="F14" s="13">
        <v>168726</v>
      </c>
      <c r="G14" s="13">
        <f t="shared" si="0"/>
        <v>101235.75</v>
      </c>
      <c r="H14" s="13">
        <f t="shared" si="1"/>
        <v>67490.25</v>
      </c>
      <c r="I14" s="23" t="s">
        <v>82</v>
      </c>
      <c r="J14" s="25">
        <v>0.65449999999999997</v>
      </c>
      <c r="K14" s="25">
        <v>0.34549999999999997</v>
      </c>
    </row>
    <row r="15" spans="1:12" ht="14.25" x14ac:dyDescent="0.25">
      <c r="A15" s="9">
        <v>9</v>
      </c>
      <c r="D15" s="21" t="s">
        <v>62</v>
      </c>
      <c r="E15" s="17">
        <f>SUBTOTAL(9,E7:E14)</f>
        <v>45396648</v>
      </c>
      <c r="F15" s="17">
        <f>SUBTOTAL(9,F7:F14)</f>
        <v>15888828</v>
      </c>
      <c r="G15" s="17">
        <f t="shared" si="0"/>
        <v>9533296.0800000001</v>
      </c>
      <c r="H15" s="17">
        <f t="shared" si="1"/>
        <v>6355531.9199999999</v>
      </c>
      <c r="I15" s="23"/>
    </row>
    <row r="16" spans="1:12" ht="14.25" x14ac:dyDescent="0.25">
      <c r="A16" s="9">
        <v>10</v>
      </c>
      <c r="D16" s="21"/>
      <c r="E16" s="13"/>
      <c r="F16" s="13"/>
      <c r="G16" s="13"/>
      <c r="H16" s="13"/>
      <c r="I16" s="23"/>
    </row>
    <row r="17" spans="1:12" ht="14.25" x14ac:dyDescent="0.25">
      <c r="A17" s="9">
        <v>11</v>
      </c>
      <c r="B17" s="5" t="s">
        <v>36</v>
      </c>
      <c r="C17" s="9" t="s">
        <v>74</v>
      </c>
      <c r="D17" s="9">
        <v>282</v>
      </c>
      <c r="E17" s="13">
        <f>-6650977-202294406</f>
        <v>-208945383</v>
      </c>
      <c r="F17" s="13">
        <v>-70809079</v>
      </c>
      <c r="G17" s="13">
        <v>-42481825.259999998</v>
      </c>
      <c r="H17" s="13">
        <f>F17-G17</f>
        <v>-28327253.740000002</v>
      </c>
      <c r="I17" s="23" t="s">
        <v>82</v>
      </c>
      <c r="J17" s="25">
        <v>0.65449999999999997</v>
      </c>
      <c r="K17" s="25">
        <v>0.34549999999999997</v>
      </c>
    </row>
    <row r="18" spans="1:12" ht="14.25" x14ac:dyDescent="0.25">
      <c r="A18" s="9">
        <v>12</v>
      </c>
      <c r="D18" s="21" t="s">
        <v>64</v>
      </c>
      <c r="E18" s="17">
        <f>SUBTOTAL(9,E17:E17)</f>
        <v>-208945383</v>
      </c>
      <c r="F18" s="17">
        <f>SUBTOTAL(9,F17:F17)</f>
        <v>-70809079</v>
      </c>
      <c r="G18" s="17">
        <f>G17</f>
        <v>-42481825.259999998</v>
      </c>
      <c r="H18" s="17">
        <f>F18-G18</f>
        <v>-28327253.740000002</v>
      </c>
      <c r="I18" s="23"/>
    </row>
    <row r="19" spans="1:12" ht="14.25" x14ac:dyDescent="0.25">
      <c r="A19" s="9">
        <v>13</v>
      </c>
      <c r="D19" s="21"/>
      <c r="E19" s="13"/>
      <c r="F19" s="13"/>
      <c r="G19" s="13"/>
      <c r="H19" s="13"/>
      <c r="I19" s="23"/>
    </row>
    <row r="20" spans="1:12" ht="14.25" x14ac:dyDescent="0.25">
      <c r="A20" s="9">
        <v>14</v>
      </c>
      <c r="B20" s="5" t="s">
        <v>38</v>
      </c>
      <c r="C20" s="9" t="s">
        <v>74</v>
      </c>
      <c r="D20" s="9">
        <v>283</v>
      </c>
      <c r="E20" s="13">
        <f>-39603007-71082</f>
        <v>-39674089</v>
      </c>
      <c r="F20" s="13">
        <f>-13861053-24879</f>
        <v>-13885932</v>
      </c>
      <c r="G20" s="13">
        <f t="shared" ref="G20" si="2">E20*0.21</f>
        <v>-8331558.6899999995</v>
      </c>
      <c r="H20" s="13">
        <f t="shared" ref="H20" si="3">F20-G20</f>
        <v>-5554373.3100000005</v>
      </c>
      <c r="I20" s="23" t="s">
        <v>81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s="6" customFormat="1" ht="14.25" x14ac:dyDescent="0.25">
      <c r="A21" s="9">
        <v>15</v>
      </c>
      <c r="B21" s="5" t="s">
        <v>48</v>
      </c>
      <c r="C21" s="9" t="s">
        <v>74</v>
      </c>
      <c r="D21" s="9">
        <v>283</v>
      </c>
      <c r="E21" s="13">
        <v>-13147711</v>
      </c>
      <c r="F21" s="13">
        <v>-4601699</v>
      </c>
      <c r="G21" s="10">
        <f>E21*0.21</f>
        <v>-2761019.31</v>
      </c>
      <c r="H21" s="10">
        <f>F21-G21</f>
        <v>-1840679.69</v>
      </c>
      <c r="I21" s="23" t="s">
        <v>81</v>
      </c>
      <c r="J21" s="25">
        <f>ROUND(+(0.673+0.6657)/2,4)</f>
        <v>0.6694</v>
      </c>
      <c r="K21" s="25">
        <f>ROUND(+(0.242+0.2505)/2,4)</f>
        <v>0.24629999999999999</v>
      </c>
      <c r="L21" s="25">
        <f>ROUND(+(0.0849+0.0838)/2,4)-0.0001</f>
        <v>8.43E-2</v>
      </c>
    </row>
    <row r="22" spans="1:12" ht="14.25" x14ac:dyDescent="0.25">
      <c r="A22" s="9">
        <v>16</v>
      </c>
      <c r="D22" s="21" t="s">
        <v>65</v>
      </c>
      <c r="E22" s="19">
        <f>SUBTOTAL(9,E20:E21)</f>
        <v>-52821800</v>
      </c>
      <c r="F22" s="19">
        <f>SUBTOTAL(9,F20:F21)</f>
        <v>-18487631</v>
      </c>
      <c r="G22" s="20">
        <f>SUBTOTAL(9,G20:G21)</f>
        <v>-11092578</v>
      </c>
      <c r="H22" s="20">
        <f>SUBTOTAL(9,H20:H21)</f>
        <v>-7395053</v>
      </c>
      <c r="I22" s="23"/>
    </row>
    <row r="23" spans="1:12" ht="14.25" x14ac:dyDescent="0.25">
      <c r="A23" s="9">
        <v>17</v>
      </c>
      <c r="D23" s="21"/>
      <c r="E23" s="17"/>
      <c r="F23" s="17"/>
      <c r="G23" s="18"/>
      <c r="H23" s="18"/>
    </row>
    <row r="24" spans="1:12" thickBot="1" x14ac:dyDescent="0.3">
      <c r="A24" s="9">
        <v>18</v>
      </c>
      <c r="D24" s="21" t="s">
        <v>63</v>
      </c>
      <c r="E24" s="14">
        <f>SUBTOTAL(9,E7:E21)</f>
        <v>-216370535</v>
      </c>
      <c r="F24" s="14">
        <f>SUBTOTAL(9,F7:F21)</f>
        <v>-73407882</v>
      </c>
      <c r="G24" s="15">
        <f>SUM(G15,G18,G22)</f>
        <v>-44041107.18</v>
      </c>
      <c r="H24" s="15">
        <f>SUM(H15,H18,H22)</f>
        <v>-29366774.82</v>
      </c>
    </row>
    <row r="25" spans="1:12" ht="13.7" customHeight="1" thickTop="1" x14ac:dyDescent="0.25">
      <c r="A25" s="9">
        <v>19</v>
      </c>
      <c r="G25" s="16"/>
    </row>
    <row r="26" spans="1:12" ht="14.25" x14ac:dyDescent="0.25">
      <c r="A26" s="9">
        <v>20</v>
      </c>
      <c r="D26" s="22" t="s">
        <v>78</v>
      </c>
      <c r="E26" s="10">
        <f>+E15+E22</f>
        <v>-7425152</v>
      </c>
      <c r="F26" s="10">
        <f>+F15+F22</f>
        <v>-2598803</v>
      </c>
      <c r="G26" s="10">
        <f>+G15+G22</f>
        <v>-1559281.92</v>
      </c>
      <c r="H26" s="10">
        <f>+H15+H22</f>
        <v>-1039521.0800000001</v>
      </c>
    </row>
    <row r="27" spans="1:12" ht="14.25" x14ac:dyDescent="0.25">
      <c r="A27" s="9">
        <v>21</v>
      </c>
      <c r="D27" s="22" t="s">
        <v>79</v>
      </c>
      <c r="E27" s="10">
        <f>+E18</f>
        <v>-208945383</v>
      </c>
      <c r="F27" s="10">
        <f t="shared" ref="F27:H27" si="4">+F18</f>
        <v>-70809079</v>
      </c>
      <c r="G27" s="10">
        <f t="shared" si="4"/>
        <v>-42481825.259999998</v>
      </c>
      <c r="H27" s="10">
        <f t="shared" si="4"/>
        <v>-28327253.740000002</v>
      </c>
    </row>
    <row r="28" spans="1:12" ht="14.25" x14ac:dyDescent="0.25">
      <c r="A28" s="9">
        <v>22</v>
      </c>
    </row>
    <row r="29" spans="1:12" s="3" customFormat="1" ht="14.25" x14ac:dyDescent="0.25">
      <c r="A29" s="9">
        <v>23</v>
      </c>
      <c r="B29" s="5"/>
      <c r="C29" s="9"/>
      <c r="D29" s="9"/>
      <c r="E29" s="10"/>
      <c r="F29" s="10"/>
      <c r="G29" s="10"/>
      <c r="H29" s="10"/>
    </row>
    <row r="30" spans="1:12" ht="19.149999999999999" x14ac:dyDescent="0.35">
      <c r="A30" s="9">
        <v>24</v>
      </c>
      <c r="B30" s="24" t="s">
        <v>84</v>
      </c>
    </row>
    <row r="31" spans="1:12" ht="14.25" x14ac:dyDescent="0.25">
      <c r="A31" s="9">
        <v>25</v>
      </c>
      <c r="B31" s="5" t="s">
        <v>1</v>
      </c>
      <c r="C31" s="9" t="s">
        <v>74</v>
      </c>
      <c r="D31" s="9">
        <v>190</v>
      </c>
      <c r="E31" s="10">
        <f t="shared" ref="E31:E38" si="5">+E7*J7</f>
        <v>4931456.4119999995</v>
      </c>
      <c r="F31" s="10">
        <f t="shared" ref="F31:F38" si="6">+F7*J7</f>
        <v>1726009.7442000001</v>
      </c>
      <c r="G31" s="10">
        <f t="shared" ref="G31:G39" si="7">E31*0.21</f>
        <v>1035605.8465199999</v>
      </c>
      <c r="H31" s="10">
        <f t="shared" ref="H31:H39" si="8">F31-G31</f>
        <v>690403.89768000017</v>
      </c>
    </row>
    <row r="32" spans="1:12" ht="14.25" x14ac:dyDescent="0.25">
      <c r="A32" s="9">
        <v>26</v>
      </c>
      <c r="B32" s="5" t="s">
        <v>199</v>
      </c>
      <c r="C32" s="9" t="s">
        <v>74</v>
      </c>
      <c r="D32" s="9">
        <v>190</v>
      </c>
      <c r="E32" s="10">
        <f t="shared" si="5"/>
        <v>452397.255</v>
      </c>
      <c r="F32" s="10">
        <f t="shared" si="6"/>
        <v>158339.2066</v>
      </c>
      <c r="G32" s="10">
        <f t="shared" ref="G32" si="9">E32*0.21</f>
        <v>95003.423549999992</v>
      </c>
      <c r="H32" s="10">
        <f t="shared" ref="H32" si="10">F32-G32</f>
        <v>63335.783050000013</v>
      </c>
    </row>
    <row r="33" spans="1:8" ht="14.25" x14ac:dyDescent="0.25">
      <c r="A33" s="9">
        <v>27</v>
      </c>
      <c r="B33" s="5" t="s">
        <v>2</v>
      </c>
      <c r="C33" s="9" t="s">
        <v>74</v>
      </c>
      <c r="D33" s="9">
        <v>190</v>
      </c>
      <c r="E33" s="10">
        <f t="shared" si="5"/>
        <v>13722424.2072</v>
      </c>
      <c r="F33" s="10">
        <f t="shared" si="6"/>
        <v>4802848.6063999999</v>
      </c>
      <c r="G33" s="10">
        <f t="shared" si="7"/>
        <v>2881709.0835119998</v>
      </c>
      <c r="H33" s="10">
        <f t="shared" si="8"/>
        <v>1921139.5228880001</v>
      </c>
    </row>
    <row r="34" spans="1:8" ht="14.25" x14ac:dyDescent="0.25">
      <c r="A34" s="9">
        <v>28</v>
      </c>
      <c r="B34" s="5" t="s">
        <v>3</v>
      </c>
      <c r="C34" s="9" t="s">
        <v>74</v>
      </c>
      <c r="D34" s="9">
        <v>190</v>
      </c>
      <c r="E34" s="10">
        <f t="shared" si="5"/>
        <v>8811230.5331999995</v>
      </c>
      <c r="F34" s="10">
        <f t="shared" si="6"/>
        <v>3083931.1551999999</v>
      </c>
      <c r="G34" s="10">
        <f t="shared" si="7"/>
        <v>1850358.4119719998</v>
      </c>
      <c r="H34" s="10">
        <f t="shared" si="8"/>
        <v>1233572.7432280001</v>
      </c>
    </row>
    <row r="35" spans="1:8" ht="14.25" x14ac:dyDescent="0.25">
      <c r="A35" s="9">
        <v>29</v>
      </c>
      <c r="B35" s="5" t="s">
        <v>4</v>
      </c>
      <c r="C35" s="9" t="s">
        <v>74</v>
      </c>
      <c r="D35" s="9">
        <v>190</v>
      </c>
      <c r="E35" s="10">
        <f t="shared" si="5"/>
        <v>1785619.8141999999</v>
      </c>
      <c r="F35" s="10">
        <f t="shared" si="6"/>
        <v>624967.23620000004</v>
      </c>
      <c r="G35" s="10">
        <f t="shared" si="7"/>
        <v>374980.16098199994</v>
      </c>
      <c r="H35" s="10">
        <f t="shared" si="8"/>
        <v>249987.0752180001</v>
      </c>
    </row>
    <row r="36" spans="1:8" ht="14.25" x14ac:dyDescent="0.25">
      <c r="A36" s="9">
        <v>30</v>
      </c>
      <c r="B36" s="5" t="s">
        <v>13</v>
      </c>
      <c r="C36" s="9" t="s">
        <v>74</v>
      </c>
      <c r="D36" s="9">
        <v>190</v>
      </c>
      <c r="E36" s="10">
        <f t="shared" si="5"/>
        <v>261773.81999999998</v>
      </c>
      <c r="F36" s="10">
        <f t="shared" si="6"/>
        <v>91620.837</v>
      </c>
      <c r="G36" s="10">
        <f t="shared" si="7"/>
        <v>54972.502199999995</v>
      </c>
      <c r="H36" s="10">
        <f t="shared" si="8"/>
        <v>36648.334800000004</v>
      </c>
    </row>
    <row r="37" spans="1:8" ht="14.25" x14ac:dyDescent="0.25">
      <c r="A37" s="9">
        <v>31</v>
      </c>
      <c r="B37" s="5" t="s">
        <v>17</v>
      </c>
      <c r="C37" s="9" t="s">
        <v>74</v>
      </c>
      <c r="D37" s="9">
        <v>190</v>
      </c>
      <c r="E37" s="10">
        <f t="shared" si="5"/>
        <v>92840.170499999993</v>
      </c>
      <c r="F37" s="10">
        <f t="shared" si="6"/>
        <v>32493.961499999998</v>
      </c>
      <c r="G37" s="10">
        <f t="shared" si="7"/>
        <v>19496.435804999997</v>
      </c>
      <c r="H37" s="10">
        <f t="shared" si="8"/>
        <v>12997.525695</v>
      </c>
    </row>
    <row r="38" spans="1:8" ht="14.25" x14ac:dyDescent="0.25">
      <c r="A38" s="9">
        <v>32</v>
      </c>
      <c r="B38" s="5" t="s">
        <v>20</v>
      </c>
      <c r="C38" s="9" t="s">
        <v>74</v>
      </c>
      <c r="D38" s="9">
        <v>190</v>
      </c>
      <c r="E38" s="10">
        <f t="shared" si="5"/>
        <v>315518.08749999997</v>
      </c>
      <c r="F38" s="10">
        <f t="shared" si="6"/>
        <v>110431.167</v>
      </c>
      <c r="G38" s="10">
        <f t="shared" si="7"/>
        <v>66258.798374999984</v>
      </c>
      <c r="H38" s="10">
        <f t="shared" si="8"/>
        <v>44172.368625000017</v>
      </c>
    </row>
    <row r="39" spans="1:8" ht="14.25" x14ac:dyDescent="0.25">
      <c r="A39" s="9">
        <v>33</v>
      </c>
      <c r="D39" s="21" t="s">
        <v>62</v>
      </c>
      <c r="E39" s="17">
        <f>SUBTOTAL(9,E31:E38)</f>
        <v>30373260.299599998</v>
      </c>
      <c r="F39" s="17">
        <f>SUBTOTAL(9,F31:F38)</f>
        <v>10630641.914099999</v>
      </c>
      <c r="G39" s="18">
        <f t="shared" si="7"/>
        <v>6378384.6629159991</v>
      </c>
      <c r="H39" s="18">
        <f t="shared" si="8"/>
        <v>4252257.2511839997</v>
      </c>
    </row>
    <row r="40" spans="1:8" x14ac:dyDescent="0.25">
      <c r="A40" s="9">
        <v>34</v>
      </c>
      <c r="D40" s="21"/>
      <c r="E40" s="13"/>
      <c r="F40" s="13"/>
    </row>
    <row r="41" spans="1:8" x14ac:dyDescent="0.25">
      <c r="A41" s="9">
        <v>35</v>
      </c>
      <c r="B41" s="5" t="s">
        <v>36</v>
      </c>
      <c r="C41" s="9" t="s">
        <v>74</v>
      </c>
      <c r="D41" s="9">
        <v>282</v>
      </c>
      <c r="E41" s="10">
        <f>+E17*J17</f>
        <v>-136754753.1735</v>
      </c>
      <c r="F41" s="10">
        <f>+F17*J17</f>
        <v>-46344542.205499999</v>
      </c>
      <c r="G41" s="10">
        <f>+G17*J17</f>
        <v>-27804354.632669996</v>
      </c>
      <c r="H41" s="10">
        <f>F41-G41</f>
        <v>-18540187.572830003</v>
      </c>
    </row>
    <row r="42" spans="1:8" x14ac:dyDescent="0.25">
      <c r="A42" s="9">
        <v>36</v>
      </c>
      <c r="D42" s="21" t="s">
        <v>64</v>
      </c>
      <c r="E42" s="17">
        <f>SUBTOTAL(9,E41:E41)</f>
        <v>-136754753.1735</v>
      </c>
      <c r="F42" s="17">
        <f>SUBTOTAL(9,F41:F41)</f>
        <v>-46344542.205499999</v>
      </c>
      <c r="G42" s="18">
        <f>G41</f>
        <v>-27804354.632669996</v>
      </c>
      <c r="H42" s="18">
        <f>F42-G42</f>
        <v>-18540187.572830003</v>
      </c>
    </row>
    <row r="43" spans="1:8" x14ac:dyDescent="0.25">
      <c r="A43" s="9">
        <v>37</v>
      </c>
      <c r="D43" s="21"/>
      <c r="E43" s="13"/>
      <c r="F43" s="13"/>
    </row>
    <row r="44" spans="1:8" x14ac:dyDescent="0.25">
      <c r="A44" s="9">
        <v>38</v>
      </c>
      <c r="B44" s="5" t="s">
        <v>38</v>
      </c>
      <c r="C44" s="9" t="s">
        <v>74</v>
      </c>
      <c r="D44" s="9">
        <v>283</v>
      </c>
      <c r="E44" s="10">
        <f>+E20*J20</f>
        <v>-26557835.176599998</v>
      </c>
      <c r="F44" s="10">
        <f>+F20*J20</f>
        <v>-9295242.8807999995</v>
      </c>
      <c r="G44" s="10">
        <f>E44*0.21</f>
        <v>-5577145.3870859994</v>
      </c>
      <c r="H44" s="10">
        <f>F44-G44</f>
        <v>-3718097.4937140001</v>
      </c>
    </row>
    <row r="45" spans="1:8" x14ac:dyDescent="0.25">
      <c r="A45" s="9">
        <v>39</v>
      </c>
      <c r="B45" s="5" t="s">
        <v>48</v>
      </c>
      <c r="C45" s="9" t="s">
        <v>74</v>
      </c>
      <c r="D45" s="9">
        <v>283</v>
      </c>
      <c r="E45" s="10">
        <f>+E21*J21</f>
        <v>-8801077.7434</v>
      </c>
      <c r="F45" s="10">
        <f>+F21*J21</f>
        <v>-3080377.3106</v>
      </c>
      <c r="G45" s="10">
        <f>E45*0.21</f>
        <v>-1848226.3261140001</v>
      </c>
      <c r="H45" s="10">
        <f>F45-G45</f>
        <v>-1232150.9844859999</v>
      </c>
    </row>
    <row r="46" spans="1:8" x14ac:dyDescent="0.25">
      <c r="A46" s="9">
        <v>40</v>
      </c>
      <c r="D46" s="21" t="s">
        <v>65</v>
      </c>
      <c r="E46" s="19">
        <f>SUBTOTAL(9,E44:E45)</f>
        <v>-35358912.920000002</v>
      </c>
      <c r="F46" s="19">
        <f>SUBTOTAL(9,F44:F45)</f>
        <v>-12375620.191399999</v>
      </c>
      <c r="G46" s="20">
        <f>SUBTOTAL(9,G44:G45)</f>
        <v>-7425371.7131999992</v>
      </c>
      <c r="H46" s="20">
        <f>SUBTOTAL(9,H44:H45)</f>
        <v>-4950248.4781999998</v>
      </c>
    </row>
    <row r="47" spans="1:8" x14ac:dyDescent="0.25">
      <c r="A47" s="9">
        <v>41</v>
      </c>
      <c r="D47" s="21"/>
      <c r="E47" s="17"/>
      <c r="F47" s="17"/>
      <c r="G47" s="18"/>
      <c r="H47" s="18"/>
    </row>
    <row r="48" spans="1:8" ht="15.75" thickBot="1" x14ac:dyDescent="0.3">
      <c r="A48" s="9">
        <v>42</v>
      </c>
      <c r="D48" s="21" t="s">
        <v>63</v>
      </c>
      <c r="E48" s="14">
        <f>SUBTOTAL(9,E31:E45)</f>
        <v>-141740405.79389998</v>
      </c>
      <c r="F48" s="14">
        <f>SUBTOTAL(9,F31:F45)</f>
        <v>-48089520.482799999</v>
      </c>
      <c r="G48" s="15">
        <f>SUM(G39,G42,G46)</f>
        <v>-28851341.682953995</v>
      </c>
      <c r="H48" s="15">
        <f>SUM(H39,H42,H46)</f>
        <v>-19238178.799846001</v>
      </c>
    </row>
    <row r="49" spans="1:8" ht="15.75" thickTop="1" x14ac:dyDescent="0.25">
      <c r="A49" s="9">
        <v>43</v>
      </c>
      <c r="G49" s="16"/>
    </row>
    <row r="50" spans="1:8" x14ac:dyDescent="0.25">
      <c r="A50" s="9">
        <v>44</v>
      </c>
      <c r="D50" s="22" t="s">
        <v>78</v>
      </c>
      <c r="E50" s="10">
        <f>+E39+E46</f>
        <v>-4985652.6204000041</v>
      </c>
      <c r="F50" s="10">
        <f>+F39+F46</f>
        <v>-1744978.2773000002</v>
      </c>
      <c r="G50" s="10">
        <f>+G39+G46</f>
        <v>-1046987.0502840001</v>
      </c>
      <c r="H50" s="10">
        <f>+H39+H46</f>
        <v>-697991.22701600008</v>
      </c>
    </row>
    <row r="51" spans="1:8" x14ac:dyDescent="0.25">
      <c r="A51" s="9">
        <v>45</v>
      </c>
      <c r="D51" s="22" t="s">
        <v>79</v>
      </c>
      <c r="E51" s="10">
        <f>+E42</f>
        <v>-136754753.1735</v>
      </c>
      <c r="F51" s="10">
        <f t="shared" ref="F51:H51" si="11">+F42</f>
        <v>-46344542.205499999</v>
      </c>
      <c r="G51" s="10">
        <f t="shared" si="11"/>
        <v>-27804354.632669996</v>
      </c>
      <c r="H51" s="10">
        <f t="shared" si="11"/>
        <v>-18540187.572830003</v>
      </c>
    </row>
    <row r="52" spans="1:8" x14ac:dyDescent="0.25">
      <c r="A52" s="9">
        <v>46</v>
      </c>
    </row>
    <row r="53" spans="1:8" x14ac:dyDescent="0.25">
      <c r="A53" s="9">
        <v>47</v>
      </c>
    </row>
    <row r="54" spans="1:8" ht="18.75" x14ac:dyDescent="0.3">
      <c r="A54" s="9">
        <v>48</v>
      </c>
      <c r="B54" s="24" t="s">
        <v>85</v>
      </c>
    </row>
    <row r="55" spans="1:8" x14ac:dyDescent="0.25">
      <c r="A55" s="9">
        <v>49</v>
      </c>
      <c r="B55" s="5" t="s">
        <v>1</v>
      </c>
      <c r="C55" s="9" t="s">
        <v>74</v>
      </c>
      <c r="D55" s="9">
        <v>190</v>
      </c>
      <c r="E55" s="10">
        <f t="shared" ref="E55:E62" si="12">+E7*K7</f>
        <v>1814487.1739999999</v>
      </c>
      <c r="F55" s="10">
        <f t="shared" ref="F55:F62" si="13">+F7*K7</f>
        <v>635070.51089999999</v>
      </c>
      <c r="G55" s="10">
        <f t="shared" ref="G55:G63" si="14">E55*0.21</f>
        <v>381042.30653999996</v>
      </c>
      <c r="H55" s="10">
        <f t="shared" ref="H55:H63" si="15">F55-G55</f>
        <v>254028.20436000003</v>
      </c>
    </row>
    <row r="56" spans="1:8" x14ac:dyDescent="0.25">
      <c r="A56" s="9">
        <v>50</v>
      </c>
      <c r="B56" s="5" t="s">
        <v>199</v>
      </c>
      <c r="C56" s="9" t="s">
        <v>74</v>
      </c>
      <c r="D56" s="9">
        <v>190</v>
      </c>
      <c r="E56" s="10">
        <f t="shared" si="12"/>
        <v>166455.69749999998</v>
      </c>
      <c r="F56" s="10">
        <f t="shared" si="13"/>
        <v>58259.555699999997</v>
      </c>
      <c r="G56" s="10">
        <f t="shared" ref="G56" si="16">E56*0.21</f>
        <v>34955.696474999997</v>
      </c>
      <c r="H56" s="10">
        <f t="shared" ref="H56" si="17">F56-G56</f>
        <v>23303.859225</v>
      </c>
    </row>
    <row r="57" spans="1:8" x14ac:dyDescent="0.25">
      <c r="A57" s="9">
        <v>51</v>
      </c>
      <c r="B57" s="5" t="s">
        <v>2</v>
      </c>
      <c r="C57" s="9" t="s">
        <v>74</v>
      </c>
      <c r="D57" s="9">
        <v>190</v>
      </c>
      <c r="E57" s="10">
        <f t="shared" si="12"/>
        <v>5049048.5243999995</v>
      </c>
      <c r="F57" s="10">
        <f t="shared" si="13"/>
        <v>1767167.0327999999</v>
      </c>
      <c r="G57" s="10">
        <f t="shared" si="14"/>
        <v>1060300.190124</v>
      </c>
      <c r="H57" s="10">
        <f t="shared" si="15"/>
        <v>706866.84267599997</v>
      </c>
    </row>
    <row r="58" spans="1:8" x14ac:dyDescent="0.25">
      <c r="A58" s="9">
        <v>52</v>
      </c>
      <c r="B58" s="5" t="s">
        <v>3</v>
      </c>
      <c r="C58" s="9" t="s">
        <v>74</v>
      </c>
      <c r="D58" s="9">
        <v>190</v>
      </c>
      <c r="E58" s="10">
        <f t="shared" si="12"/>
        <v>3242016.8514</v>
      </c>
      <c r="F58" s="10">
        <f t="shared" si="13"/>
        <v>1134706.0703999999</v>
      </c>
      <c r="G58" s="10">
        <f t="shared" si="14"/>
        <v>680823.53879399993</v>
      </c>
      <c r="H58" s="10">
        <f t="shared" si="15"/>
        <v>453882.53160599992</v>
      </c>
    </row>
    <row r="59" spans="1:8" x14ac:dyDescent="0.25">
      <c r="A59" s="9">
        <v>53</v>
      </c>
      <c r="B59" s="5" t="s">
        <v>4</v>
      </c>
      <c r="C59" s="9" t="s">
        <v>74</v>
      </c>
      <c r="D59" s="9">
        <v>190</v>
      </c>
      <c r="E59" s="10">
        <f t="shared" si="12"/>
        <v>657003.52590000001</v>
      </c>
      <c r="F59" s="10">
        <f t="shared" si="13"/>
        <v>229951.3449</v>
      </c>
      <c r="G59" s="10">
        <f t="shared" si="14"/>
        <v>137970.74043899999</v>
      </c>
      <c r="H59" s="10">
        <f t="shared" si="15"/>
        <v>91980.60446100001</v>
      </c>
    </row>
    <row r="60" spans="1:8" x14ac:dyDescent="0.25">
      <c r="A60" s="9">
        <v>54</v>
      </c>
      <c r="B60" s="5" t="s">
        <v>13</v>
      </c>
      <c r="C60" s="9" t="s">
        <v>74</v>
      </c>
      <c r="D60" s="9">
        <v>190</v>
      </c>
      <c r="E60" s="10">
        <f t="shared" si="12"/>
        <v>138186.18</v>
      </c>
      <c r="F60" s="10">
        <f t="shared" si="13"/>
        <v>48365.162999999993</v>
      </c>
      <c r="G60" s="10">
        <f t="shared" si="14"/>
        <v>29019.097799999996</v>
      </c>
      <c r="H60" s="10">
        <f t="shared" si="15"/>
        <v>19346.065199999997</v>
      </c>
    </row>
    <row r="61" spans="1:8" x14ac:dyDescent="0.25">
      <c r="A61" s="9">
        <v>55</v>
      </c>
      <c r="B61" s="5" t="s">
        <v>17</v>
      </c>
      <c r="C61" s="9" t="s">
        <v>74</v>
      </c>
      <c r="D61" s="9">
        <v>190</v>
      </c>
      <c r="E61" s="10">
        <f t="shared" si="12"/>
        <v>49008.8295</v>
      </c>
      <c r="F61" s="10">
        <f t="shared" si="13"/>
        <v>17153.038499999999</v>
      </c>
      <c r="G61" s="10">
        <f t="shared" si="14"/>
        <v>10291.854195</v>
      </c>
      <c r="H61" s="10">
        <f t="shared" si="15"/>
        <v>6861.1843049999989</v>
      </c>
    </row>
    <row r="62" spans="1:8" x14ac:dyDescent="0.25">
      <c r="A62" s="9">
        <v>56</v>
      </c>
      <c r="B62" s="5" t="s">
        <v>20</v>
      </c>
      <c r="C62" s="9" t="s">
        <v>74</v>
      </c>
      <c r="D62" s="9">
        <v>190</v>
      </c>
      <c r="E62" s="10">
        <f t="shared" si="12"/>
        <v>166556.91249999998</v>
      </c>
      <c r="F62" s="10">
        <f t="shared" si="13"/>
        <v>58294.832999999999</v>
      </c>
      <c r="G62" s="10">
        <f t="shared" si="14"/>
        <v>34976.951624999994</v>
      </c>
      <c r="H62" s="10">
        <f t="shared" si="15"/>
        <v>23317.881375000004</v>
      </c>
    </row>
    <row r="63" spans="1:8" x14ac:dyDescent="0.25">
      <c r="A63" s="9">
        <v>57</v>
      </c>
      <c r="D63" s="21" t="s">
        <v>62</v>
      </c>
      <c r="E63" s="17">
        <f>SUBTOTAL(9,E55:E62)</f>
        <v>11282763.6952</v>
      </c>
      <c r="F63" s="17">
        <f>SUBTOTAL(9,F55:F62)</f>
        <v>3948967.5491999993</v>
      </c>
      <c r="G63" s="18">
        <f t="shared" si="14"/>
        <v>2369380.3759920001</v>
      </c>
      <c r="H63" s="18">
        <f t="shared" si="15"/>
        <v>1579587.1732079992</v>
      </c>
    </row>
    <row r="64" spans="1:8" x14ac:dyDescent="0.25">
      <c r="A64" s="9">
        <v>58</v>
      </c>
      <c r="D64" s="21"/>
      <c r="E64" s="13"/>
      <c r="F64" s="13"/>
    </row>
    <row r="65" spans="1:8" x14ac:dyDescent="0.25">
      <c r="A65" s="9">
        <v>59</v>
      </c>
      <c r="B65" s="5" t="s">
        <v>36</v>
      </c>
      <c r="C65" s="9" t="s">
        <v>74</v>
      </c>
      <c r="D65" s="9">
        <v>282</v>
      </c>
      <c r="E65" s="10">
        <f>+E17*K17</f>
        <v>-72190629.826499999</v>
      </c>
      <c r="F65" s="10">
        <f>+F17*K17</f>
        <v>-24464536.794499997</v>
      </c>
      <c r="G65" s="10">
        <f>+G17*K17</f>
        <v>-14677470.627329998</v>
      </c>
      <c r="H65" s="10">
        <f>F65-G65</f>
        <v>-9787066.1671699993</v>
      </c>
    </row>
    <row r="66" spans="1:8" x14ac:dyDescent="0.25">
      <c r="A66" s="9">
        <v>60</v>
      </c>
      <c r="D66" s="21" t="s">
        <v>64</v>
      </c>
      <c r="E66" s="17">
        <f>SUBTOTAL(9,E65:E65)</f>
        <v>-72190629.826499999</v>
      </c>
      <c r="F66" s="17">
        <f>SUBTOTAL(9,F65:F65)</f>
        <v>-24464536.794499997</v>
      </c>
      <c r="G66" s="18">
        <f>G65</f>
        <v>-14677470.627329998</v>
      </c>
      <c r="H66" s="18">
        <f>F66-G66</f>
        <v>-9787066.1671699993</v>
      </c>
    </row>
    <row r="67" spans="1:8" x14ac:dyDescent="0.25">
      <c r="A67" s="9">
        <v>61</v>
      </c>
      <c r="D67" s="21"/>
      <c r="E67" s="13"/>
      <c r="F67" s="13"/>
    </row>
    <row r="68" spans="1:8" x14ac:dyDescent="0.25">
      <c r="A68" s="9">
        <v>62</v>
      </c>
      <c r="B68" s="5" t="s">
        <v>38</v>
      </c>
      <c r="C68" s="9" t="s">
        <v>74</v>
      </c>
      <c r="D68" s="9">
        <v>283</v>
      </c>
      <c r="E68" s="10">
        <f>+E20*K20</f>
        <v>-9771728.1206999999</v>
      </c>
      <c r="F68" s="10">
        <f>+F20*K20</f>
        <v>-3420105.0515999999</v>
      </c>
      <c r="G68" s="10">
        <f>E68*0.21</f>
        <v>-2052062.9053469999</v>
      </c>
      <c r="H68" s="10">
        <f>F68-G68</f>
        <v>-1368042.146253</v>
      </c>
    </row>
    <row r="69" spans="1:8" x14ac:dyDescent="0.25">
      <c r="A69" s="9">
        <v>63</v>
      </c>
      <c r="B69" s="5" t="s">
        <v>48</v>
      </c>
      <c r="C69" s="9" t="s">
        <v>74</v>
      </c>
      <c r="D69" s="9">
        <v>283</v>
      </c>
      <c r="E69" s="10">
        <f>+E21*K21</f>
        <v>-3238281.2193</v>
      </c>
      <c r="F69" s="10">
        <f>+F21*K21</f>
        <v>-1133398.4637</v>
      </c>
      <c r="G69" s="10">
        <f>E69*0.21</f>
        <v>-680039.05605299992</v>
      </c>
      <c r="H69" s="10">
        <f>F69-G69</f>
        <v>-453359.40764700004</v>
      </c>
    </row>
    <row r="70" spans="1:8" x14ac:dyDescent="0.25">
      <c r="A70" s="9">
        <v>64</v>
      </c>
      <c r="D70" s="21" t="s">
        <v>65</v>
      </c>
      <c r="E70" s="19">
        <f>SUBTOTAL(9,E68:E69)</f>
        <v>-13010009.34</v>
      </c>
      <c r="F70" s="19">
        <f>SUBTOTAL(9,F68:F69)</f>
        <v>-4553503.5153000001</v>
      </c>
      <c r="G70" s="20">
        <f>SUBTOTAL(9,G68:G69)</f>
        <v>-2732101.9613999999</v>
      </c>
      <c r="H70" s="20">
        <f>SUBTOTAL(9,H68:H69)</f>
        <v>-1821401.5539000002</v>
      </c>
    </row>
    <row r="71" spans="1:8" x14ac:dyDescent="0.25">
      <c r="A71" s="9">
        <v>65</v>
      </c>
      <c r="D71" s="21"/>
      <c r="E71" s="17"/>
      <c r="F71" s="17"/>
      <c r="G71" s="18"/>
      <c r="H71" s="18"/>
    </row>
    <row r="72" spans="1:8" ht="15.75" thickBot="1" x14ac:dyDescent="0.3">
      <c r="A72" s="9">
        <v>66</v>
      </c>
      <c r="D72" s="21" t="s">
        <v>63</v>
      </c>
      <c r="E72" s="14">
        <f>SUBTOTAL(9,E55:E69)</f>
        <v>-73917875.471300006</v>
      </c>
      <c r="F72" s="14">
        <f>SUBTOTAL(9,F55:F69)</f>
        <v>-25069072.760599997</v>
      </c>
      <c r="G72" s="15">
        <f>SUM(G63,G66,G70)</f>
        <v>-15040192.212737998</v>
      </c>
      <c r="H72" s="15">
        <f>SUM(H63,H66,H70)</f>
        <v>-10028880.547862001</v>
      </c>
    </row>
    <row r="73" spans="1:8" ht="15.75" thickTop="1" x14ac:dyDescent="0.25">
      <c r="A73" s="9">
        <v>67</v>
      </c>
    </row>
    <row r="74" spans="1:8" x14ac:dyDescent="0.25">
      <c r="A74" s="9">
        <v>68</v>
      </c>
      <c r="D74" s="22" t="s">
        <v>78</v>
      </c>
      <c r="E74" s="10">
        <f>+E63+E70</f>
        <v>-1727245.6447999999</v>
      </c>
      <c r="F74" s="10">
        <f>+F63+F70</f>
        <v>-604535.96610000078</v>
      </c>
      <c r="G74" s="10">
        <f>+G63+G70</f>
        <v>-362721.58540799981</v>
      </c>
      <c r="H74" s="10">
        <f>+H63+H70</f>
        <v>-241814.38069200097</v>
      </c>
    </row>
    <row r="75" spans="1:8" x14ac:dyDescent="0.25">
      <c r="A75" s="9">
        <v>69</v>
      </c>
      <c r="D75" s="22" t="s">
        <v>79</v>
      </c>
      <c r="E75" s="10">
        <f>+E66</f>
        <v>-72190629.826499999</v>
      </c>
      <c r="F75" s="10">
        <f t="shared" ref="F75:H75" si="18">+F66</f>
        <v>-24464536.794499997</v>
      </c>
      <c r="G75" s="10">
        <f t="shared" si="18"/>
        <v>-14677470.627329998</v>
      </c>
      <c r="H75" s="10">
        <f t="shared" si="18"/>
        <v>-9787066.1671699993</v>
      </c>
    </row>
    <row r="76" spans="1:8" x14ac:dyDescent="0.25">
      <c r="A76" s="9">
        <v>70</v>
      </c>
    </row>
    <row r="77" spans="1:8" x14ac:dyDescent="0.25">
      <c r="A77" s="9">
        <v>71</v>
      </c>
    </row>
    <row r="78" spans="1:8" ht="18.75" x14ac:dyDescent="0.3">
      <c r="A78" s="9">
        <v>72</v>
      </c>
      <c r="B78" s="24" t="s">
        <v>86</v>
      </c>
    </row>
    <row r="79" spans="1:8" x14ac:dyDescent="0.25">
      <c r="A79" s="9">
        <v>73</v>
      </c>
      <c r="B79" s="5" t="s">
        <v>1</v>
      </c>
      <c r="C79" s="9" t="s">
        <v>74</v>
      </c>
      <c r="D79" s="9">
        <v>190</v>
      </c>
      <c r="E79" s="10">
        <f t="shared" ref="E79:E86" si="19">+E7*L7</f>
        <v>621036.41399999999</v>
      </c>
      <c r="F79" s="10">
        <f t="shared" ref="F79:F86" si="20">+F7*L7</f>
        <v>217362.74489999999</v>
      </c>
      <c r="G79" s="10">
        <f t="shared" ref="G79:G87" si="21">E79*0.21</f>
        <v>130417.64693999999</v>
      </c>
      <c r="H79" s="10">
        <f t="shared" ref="H79:H87" si="22">F79-G79</f>
        <v>86945.097959999999</v>
      </c>
    </row>
    <row r="80" spans="1:8" x14ac:dyDescent="0.25">
      <c r="A80" s="9">
        <v>74</v>
      </c>
      <c r="B80" s="5" t="s">
        <v>199</v>
      </c>
      <c r="D80" s="9">
        <v>190</v>
      </c>
      <c r="E80" s="10">
        <f t="shared" si="19"/>
        <v>56972.047500000001</v>
      </c>
      <c r="F80" s="10">
        <f t="shared" si="20"/>
        <v>19940.237700000001</v>
      </c>
      <c r="G80" s="10">
        <f t="shared" ref="G80" si="23">E80*0.21</f>
        <v>11964.129975</v>
      </c>
      <c r="H80" s="10">
        <f t="shared" ref="H80" si="24">F80-G80</f>
        <v>7976.1077250000017</v>
      </c>
    </row>
    <row r="81" spans="1:8" x14ac:dyDescent="0.25">
      <c r="A81" s="9">
        <v>75</v>
      </c>
      <c r="B81" s="5" t="s">
        <v>2</v>
      </c>
      <c r="C81" s="9" t="s">
        <v>74</v>
      </c>
      <c r="D81" s="9">
        <v>190</v>
      </c>
      <c r="E81" s="10">
        <f t="shared" si="19"/>
        <v>1728115.2683999999</v>
      </c>
      <c r="F81" s="10">
        <f t="shared" si="20"/>
        <v>604840.36080000002</v>
      </c>
      <c r="G81" s="10">
        <f t="shared" si="21"/>
        <v>362904.20636399998</v>
      </c>
      <c r="H81" s="10">
        <f t="shared" si="22"/>
        <v>241936.15443600004</v>
      </c>
    </row>
    <row r="82" spans="1:8" x14ac:dyDescent="0.25">
      <c r="A82" s="9">
        <v>76</v>
      </c>
      <c r="B82" s="5" t="s">
        <v>3</v>
      </c>
      <c r="C82" s="9" t="s">
        <v>74</v>
      </c>
      <c r="D82" s="9">
        <v>190</v>
      </c>
      <c r="E82" s="10">
        <f t="shared" si="19"/>
        <v>1109630.6154</v>
      </c>
      <c r="F82" s="10">
        <f t="shared" si="20"/>
        <v>388370.77439999999</v>
      </c>
      <c r="G82" s="10">
        <f t="shared" si="21"/>
        <v>233022.42923399998</v>
      </c>
      <c r="H82" s="10">
        <f t="shared" si="22"/>
        <v>155348.34516600001</v>
      </c>
    </row>
    <row r="83" spans="1:8" x14ac:dyDescent="0.25">
      <c r="A83" s="9">
        <v>77</v>
      </c>
      <c r="B83" s="5" t="s">
        <v>4</v>
      </c>
      <c r="C83" s="9" t="s">
        <v>74</v>
      </c>
      <c r="D83" s="9">
        <v>190</v>
      </c>
      <c r="E83" s="10">
        <f t="shared" si="19"/>
        <v>224869.6599</v>
      </c>
      <c r="F83" s="10">
        <f t="shared" si="20"/>
        <v>78704.418900000004</v>
      </c>
      <c r="G83" s="10">
        <f t="shared" si="21"/>
        <v>47222.628578999997</v>
      </c>
      <c r="H83" s="10">
        <f t="shared" si="22"/>
        <v>31481.790321000008</v>
      </c>
    </row>
    <row r="84" spans="1:8" x14ac:dyDescent="0.25">
      <c r="A84" s="9">
        <v>78</v>
      </c>
      <c r="B84" s="5" t="s">
        <v>13</v>
      </c>
      <c r="C84" s="9" t="s">
        <v>74</v>
      </c>
      <c r="D84" s="9">
        <v>190</v>
      </c>
      <c r="E84" s="10">
        <f t="shared" si="19"/>
        <v>0</v>
      </c>
      <c r="F84" s="10">
        <f t="shared" si="20"/>
        <v>0</v>
      </c>
      <c r="G84" s="10">
        <f t="shared" si="21"/>
        <v>0</v>
      </c>
      <c r="H84" s="10">
        <f t="shared" si="22"/>
        <v>0</v>
      </c>
    </row>
    <row r="85" spans="1:8" x14ac:dyDescent="0.25">
      <c r="A85" s="9">
        <v>79</v>
      </c>
      <c r="B85" s="5" t="s">
        <v>17</v>
      </c>
      <c r="C85" s="9" t="s">
        <v>74</v>
      </c>
      <c r="D85" s="9">
        <v>190</v>
      </c>
      <c r="E85" s="10">
        <f t="shared" si="19"/>
        <v>0</v>
      </c>
      <c r="F85" s="10">
        <f t="shared" si="20"/>
        <v>0</v>
      </c>
      <c r="G85" s="10">
        <f t="shared" si="21"/>
        <v>0</v>
      </c>
      <c r="H85" s="10">
        <f t="shared" si="22"/>
        <v>0</v>
      </c>
    </row>
    <row r="86" spans="1:8" x14ac:dyDescent="0.25">
      <c r="A86" s="9">
        <v>80</v>
      </c>
      <c r="B86" s="5" t="s">
        <v>20</v>
      </c>
      <c r="C86" s="9" t="s">
        <v>74</v>
      </c>
      <c r="D86" s="9">
        <v>190</v>
      </c>
      <c r="E86" s="10">
        <f t="shared" si="19"/>
        <v>0</v>
      </c>
      <c r="F86" s="10">
        <f t="shared" si="20"/>
        <v>0</v>
      </c>
      <c r="G86" s="10">
        <f t="shared" si="21"/>
        <v>0</v>
      </c>
      <c r="H86" s="10">
        <f t="shared" si="22"/>
        <v>0</v>
      </c>
    </row>
    <row r="87" spans="1:8" x14ac:dyDescent="0.25">
      <c r="A87" s="9">
        <v>81</v>
      </c>
      <c r="D87" s="21" t="s">
        <v>62</v>
      </c>
      <c r="E87" s="17">
        <f>SUBTOTAL(9,E79:E86)</f>
        <v>3740624.0051999995</v>
      </c>
      <c r="F87" s="17">
        <f>SUBTOTAL(9,F79:F86)</f>
        <v>1309218.5367000001</v>
      </c>
      <c r="G87" s="18">
        <f t="shared" si="21"/>
        <v>785531.04109199985</v>
      </c>
      <c r="H87" s="18">
        <f t="shared" si="22"/>
        <v>523687.4956080002</v>
      </c>
    </row>
    <row r="88" spans="1:8" x14ac:dyDescent="0.25">
      <c r="A88" s="9">
        <v>82</v>
      </c>
      <c r="D88" s="21"/>
      <c r="E88" s="13"/>
      <c r="F88" s="13"/>
    </row>
    <row r="89" spans="1:8" x14ac:dyDescent="0.25">
      <c r="A89" s="9">
        <v>83</v>
      </c>
      <c r="B89" s="5" t="s">
        <v>36</v>
      </c>
      <c r="C89" s="9" t="s">
        <v>74</v>
      </c>
      <c r="D89" s="9">
        <v>282</v>
      </c>
      <c r="E89" s="10">
        <f>+E17*L17</f>
        <v>0</v>
      </c>
      <c r="F89" s="10">
        <f>+F17*L17</f>
        <v>0</v>
      </c>
      <c r="G89" s="10">
        <f>E89*0.21</f>
        <v>0</v>
      </c>
      <c r="H89" s="10">
        <f>F89-G89</f>
        <v>0</v>
      </c>
    </row>
    <row r="90" spans="1:8" x14ac:dyDescent="0.25">
      <c r="A90" s="9">
        <v>84</v>
      </c>
      <c r="D90" s="21" t="s">
        <v>64</v>
      </c>
      <c r="E90" s="17">
        <f>SUBTOTAL(9,E89:E89)</f>
        <v>0</v>
      </c>
      <c r="F90" s="17">
        <f>SUBTOTAL(9,F89:F89)</f>
        <v>0</v>
      </c>
      <c r="G90" s="18">
        <f>G89</f>
        <v>0</v>
      </c>
      <c r="H90" s="18">
        <f>F90-G90</f>
        <v>0</v>
      </c>
    </row>
    <row r="91" spans="1:8" x14ac:dyDescent="0.25">
      <c r="A91" s="9">
        <v>85</v>
      </c>
      <c r="D91" s="21"/>
      <c r="E91" s="13"/>
      <c r="F91" s="13"/>
    </row>
    <row r="92" spans="1:8" x14ac:dyDescent="0.25">
      <c r="A92" s="9">
        <v>86</v>
      </c>
      <c r="B92" s="5" t="s">
        <v>38</v>
      </c>
      <c r="C92" s="9" t="s">
        <v>74</v>
      </c>
      <c r="D92" s="9">
        <v>283</v>
      </c>
      <c r="E92" s="10">
        <f>+E20*L20</f>
        <v>-3344525.7026999998</v>
      </c>
      <c r="F92" s="10">
        <f>+F20*L20</f>
        <v>-1170584.0676</v>
      </c>
      <c r="G92" s="10">
        <f>E92*0.21</f>
        <v>-702350.39756699989</v>
      </c>
      <c r="H92" s="10">
        <f>F92-G92</f>
        <v>-468233.67003300006</v>
      </c>
    </row>
    <row r="93" spans="1:8" x14ac:dyDescent="0.25">
      <c r="A93" s="9">
        <v>87</v>
      </c>
      <c r="B93" s="5" t="s">
        <v>48</v>
      </c>
      <c r="C93" s="9" t="s">
        <v>74</v>
      </c>
      <c r="D93" s="9">
        <v>283</v>
      </c>
      <c r="E93" s="10">
        <f>+E21*L21</f>
        <v>-1108352.0373</v>
      </c>
      <c r="F93" s="10">
        <f>+F21*L21</f>
        <v>-387923.22570000001</v>
      </c>
      <c r="G93" s="10">
        <f>E93*0.21</f>
        <v>-232753.92783299999</v>
      </c>
      <c r="H93" s="10">
        <f>F93-G93</f>
        <v>-155169.29786700002</v>
      </c>
    </row>
    <row r="94" spans="1:8" x14ac:dyDescent="0.25">
      <c r="A94" s="9">
        <v>88</v>
      </c>
      <c r="D94" s="21" t="s">
        <v>65</v>
      </c>
      <c r="E94" s="19">
        <f>SUBTOTAL(9,E92:E93)</f>
        <v>-4452877.74</v>
      </c>
      <c r="F94" s="19">
        <f>SUBTOTAL(9,F92:F93)</f>
        <v>-1558507.2933</v>
      </c>
      <c r="G94" s="20">
        <f>SUBTOTAL(9,G92:G93)</f>
        <v>-935104.32539999986</v>
      </c>
      <c r="H94" s="20">
        <f>SUBTOTAL(9,H92:H93)</f>
        <v>-623402.96790000005</v>
      </c>
    </row>
    <row r="95" spans="1:8" x14ac:dyDescent="0.25">
      <c r="A95" s="9">
        <v>89</v>
      </c>
      <c r="D95" s="21"/>
      <c r="E95" s="17"/>
      <c r="F95" s="17"/>
      <c r="G95" s="18"/>
      <c r="H95" s="18"/>
    </row>
    <row r="96" spans="1:8" ht="15.75" thickBot="1" x14ac:dyDescent="0.3">
      <c r="A96" s="9">
        <v>90</v>
      </c>
      <c r="D96" s="21" t="s">
        <v>63</v>
      </c>
      <c r="E96" s="14">
        <f>SUBTOTAL(9,E79:E93)</f>
        <v>-712253.73480000021</v>
      </c>
      <c r="F96" s="14">
        <f>SUBTOTAL(9,F79:F93)</f>
        <v>-249288.75659999991</v>
      </c>
      <c r="G96" s="15">
        <f>SUM(G87,G90,G94)</f>
        <v>-149573.284308</v>
      </c>
      <c r="H96" s="15">
        <f>SUM(H87,H90,H94)</f>
        <v>-99715.472291999846</v>
      </c>
    </row>
    <row r="97" spans="1:8" ht="15.75" thickTop="1" x14ac:dyDescent="0.25">
      <c r="A97" s="9">
        <v>91</v>
      </c>
      <c r="G97" s="16"/>
    </row>
    <row r="98" spans="1:8" x14ac:dyDescent="0.25">
      <c r="A98" s="9">
        <v>92</v>
      </c>
      <c r="D98" s="22" t="s">
        <v>78</v>
      </c>
      <c r="E98" s="10">
        <f>+E87+E94</f>
        <v>-712253.73480000068</v>
      </c>
      <c r="F98" s="10">
        <f t="shared" ref="F98:H98" si="25">+F87+F94</f>
        <v>-249288.75659999996</v>
      </c>
      <c r="G98" s="10">
        <f t="shared" si="25"/>
        <v>-149573.284308</v>
      </c>
      <c r="H98" s="10">
        <f t="shared" si="25"/>
        <v>-99715.472291999846</v>
      </c>
    </row>
    <row r="99" spans="1:8" x14ac:dyDescent="0.25">
      <c r="A99" s="9">
        <v>93</v>
      </c>
      <c r="D99" s="22" t="s">
        <v>79</v>
      </c>
      <c r="E99" s="10">
        <f>+E90</f>
        <v>0</v>
      </c>
      <c r="F99" s="10">
        <f t="shared" ref="F99:H99" si="26">+F90</f>
        <v>0</v>
      </c>
      <c r="G99" s="10">
        <f t="shared" si="26"/>
        <v>0</v>
      </c>
      <c r="H99" s="10">
        <f t="shared" si="26"/>
        <v>0</v>
      </c>
    </row>
    <row r="100" spans="1:8" x14ac:dyDescent="0.25">
      <c r="A100" s="9">
        <v>94</v>
      </c>
    </row>
    <row r="101" spans="1:8" ht="18.75" x14ac:dyDescent="0.3">
      <c r="A101" s="9">
        <v>95</v>
      </c>
      <c r="B101" s="24" t="s">
        <v>87</v>
      </c>
    </row>
    <row r="102" spans="1:8" x14ac:dyDescent="0.25">
      <c r="A102" s="9">
        <v>96</v>
      </c>
      <c r="D102" s="26" t="s">
        <v>62</v>
      </c>
      <c r="E102" s="10">
        <f>+E15-E39-E63-E87</f>
        <v>0</v>
      </c>
      <c r="F102" s="10">
        <f>+F15-F39-F63-F87</f>
        <v>1.862645149230957E-9</v>
      </c>
      <c r="G102" s="10">
        <f>+G15-G39-G63-G87</f>
        <v>1.0477378964424133E-9</v>
      </c>
      <c r="H102" s="10">
        <f>+H15-H39-H63-H87</f>
        <v>8.149072527885437E-10</v>
      </c>
    </row>
    <row r="103" spans="1:8" x14ac:dyDescent="0.25">
      <c r="A103" s="9">
        <v>97</v>
      </c>
      <c r="D103" s="26" t="s">
        <v>64</v>
      </c>
      <c r="E103" s="10">
        <f>+E18-E42-E66--E90</f>
        <v>0</v>
      </c>
      <c r="F103" s="10">
        <f>+F18-F42-F66--F90</f>
        <v>-3.7252902984619141E-9</v>
      </c>
      <c r="G103" s="10">
        <f>+G18-G42-G66--G90</f>
        <v>-3.7252902984619141E-9</v>
      </c>
      <c r="H103" s="10">
        <f>+H18-H42-H66--H90</f>
        <v>0</v>
      </c>
    </row>
    <row r="104" spans="1:8" x14ac:dyDescent="0.25">
      <c r="A104" s="9">
        <v>98</v>
      </c>
      <c r="D104" s="26" t="s">
        <v>65</v>
      </c>
      <c r="E104" s="10">
        <f>+E22-E46-E70-E94</f>
        <v>0</v>
      </c>
      <c r="F104" s="10">
        <f>+F22-F46-F70-F94</f>
        <v>0</v>
      </c>
      <c r="G104" s="10">
        <f>+G22-G46-G70-G94</f>
        <v>-1.0477378964424133E-9</v>
      </c>
      <c r="H104" s="10">
        <f>+H22-H46-H70-H94</f>
        <v>0</v>
      </c>
    </row>
    <row r="105" spans="1:8" x14ac:dyDescent="0.25">
      <c r="A105" s="9">
        <v>99</v>
      </c>
      <c r="D105" s="26" t="s">
        <v>63</v>
      </c>
      <c r="E105" s="18">
        <f>+E24-E48-E72-E96</f>
        <v>-1.0710209608078003E-8</v>
      </c>
      <c r="F105" s="18">
        <f>+F24-F48-F72-F96</f>
        <v>-3.7834979593753815E-9</v>
      </c>
      <c r="G105" s="18">
        <f>+G24-G48-G72-G96</f>
        <v>-6.9849193096160889E-9</v>
      </c>
      <c r="H105" s="18">
        <f>+H24-H48-H72-H96</f>
        <v>1.280568540096283E-9</v>
      </c>
    </row>
    <row r="106" spans="1:8" x14ac:dyDescent="0.25">
      <c r="A106" s="9">
        <v>100</v>
      </c>
    </row>
    <row r="107" spans="1:8" x14ac:dyDescent="0.25">
      <c r="A107" s="9">
        <v>101</v>
      </c>
      <c r="D107" s="22" t="s">
        <v>78</v>
      </c>
      <c r="E107" s="10">
        <f t="shared" ref="E107:H108" si="27">+E26-E50-E74-E98</f>
        <v>4.6566128730773926E-9</v>
      </c>
      <c r="F107" s="10">
        <f t="shared" si="27"/>
        <v>9.3132257461547852E-10</v>
      </c>
      <c r="G107" s="10">
        <f t="shared" si="27"/>
        <v>0</v>
      </c>
      <c r="H107" s="10">
        <f t="shared" si="27"/>
        <v>8.149072527885437E-10</v>
      </c>
    </row>
    <row r="108" spans="1:8" x14ac:dyDescent="0.25">
      <c r="A108" s="9">
        <v>102</v>
      </c>
      <c r="D108" s="22" t="s">
        <v>79</v>
      </c>
      <c r="E108" s="10">
        <f t="shared" si="27"/>
        <v>0</v>
      </c>
      <c r="F108" s="10">
        <f t="shared" si="27"/>
        <v>-3.7252902984619141E-9</v>
      </c>
      <c r="G108" s="10">
        <f t="shared" si="27"/>
        <v>-3.7252902984619141E-9</v>
      </c>
      <c r="H108" s="10">
        <f t="shared" si="27"/>
        <v>0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85546875" defaultRowHeight="15" outlineLevelCol="1" x14ac:dyDescent="0.25"/>
  <cols>
    <col min="1" max="2" width="8.85546875" style="39"/>
    <col min="3" max="3" width="38.28515625" style="39" customWidth="1"/>
    <col min="4" max="4" width="16.42578125" style="39" bestFit="1" customWidth="1"/>
    <col min="5" max="5" width="15.140625" style="39" bestFit="1" customWidth="1"/>
    <col min="6" max="6" width="15.7109375" style="39" bestFit="1" customWidth="1"/>
    <col min="7" max="7" width="16.28515625" style="39" bestFit="1" customWidth="1"/>
    <col min="8" max="9" width="16.42578125" style="39" bestFit="1" customWidth="1"/>
    <col min="10" max="10" width="15.140625" style="39" bestFit="1" customWidth="1"/>
    <col min="11" max="11" width="14.7109375" style="39" bestFit="1" customWidth="1"/>
    <col min="12" max="12" width="18.140625" style="39" customWidth="1"/>
    <col min="13" max="14" width="16.42578125" style="39" customWidth="1" outlineLevel="1"/>
    <col min="15" max="15" width="20.7109375" style="39" customWidth="1" outlineLevel="1"/>
    <col min="16" max="16" width="13.7109375" style="39" customWidth="1" outlineLevel="1"/>
    <col min="17" max="17" width="14.7109375" style="39" customWidth="1" outlineLevel="1"/>
    <col min="18" max="18" width="13.7109375" style="39" customWidth="1" outlineLevel="1"/>
    <col min="19" max="16384" width="8.85546875" style="39"/>
  </cols>
  <sheetData>
    <row r="1" spans="1:19" x14ac:dyDescent="0.25">
      <c r="A1" s="39" t="s">
        <v>203</v>
      </c>
    </row>
    <row r="2" spans="1:19" x14ac:dyDescent="0.25">
      <c r="A2" s="39" t="s">
        <v>204</v>
      </c>
    </row>
    <row r="3" spans="1:19" x14ac:dyDescent="0.25">
      <c r="A3" s="39" t="s">
        <v>205</v>
      </c>
    </row>
    <row r="4" spans="1:19" x14ac:dyDescent="0.25">
      <c r="A4" s="39" t="s">
        <v>0</v>
      </c>
    </row>
    <row r="5" spans="1:19" x14ac:dyDescent="0.25">
      <c r="A5" s="39" t="s">
        <v>97</v>
      </c>
    </row>
    <row r="6" spans="1:19" ht="45" x14ac:dyDescent="0.25">
      <c r="A6" s="40" t="s">
        <v>98</v>
      </c>
      <c r="B6" s="40" t="s">
        <v>99</v>
      </c>
      <c r="C6" s="41" t="s">
        <v>100</v>
      </c>
      <c r="D6" s="42" t="s">
        <v>101</v>
      </c>
      <c r="E6" s="42" t="s">
        <v>102</v>
      </c>
      <c r="F6" s="42" t="s">
        <v>103</v>
      </c>
      <c r="G6" s="42" t="s">
        <v>104</v>
      </c>
      <c r="H6" s="42" t="s">
        <v>105</v>
      </c>
      <c r="I6" s="42" t="s">
        <v>106</v>
      </c>
      <c r="J6" s="42" t="s">
        <v>107</v>
      </c>
      <c r="K6" s="42" t="s">
        <v>108</v>
      </c>
      <c r="L6" s="42" t="s">
        <v>109</v>
      </c>
      <c r="M6" s="42" t="s">
        <v>110</v>
      </c>
      <c r="N6" s="42" t="s">
        <v>111</v>
      </c>
      <c r="O6" s="42" t="s">
        <v>112</v>
      </c>
      <c r="P6" s="42" t="s">
        <v>113</v>
      </c>
      <c r="Q6" s="42" t="s">
        <v>114</v>
      </c>
      <c r="R6" s="42" t="s">
        <v>115</v>
      </c>
      <c r="S6" s="41"/>
    </row>
    <row r="7" spans="1:19" x14ac:dyDescent="0.25">
      <c r="A7" s="39" t="s">
        <v>116</v>
      </c>
      <c r="B7" s="13" t="s">
        <v>117</v>
      </c>
      <c r="C7" s="13" t="s">
        <v>118</v>
      </c>
      <c r="D7" s="13">
        <v>3550935499</v>
      </c>
      <c r="E7" s="13">
        <v>276485948</v>
      </c>
      <c r="F7" s="13">
        <v>-90263627</v>
      </c>
      <c r="G7" s="13">
        <v>0</v>
      </c>
      <c r="H7" s="13">
        <v>3737157820</v>
      </c>
      <c r="I7" s="13">
        <v>1246997165</v>
      </c>
      <c r="J7" s="13">
        <v>96770082</v>
      </c>
      <c r="K7" s="13">
        <v>-32192983</v>
      </c>
      <c r="L7" s="13">
        <v>1311574264</v>
      </c>
      <c r="M7" s="13">
        <v>1242827425</v>
      </c>
      <c r="N7" s="13">
        <v>1308005237</v>
      </c>
      <c r="O7" s="13">
        <v>315144</v>
      </c>
      <c r="P7" s="13">
        <v>-4484885</v>
      </c>
      <c r="Q7" s="13">
        <v>296376</v>
      </c>
      <c r="R7" s="13">
        <v>-3865403</v>
      </c>
    </row>
    <row r="8" spans="1:19" x14ac:dyDescent="0.25">
      <c r="A8" s="39" t="s">
        <v>119</v>
      </c>
      <c r="B8" s="13" t="s">
        <v>117</v>
      </c>
      <c r="C8" s="13" t="s">
        <v>118</v>
      </c>
      <c r="D8" s="13">
        <v>1387768844</v>
      </c>
      <c r="E8" s="13">
        <v>145656522</v>
      </c>
      <c r="F8" s="13">
        <v>-26685628</v>
      </c>
      <c r="G8" s="13">
        <v>0</v>
      </c>
      <c r="H8" s="13">
        <v>1506739739</v>
      </c>
      <c r="I8" s="13">
        <v>486078345</v>
      </c>
      <c r="J8" s="13">
        <v>50979783</v>
      </c>
      <c r="K8" s="13">
        <v>-9416422</v>
      </c>
      <c r="L8" s="13">
        <v>527641705</v>
      </c>
      <c r="M8" s="13">
        <v>485719095</v>
      </c>
      <c r="N8" s="13">
        <v>527358909</v>
      </c>
      <c r="O8" s="13">
        <v>1</v>
      </c>
      <c r="P8" s="13">
        <v>-359251</v>
      </c>
      <c r="Q8" s="13">
        <v>1</v>
      </c>
      <c r="R8" s="13">
        <v>-282798</v>
      </c>
    </row>
    <row r="9" spans="1:19" x14ac:dyDescent="0.25">
      <c r="A9" s="39" t="s">
        <v>116</v>
      </c>
      <c r="B9" s="13" t="s">
        <v>117</v>
      </c>
      <c r="C9" s="13" t="s">
        <v>120</v>
      </c>
      <c r="D9" s="13">
        <v>307404879</v>
      </c>
      <c r="E9" s="13">
        <v>61352813</v>
      </c>
      <c r="F9" s="13">
        <v>-15686732</v>
      </c>
      <c r="G9" s="13">
        <v>-5447</v>
      </c>
      <c r="H9" s="13">
        <v>353065512</v>
      </c>
      <c r="I9" s="13">
        <v>107533665</v>
      </c>
      <c r="J9" s="13">
        <v>21734527</v>
      </c>
      <c r="K9" s="13">
        <v>-5751399</v>
      </c>
      <c r="L9" s="13">
        <v>123516793</v>
      </c>
      <c r="M9" s="13">
        <v>107591708</v>
      </c>
      <c r="N9" s="13">
        <v>123572929</v>
      </c>
      <c r="O9" s="13">
        <v>58043</v>
      </c>
      <c r="P9" s="13">
        <v>0</v>
      </c>
      <c r="Q9" s="13">
        <v>56136</v>
      </c>
      <c r="R9" s="13">
        <v>0</v>
      </c>
    </row>
    <row r="10" spans="1:19" x14ac:dyDescent="0.25">
      <c r="A10" s="39" t="s">
        <v>119</v>
      </c>
      <c r="B10" s="13" t="s">
        <v>117</v>
      </c>
      <c r="C10" s="13" t="s">
        <v>120</v>
      </c>
      <c r="D10" s="13">
        <v>305179773</v>
      </c>
      <c r="E10" s="13">
        <v>29255990</v>
      </c>
      <c r="F10" s="13">
        <v>-10411265</v>
      </c>
      <c r="G10" s="13">
        <v>0</v>
      </c>
      <c r="H10" s="13">
        <v>324024498</v>
      </c>
      <c r="I10" s="13">
        <v>106812920</v>
      </c>
      <c r="J10" s="13">
        <v>10380426</v>
      </c>
      <c r="K10" s="13">
        <v>-3784772</v>
      </c>
      <c r="L10" s="13">
        <v>113408574</v>
      </c>
      <c r="M10" s="13">
        <v>106812920</v>
      </c>
      <c r="N10" s="13">
        <v>113408574</v>
      </c>
      <c r="O10" s="13">
        <v>0</v>
      </c>
      <c r="P10" s="13">
        <v>0</v>
      </c>
      <c r="Q10" s="13">
        <v>0</v>
      </c>
      <c r="R10" s="13">
        <v>0</v>
      </c>
    </row>
    <row r="11" spans="1:19" x14ac:dyDescent="0.25">
      <c r="A11" s="39" t="s">
        <v>121</v>
      </c>
      <c r="B11" s="13" t="s">
        <v>117</v>
      </c>
      <c r="C11" s="13" t="s">
        <v>118</v>
      </c>
      <c r="D11" s="13">
        <v>107612980</v>
      </c>
      <c r="E11" s="13">
        <v>92191853</v>
      </c>
      <c r="F11" s="13">
        <v>-26148314</v>
      </c>
      <c r="G11" s="13">
        <v>0</v>
      </c>
      <c r="H11" s="13">
        <v>173656519</v>
      </c>
      <c r="I11" s="13">
        <v>37674707</v>
      </c>
      <c r="J11" s="13">
        <v>32267148</v>
      </c>
      <c r="K11" s="13">
        <v>-9156039</v>
      </c>
      <c r="L11" s="13">
        <v>60785817</v>
      </c>
      <c r="M11" s="13">
        <v>37664543</v>
      </c>
      <c r="N11" s="13">
        <v>60779782</v>
      </c>
      <c r="O11" s="13">
        <v>2969</v>
      </c>
      <c r="P11" s="13">
        <v>-13133</v>
      </c>
      <c r="Q11" s="13">
        <v>28</v>
      </c>
      <c r="R11" s="13">
        <v>-6063</v>
      </c>
    </row>
    <row r="12" spans="1:19" x14ac:dyDescent="0.25">
      <c r="A12" s="39" t="s">
        <v>116</v>
      </c>
      <c r="B12" s="13" t="s">
        <v>117</v>
      </c>
      <c r="C12" s="13" t="s">
        <v>122</v>
      </c>
      <c r="D12" s="13">
        <v>98772871</v>
      </c>
      <c r="E12" s="13">
        <v>0</v>
      </c>
      <c r="F12" s="13">
        <v>-2833493</v>
      </c>
      <c r="G12" s="13">
        <v>0</v>
      </c>
      <c r="H12" s="13">
        <v>95939378</v>
      </c>
      <c r="I12" s="13">
        <v>34570505</v>
      </c>
      <c r="J12" s="13">
        <v>0</v>
      </c>
      <c r="K12" s="13">
        <v>-991723</v>
      </c>
      <c r="L12" s="13">
        <v>33578782</v>
      </c>
      <c r="M12" s="13">
        <v>34570505</v>
      </c>
      <c r="N12" s="13">
        <v>33578782</v>
      </c>
      <c r="O12" s="13">
        <v>0</v>
      </c>
      <c r="P12" s="13">
        <v>0</v>
      </c>
      <c r="Q12" s="13">
        <v>0</v>
      </c>
      <c r="R12" s="13">
        <v>0</v>
      </c>
    </row>
    <row r="13" spans="1:19" x14ac:dyDescent="0.25">
      <c r="A13" s="39" t="s">
        <v>116</v>
      </c>
      <c r="B13" s="13" t="s">
        <v>117</v>
      </c>
      <c r="C13" s="13" t="s">
        <v>123</v>
      </c>
      <c r="D13" s="13">
        <v>97932802</v>
      </c>
      <c r="E13" s="13">
        <v>0</v>
      </c>
      <c r="F13" s="13">
        <v>-12884746</v>
      </c>
      <c r="G13" s="13">
        <v>0</v>
      </c>
      <c r="H13" s="13">
        <v>85048056</v>
      </c>
      <c r="I13" s="13">
        <v>34276481</v>
      </c>
      <c r="J13" s="13">
        <v>0</v>
      </c>
      <c r="K13" s="13">
        <v>-4509661</v>
      </c>
      <c r="L13" s="13">
        <v>29766820</v>
      </c>
      <c r="M13" s="13">
        <v>34276481</v>
      </c>
      <c r="N13" s="13">
        <v>29766820</v>
      </c>
      <c r="O13" s="13">
        <v>0</v>
      </c>
      <c r="P13" s="13">
        <v>0</v>
      </c>
      <c r="Q13" s="13">
        <v>0</v>
      </c>
      <c r="R13" s="13">
        <v>0</v>
      </c>
    </row>
    <row r="14" spans="1:19" x14ac:dyDescent="0.25">
      <c r="A14" s="39" t="s">
        <v>116</v>
      </c>
      <c r="B14" s="13" t="s">
        <v>117</v>
      </c>
      <c r="C14" s="13" t="s">
        <v>124</v>
      </c>
      <c r="D14" s="13">
        <v>50701804</v>
      </c>
      <c r="E14" s="13">
        <v>0</v>
      </c>
      <c r="F14" s="13">
        <v>-1831158</v>
      </c>
      <c r="G14" s="13">
        <v>0</v>
      </c>
      <c r="H14" s="13">
        <v>48870646</v>
      </c>
      <c r="I14" s="13">
        <v>17745632</v>
      </c>
      <c r="J14" s="13">
        <v>0</v>
      </c>
      <c r="K14" s="13">
        <v>-640905</v>
      </c>
      <c r="L14" s="13">
        <v>17104726</v>
      </c>
      <c r="M14" s="13">
        <v>17745631</v>
      </c>
      <c r="N14" s="13">
        <v>17104726</v>
      </c>
      <c r="O14" s="13">
        <v>0</v>
      </c>
      <c r="P14" s="13">
        <v>0</v>
      </c>
      <c r="Q14" s="13">
        <v>0</v>
      </c>
      <c r="R14" s="13">
        <v>0</v>
      </c>
    </row>
    <row r="15" spans="1:19" x14ac:dyDescent="0.25">
      <c r="A15" s="39" t="s">
        <v>121</v>
      </c>
      <c r="B15" s="13" t="s">
        <v>117</v>
      </c>
      <c r="C15" s="13" t="s">
        <v>126</v>
      </c>
      <c r="D15" s="13">
        <v>23070003</v>
      </c>
      <c r="E15" s="13">
        <v>3668339</v>
      </c>
      <c r="F15" s="13">
        <v>-1728749</v>
      </c>
      <c r="G15" s="13">
        <v>0</v>
      </c>
      <c r="H15" s="13">
        <v>25009592</v>
      </c>
      <c r="I15" s="13">
        <v>8074501</v>
      </c>
      <c r="J15" s="13">
        <v>1351493</v>
      </c>
      <c r="K15" s="13">
        <v>-672637</v>
      </c>
      <c r="L15" s="13">
        <v>8753357</v>
      </c>
      <c r="M15" s="13">
        <v>8074501</v>
      </c>
      <c r="N15" s="13">
        <v>8753357</v>
      </c>
      <c r="O15" s="13">
        <v>0</v>
      </c>
      <c r="P15" s="13">
        <v>0</v>
      </c>
      <c r="Q15" s="13">
        <v>0</v>
      </c>
      <c r="R15" s="13">
        <v>0</v>
      </c>
    </row>
    <row r="16" spans="1:19" x14ac:dyDescent="0.25">
      <c r="A16" s="39" t="s">
        <v>116</v>
      </c>
      <c r="B16" s="13" t="s">
        <v>117</v>
      </c>
      <c r="C16" s="13" t="s">
        <v>125</v>
      </c>
      <c r="D16" s="13">
        <v>29493687</v>
      </c>
      <c r="E16" s="13">
        <v>0</v>
      </c>
      <c r="F16" s="13">
        <v>-5756235</v>
      </c>
      <c r="G16" s="13">
        <v>0</v>
      </c>
      <c r="H16" s="13">
        <v>23737452</v>
      </c>
      <c r="I16" s="13">
        <v>10322790</v>
      </c>
      <c r="J16" s="13">
        <v>0</v>
      </c>
      <c r="K16" s="13">
        <v>-2014682</v>
      </c>
      <c r="L16" s="13">
        <v>8308108</v>
      </c>
      <c r="M16" s="13">
        <v>10322790</v>
      </c>
      <c r="N16" s="13">
        <v>8308108</v>
      </c>
      <c r="O16" s="13">
        <v>0</v>
      </c>
      <c r="P16" s="13">
        <v>0</v>
      </c>
      <c r="Q16" s="13">
        <v>0</v>
      </c>
      <c r="R16" s="13">
        <v>0</v>
      </c>
    </row>
    <row r="17" spans="1:18" x14ac:dyDescent="0.25">
      <c r="A17" s="39" t="s">
        <v>119</v>
      </c>
      <c r="B17" s="13" t="s">
        <v>117</v>
      </c>
      <c r="C17" s="13" t="s">
        <v>127</v>
      </c>
      <c r="D17" s="13">
        <v>16811400</v>
      </c>
      <c r="E17" s="13">
        <v>0</v>
      </c>
      <c r="F17" s="13">
        <v>-765705</v>
      </c>
      <c r="G17" s="13">
        <v>0</v>
      </c>
      <c r="H17" s="13">
        <v>16045695</v>
      </c>
      <c r="I17" s="13">
        <v>5883990</v>
      </c>
      <c r="J17" s="13">
        <v>0</v>
      </c>
      <c r="K17" s="13">
        <v>-267997</v>
      </c>
      <c r="L17" s="13">
        <v>5615993</v>
      </c>
      <c r="M17" s="13">
        <v>5883990</v>
      </c>
      <c r="N17" s="13">
        <v>5615993</v>
      </c>
      <c r="O17" s="13">
        <v>0</v>
      </c>
      <c r="P17" s="13">
        <v>0</v>
      </c>
      <c r="Q17" s="13">
        <v>0</v>
      </c>
      <c r="R17" s="13">
        <v>0</v>
      </c>
    </row>
    <row r="18" spans="1:18" x14ac:dyDescent="0.25">
      <c r="A18" s="39" t="s">
        <v>119</v>
      </c>
      <c r="B18" s="13" t="s">
        <v>117</v>
      </c>
      <c r="C18" s="13" t="s">
        <v>125</v>
      </c>
      <c r="D18" s="13">
        <v>16697264</v>
      </c>
      <c r="E18" s="13">
        <v>0</v>
      </c>
      <c r="F18" s="13">
        <v>-3852591</v>
      </c>
      <c r="G18" s="13">
        <v>0</v>
      </c>
      <c r="H18" s="13">
        <v>12844673</v>
      </c>
      <c r="I18" s="13">
        <v>5844043</v>
      </c>
      <c r="J18" s="13">
        <v>0</v>
      </c>
      <c r="K18" s="13">
        <v>-1348407</v>
      </c>
      <c r="L18" s="13">
        <v>4495636</v>
      </c>
      <c r="M18" s="13">
        <v>5844043</v>
      </c>
      <c r="N18" s="13">
        <v>4495636</v>
      </c>
      <c r="O18" s="13">
        <v>0</v>
      </c>
      <c r="P18" s="13">
        <v>0</v>
      </c>
      <c r="Q18" s="13">
        <v>0</v>
      </c>
      <c r="R18" s="13">
        <v>0</v>
      </c>
    </row>
    <row r="19" spans="1:18" x14ac:dyDescent="0.25">
      <c r="A19" s="39" t="s">
        <v>116</v>
      </c>
      <c r="B19" s="13" t="s">
        <v>117</v>
      </c>
      <c r="C19" s="13" t="s">
        <v>128</v>
      </c>
      <c r="D19" s="13">
        <v>3690462</v>
      </c>
      <c r="E19" s="13">
        <v>0</v>
      </c>
      <c r="F19" s="13">
        <v>-397854</v>
      </c>
      <c r="G19" s="13">
        <v>0</v>
      </c>
      <c r="H19" s="13">
        <v>3292608</v>
      </c>
      <c r="I19" s="13">
        <v>1291662</v>
      </c>
      <c r="J19" s="13">
        <v>0</v>
      </c>
      <c r="K19" s="13">
        <v>-139249</v>
      </c>
      <c r="L19" s="13">
        <v>1152413</v>
      </c>
      <c r="M19" s="13">
        <v>1291662</v>
      </c>
      <c r="N19" s="13">
        <v>1152413</v>
      </c>
      <c r="O19" s="13">
        <v>0</v>
      </c>
      <c r="P19" s="13">
        <v>0</v>
      </c>
      <c r="Q19" s="13">
        <v>0</v>
      </c>
      <c r="R19" s="13">
        <v>0</v>
      </c>
    </row>
    <row r="20" spans="1:18" x14ac:dyDescent="0.25">
      <c r="A20" s="39" t="s">
        <v>121</v>
      </c>
      <c r="B20" s="13" t="s">
        <v>117</v>
      </c>
      <c r="C20" s="13" t="s">
        <v>129</v>
      </c>
      <c r="D20" s="13">
        <v>3498298</v>
      </c>
      <c r="E20" s="13">
        <v>-174484</v>
      </c>
      <c r="F20" s="13">
        <v>-156563</v>
      </c>
      <c r="G20" s="13">
        <v>0</v>
      </c>
      <c r="H20" s="13">
        <v>3167250</v>
      </c>
      <c r="I20" s="13">
        <v>1224404</v>
      </c>
      <c r="J20" s="13">
        <v>-61069</v>
      </c>
      <c r="K20" s="13">
        <v>-54797</v>
      </c>
      <c r="L20" s="13">
        <v>1108538</v>
      </c>
      <c r="M20" s="13">
        <v>1224404</v>
      </c>
      <c r="N20" s="13">
        <v>1108538</v>
      </c>
      <c r="O20" s="13">
        <v>0</v>
      </c>
      <c r="P20" s="13">
        <v>0</v>
      </c>
      <c r="Q20" s="13">
        <v>0</v>
      </c>
      <c r="R20" s="13">
        <v>0</v>
      </c>
    </row>
    <row r="21" spans="1:18" x14ac:dyDescent="0.25">
      <c r="A21" s="39" t="s">
        <v>116</v>
      </c>
      <c r="B21" s="13" t="s">
        <v>117</v>
      </c>
      <c r="C21" s="13" t="s">
        <v>130</v>
      </c>
      <c r="D21" s="13">
        <v>3048128</v>
      </c>
      <c r="E21" s="13">
        <v>0</v>
      </c>
      <c r="F21" s="13">
        <v>-85586</v>
      </c>
      <c r="G21" s="13">
        <v>0</v>
      </c>
      <c r="H21" s="13">
        <v>2962541</v>
      </c>
      <c r="I21" s="13">
        <v>1066845</v>
      </c>
      <c r="J21" s="13">
        <v>0</v>
      </c>
      <c r="K21" s="13">
        <v>-29955</v>
      </c>
      <c r="L21" s="13">
        <v>1036889</v>
      </c>
      <c r="M21" s="13">
        <v>1066845</v>
      </c>
      <c r="N21" s="13">
        <v>1036889</v>
      </c>
      <c r="O21" s="13">
        <v>0</v>
      </c>
      <c r="P21" s="13">
        <v>0</v>
      </c>
      <c r="Q21" s="13">
        <v>0</v>
      </c>
      <c r="R21" s="13">
        <v>0</v>
      </c>
    </row>
    <row r="22" spans="1:18" x14ac:dyDescent="0.25">
      <c r="A22" s="39" t="s">
        <v>116</v>
      </c>
      <c r="B22" s="13" t="s">
        <v>117</v>
      </c>
      <c r="C22" s="13" t="s">
        <v>131</v>
      </c>
      <c r="D22" s="13">
        <v>2288069</v>
      </c>
      <c r="E22" s="13">
        <v>519667</v>
      </c>
      <c r="F22" s="13">
        <v>-86300</v>
      </c>
      <c r="G22" s="13">
        <v>0</v>
      </c>
      <c r="H22" s="13">
        <v>2721436</v>
      </c>
      <c r="I22" s="13">
        <v>800824</v>
      </c>
      <c r="J22" s="13">
        <v>184284</v>
      </c>
      <c r="K22" s="13">
        <v>-32605</v>
      </c>
      <c r="L22" s="13">
        <v>952503</v>
      </c>
      <c r="M22" s="13">
        <v>800824</v>
      </c>
      <c r="N22" s="13">
        <v>952503</v>
      </c>
      <c r="O22" s="13">
        <v>0</v>
      </c>
      <c r="P22" s="13">
        <v>0</v>
      </c>
      <c r="Q22" s="13">
        <v>0</v>
      </c>
      <c r="R22" s="13">
        <v>0</v>
      </c>
    </row>
    <row r="23" spans="1:18" x14ac:dyDescent="0.25">
      <c r="A23" s="39" t="s">
        <v>119</v>
      </c>
      <c r="B23" s="13" t="s">
        <v>117</v>
      </c>
      <c r="C23" s="13" t="s">
        <v>131</v>
      </c>
      <c r="D23" s="13">
        <v>1457202</v>
      </c>
      <c r="E23" s="13">
        <v>381722</v>
      </c>
      <c r="F23" s="13">
        <v>-46987</v>
      </c>
      <c r="G23" s="13">
        <v>0</v>
      </c>
      <c r="H23" s="13">
        <v>1791938</v>
      </c>
      <c r="I23" s="13">
        <v>510021</v>
      </c>
      <c r="J23" s="13">
        <v>135440</v>
      </c>
      <c r="K23" s="13">
        <v>-18283</v>
      </c>
      <c r="L23" s="13">
        <v>627178</v>
      </c>
      <c r="M23" s="13">
        <v>510021</v>
      </c>
      <c r="N23" s="13">
        <v>627178</v>
      </c>
      <c r="O23" s="13">
        <v>0</v>
      </c>
      <c r="P23" s="13">
        <v>0</v>
      </c>
      <c r="Q23" s="13">
        <v>0</v>
      </c>
      <c r="R23" s="13">
        <v>0</v>
      </c>
    </row>
    <row r="24" spans="1:18" x14ac:dyDescent="0.25">
      <c r="A24" s="39" t="s">
        <v>121</v>
      </c>
      <c r="B24" s="13" t="s">
        <v>117</v>
      </c>
      <c r="C24" s="13" t="s">
        <v>132</v>
      </c>
      <c r="D24" s="13">
        <v>537118</v>
      </c>
      <c r="E24" s="13">
        <v>0</v>
      </c>
      <c r="F24" s="13">
        <v>-1322</v>
      </c>
      <c r="G24" s="13">
        <v>0</v>
      </c>
      <c r="H24" s="13">
        <v>535796</v>
      </c>
      <c r="I24" s="13">
        <v>187991</v>
      </c>
      <c r="J24" s="13">
        <v>0</v>
      </c>
      <c r="K24" s="13">
        <v>-463</v>
      </c>
      <c r="L24" s="13">
        <v>187529</v>
      </c>
      <c r="M24" s="13">
        <v>187991</v>
      </c>
      <c r="N24" s="13">
        <v>187529</v>
      </c>
      <c r="O24" s="13">
        <v>0</v>
      </c>
      <c r="P24" s="13">
        <v>0</v>
      </c>
      <c r="Q24" s="13">
        <v>0</v>
      </c>
      <c r="R24" s="13">
        <v>0</v>
      </c>
    </row>
    <row r="25" spans="1:18" x14ac:dyDescent="0.25">
      <c r="A25" s="39" t="s">
        <v>116</v>
      </c>
      <c r="B25" s="13" t="s">
        <v>117</v>
      </c>
      <c r="C25" s="13" t="s">
        <v>118</v>
      </c>
      <c r="D25" s="13">
        <v>310339</v>
      </c>
      <c r="E25" s="13">
        <v>109097</v>
      </c>
      <c r="F25" s="13">
        <v>-2514</v>
      </c>
      <c r="G25" s="13">
        <v>0</v>
      </c>
      <c r="H25" s="13">
        <v>416922</v>
      </c>
      <c r="I25" s="13">
        <v>108619</v>
      </c>
      <c r="J25" s="13">
        <v>38184</v>
      </c>
      <c r="K25" s="13">
        <v>-880</v>
      </c>
      <c r="L25" s="13">
        <v>145923</v>
      </c>
      <c r="M25" s="13">
        <v>108619</v>
      </c>
      <c r="N25" s="13">
        <v>145923</v>
      </c>
      <c r="O25" s="13">
        <v>0</v>
      </c>
      <c r="P25" s="13">
        <v>0</v>
      </c>
      <c r="Q25" s="13">
        <v>0</v>
      </c>
      <c r="R25" s="13">
        <v>0</v>
      </c>
    </row>
    <row r="26" spans="1:18" x14ac:dyDescent="0.25">
      <c r="A26" s="39" t="s">
        <v>119</v>
      </c>
      <c r="B26" s="13" t="s">
        <v>117</v>
      </c>
      <c r="C26" s="13" t="s">
        <v>133</v>
      </c>
      <c r="D26" s="13">
        <v>359322</v>
      </c>
      <c r="E26" s="13">
        <v>0</v>
      </c>
      <c r="F26" s="13">
        <v>-22810</v>
      </c>
      <c r="G26" s="13">
        <v>0</v>
      </c>
      <c r="H26" s="13">
        <v>336512</v>
      </c>
      <c r="I26" s="13">
        <v>125763</v>
      </c>
      <c r="J26" s="13">
        <v>0</v>
      </c>
      <c r="K26" s="13">
        <v>-7984</v>
      </c>
      <c r="L26" s="13">
        <v>117779</v>
      </c>
      <c r="M26" s="13">
        <v>125763</v>
      </c>
      <c r="N26" s="13">
        <v>117779</v>
      </c>
      <c r="O26" s="13">
        <v>0</v>
      </c>
      <c r="P26" s="13">
        <v>0</v>
      </c>
      <c r="Q26" s="13">
        <v>0</v>
      </c>
      <c r="R26" s="13">
        <v>0</v>
      </c>
    </row>
    <row r="27" spans="1:18" x14ac:dyDescent="0.25">
      <c r="A27" s="39" t="s">
        <v>119</v>
      </c>
      <c r="B27" s="13" t="s">
        <v>117</v>
      </c>
      <c r="C27" s="13" t="s">
        <v>134</v>
      </c>
      <c r="D27" s="13">
        <v>356401</v>
      </c>
      <c r="E27" s="13">
        <v>0</v>
      </c>
      <c r="F27" s="13">
        <v>-23096</v>
      </c>
      <c r="G27" s="13">
        <v>0</v>
      </c>
      <c r="H27" s="13">
        <v>333306</v>
      </c>
      <c r="I27" s="13">
        <v>124740</v>
      </c>
      <c r="J27" s="13">
        <v>0</v>
      </c>
      <c r="K27" s="13">
        <v>-8083</v>
      </c>
      <c r="L27" s="13">
        <v>116657</v>
      </c>
      <c r="M27" s="13">
        <v>124740</v>
      </c>
      <c r="N27" s="13">
        <v>116657</v>
      </c>
      <c r="O27" s="13">
        <v>0</v>
      </c>
      <c r="P27" s="13">
        <v>0</v>
      </c>
      <c r="Q27" s="13">
        <v>0</v>
      </c>
      <c r="R27" s="13">
        <v>0</v>
      </c>
    </row>
    <row r="28" spans="1:18" x14ac:dyDescent="0.25">
      <c r="A28" s="39" t="s">
        <v>119</v>
      </c>
      <c r="B28" s="13" t="s">
        <v>117</v>
      </c>
      <c r="C28" s="13" t="s">
        <v>128</v>
      </c>
      <c r="D28" s="13">
        <v>98528</v>
      </c>
      <c r="E28" s="13">
        <v>0</v>
      </c>
      <c r="F28" s="13">
        <v>-24418</v>
      </c>
      <c r="G28" s="13">
        <v>0</v>
      </c>
      <c r="H28" s="13">
        <v>74110</v>
      </c>
      <c r="I28" s="13">
        <v>34485</v>
      </c>
      <c r="J28" s="13">
        <v>0</v>
      </c>
      <c r="K28" s="13">
        <v>-8546</v>
      </c>
      <c r="L28" s="13">
        <v>25938</v>
      </c>
      <c r="M28" s="13">
        <v>34485</v>
      </c>
      <c r="N28" s="13">
        <v>25938</v>
      </c>
      <c r="O28" s="13">
        <v>0</v>
      </c>
      <c r="P28" s="13">
        <v>0</v>
      </c>
      <c r="Q28" s="13">
        <v>0</v>
      </c>
      <c r="R28" s="13">
        <v>0</v>
      </c>
    </row>
    <row r="29" spans="1:18" x14ac:dyDescent="0.25">
      <c r="A29" s="39" t="s">
        <v>121</v>
      </c>
      <c r="B29" s="13" t="s">
        <v>117</v>
      </c>
      <c r="C29" s="13" t="s">
        <v>135</v>
      </c>
      <c r="D29" s="13">
        <v>115945</v>
      </c>
      <c r="E29" s="13">
        <v>0</v>
      </c>
      <c r="F29" s="13">
        <v>-61447</v>
      </c>
      <c r="G29" s="13">
        <v>0</v>
      </c>
      <c r="H29" s="13">
        <v>54499</v>
      </c>
      <c r="I29" s="13">
        <v>40581</v>
      </c>
      <c r="J29" s="13">
        <v>0</v>
      </c>
      <c r="K29" s="13">
        <v>-21506</v>
      </c>
      <c r="L29" s="13">
        <v>19075</v>
      </c>
      <c r="M29" s="13">
        <v>40581</v>
      </c>
      <c r="N29" s="13">
        <v>19075</v>
      </c>
      <c r="O29" s="13">
        <v>0</v>
      </c>
      <c r="P29" s="13">
        <v>0</v>
      </c>
      <c r="Q29" s="13">
        <v>0</v>
      </c>
      <c r="R29" s="13">
        <v>0</v>
      </c>
    </row>
    <row r="30" spans="1:18" x14ac:dyDescent="0.25">
      <c r="A30" s="39" t="s">
        <v>119</v>
      </c>
      <c r="B30" s="13" t="s">
        <v>117</v>
      </c>
      <c r="C30" s="13" t="s">
        <v>132</v>
      </c>
      <c r="D30" s="13">
        <v>27908</v>
      </c>
      <c r="E30" s="13">
        <v>0</v>
      </c>
      <c r="F30" s="13">
        <v>13123</v>
      </c>
      <c r="G30" s="13">
        <v>0</v>
      </c>
      <c r="H30" s="13">
        <v>41031</v>
      </c>
      <c r="I30" s="13">
        <v>9768</v>
      </c>
      <c r="J30" s="13">
        <v>0</v>
      </c>
      <c r="K30" s="13">
        <v>4593</v>
      </c>
      <c r="L30" s="13">
        <v>14361</v>
      </c>
      <c r="M30" s="13">
        <v>9768</v>
      </c>
      <c r="N30" s="13">
        <v>14361</v>
      </c>
      <c r="O30" s="13">
        <v>0</v>
      </c>
      <c r="P30" s="13">
        <v>0</v>
      </c>
      <c r="Q30" s="13">
        <v>0</v>
      </c>
      <c r="R30" s="13">
        <v>0</v>
      </c>
    </row>
    <row r="31" spans="1:18" x14ac:dyDescent="0.25">
      <c r="A31" s="39" t="s">
        <v>116</v>
      </c>
      <c r="B31" s="13" t="s">
        <v>117</v>
      </c>
      <c r="C31" s="13" t="s">
        <v>122</v>
      </c>
      <c r="D31" s="13">
        <v>5302</v>
      </c>
      <c r="E31" s="13">
        <v>0</v>
      </c>
      <c r="F31" s="13">
        <v>-574</v>
      </c>
      <c r="G31" s="13">
        <v>0</v>
      </c>
      <c r="H31" s="13">
        <v>4729</v>
      </c>
      <c r="I31" s="13">
        <v>1856</v>
      </c>
      <c r="J31" s="13">
        <v>0</v>
      </c>
      <c r="K31" s="13">
        <v>-201</v>
      </c>
      <c r="L31" s="13">
        <v>1655</v>
      </c>
      <c r="M31" s="13">
        <v>1856</v>
      </c>
      <c r="N31" s="13">
        <v>1655</v>
      </c>
      <c r="O31" s="13">
        <v>0</v>
      </c>
      <c r="P31" s="13">
        <v>0</v>
      </c>
      <c r="Q31" s="13">
        <v>0</v>
      </c>
      <c r="R31" s="13">
        <v>0</v>
      </c>
    </row>
    <row r="32" spans="1:18" x14ac:dyDescent="0.25">
      <c r="A32" s="39" t="s">
        <v>121</v>
      </c>
      <c r="B32" s="13" t="s">
        <v>117</v>
      </c>
      <c r="C32" s="13" t="s">
        <v>136</v>
      </c>
      <c r="D32" s="13">
        <v>5</v>
      </c>
      <c r="E32" s="13">
        <v>0</v>
      </c>
      <c r="F32" s="13">
        <v>-5</v>
      </c>
      <c r="G32" s="13">
        <v>0</v>
      </c>
      <c r="H32" s="13">
        <v>0</v>
      </c>
      <c r="I32" s="13">
        <v>2</v>
      </c>
      <c r="J32" s="13">
        <v>0</v>
      </c>
      <c r="K32" s="13">
        <v>-2</v>
      </c>
      <c r="L32" s="13">
        <v>0</v>
      </c>
      <c r="M32" s="13">
        <v>2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x14ac:dyDescent="0.25">
      <c r="A33" s="39" t="s">
        <v>116</v>
      </c>
      <c r="B33" s="13" t="s">
        <v>117</v>
      </c>
      <c r="C33" s="13" t="s">
        <v>136</v>
      </c>
      <c r="D33" s="13">
        <v>-2672</v>
      </c>
      <c r="E33" s="13">
        <v>0</v>
      </c>
      <c r="F33" s="13">
        <v>-26</v>
      </c>
      <c r="G33" s="13">
        <v>0</v>
      </c>
      <c r="H33" s="13">
        <v>-2699</v>
      </c>
      <c r="I33" s="13">
        <v>-935</v>
      </c>
      <c r="J33" s="13">
        <v>0</v>
      </c>
      <c r="K33" s="13">
        <v>-9</v>
      </c>
      <c r="L33" s="13">
        <v>-945</v>
      </c>
      <c r="M33" s="13">
        <v>-935</v>
      </c>
      <c r="N33" s="13">
        <v>-945</v>
      </c>
      <c r="O33" s="13">
        <v>0</v>
      </c>
      <c r="P33" s="13">
        <v>0</v>
      </c>
      <c r="Q33" s="13">
        <v>0</v>
      </c>
      <c r="R33" s="13">
        <v>0</v>
      </c>
    </row>
    <row r="34" spans="1:18" x14ac:dyDescent="0.25">
      <c r="A34" s="39" t="s">
        <v>119</v>
      </c>
      <c r="B34" s="13" t="s">
        <v>117</v>
      </c>
      <c r="C34" s="13" t="s">
        <v>137</v>
      </c>
      <c r="D34" s="13">
        <v>-9931</v>
      </c>
      <c r="E34" s="13">
        <v>0</v>
      </c>
      <c r="F34" s="13">
        <v>644</v>
      </c>
      <c r="G34" s="13">
        <v>0</v>
      </c>
      <c r="H34" s="13">
        <v>-9287</v>
      </c>
      <c r="I34" s="13">
        <v>-3476</v>
      </c>
      <c r="J34" s="13">
        <v>0</v>
      </c>
      <c r="K34" s="13">
        <v>225</v>
      </c>
      <c r="L34" s="13">
        <v>-3251</v>
      </c>
      <c r="M34" s="13">
        <v>-3476</v>
      </c>
      <c r="N34" s="13">
        <v>-3251</v>
      </c>
      <c r="O34" s="13">
        <v>0</v>
      </c>
      <c r="P34" s="13">
        <v>0</v>
      </c>
      <c r="Q34" s="13">
        <v>0</v>
      </c>
      <c r="R34" s="13">
        <v>0</v>
      </c>
    </row>
    <row r="35" spans="1:18" x14ac:dyDescent="0.25">
      <c r="A35" s="39" t="s">
        <v>121</v>
      </c>
      <c r="B35" s="13" t="s">
        <v>117</v>
      </c>
      <c r="C35" s="13" t="s">
        <v>138</v>
      </c>
      <c r="D35" s="13">
        <v>-34263</v>
      </c>
      <c r="E35" s="13">
        <v>0</v>
      </c>
      <c r="F35" s="13">
        <v>17822</v>
      </c>
      <c r="G35" s="13">
        <v>0</v>
      </c>
      <c r="H35" s="13">
        <v>-16441</v>
      </c>
      <c r="I35" s="13">
        <v>-11992</v>
      </c>
      <c r="J35" s="13">
        <v>0</v>
      </c>
      <c r="K35" s="13">
        <v>6238</v>
      </c>
      <c r="L35" s="13">
        <v>-5754</v>
      </c>
      <c r="M35" s="13">
        <v>-11992</v>
      </c>
      <c r="N35" s="13">
        <v>-5754</v>
      </c>
      <c r="O35" s="13">
        <v>0</v>
      </c>
      <c r="P35" s="13">
        <v>0</v>
      </c>
      <c r="Q35" s="13">
        <v>0</v>
      </c>
      <c r="R35" s="13">
        <v>0</v>
      </c>
    </row>
    <row r="36" spans="1:18" x14ac:dyDescent="0.25">
      <c r="A36" s="39" t="s">
        <v>121</v>
      </c>
      <c r="B36" s="13" t="s">
        <v>117</v>
      </c>
      <c r="C36" s="13" t="s">
        <v>139</v>
      </c>
      <c r="D36" s="13">
        <v>-59737</v>
      </c>
      <c r="E36" s="13">
        <v>0</v>
      </c>
      <c r="F36" s="13">
        <v>38953</v>
      </c>
      <c r="G36" s="13">
        <v>0</v>
      </c>
      <c r="H36" s="13">
        <v>-20784</v>
      </c>
      <c r="I36" s="13">
        <v>-20908</v>
      </c>
      <c r="J36" s="13">
        <v>0</v>
      </c>
      <c r="K36" s="13">
        <v>13634</v>
      </c>
      <c r="L36" s="13">
        <v>-7275</v>
      </c>
      <c r="M36" s="13">
        <v>-20908</v>
      </c>
      <c r="N36" s="13">
        <v>-7275</v>
      </c>
      <c r="O36" s="13">
        <v>0</v>
      </c>
      <c r="P36" s="13">
        <v>0</v>
      </c>
      <c r="Q36" s="13">
        <v>0</v>
      </c>
      <c r="R36" s="13">
        <v>0</v>
      </c>
    </row>
    <row r="37" spans="1:18" x14ac:dyDescent="0.25">
      <c r="A37" s="39" t="s">
        <v>121</v>
      </c>
      <c r="B37" s="13" t="s">
        <v>117</v>
      </c>
      <c r="C37" s="13" t="s">
        <v>140</v>
      </c>
      <c r="D37" s="13">
        <v>-68625</v>
      </c>
      <c r="E37" s="13">
        <v>0</v>
      </c>
      <c r="F37" s="13">
        <v>28661</v>
      </c>
      <c r="G37" s="13">
        <v>0</v>
      </c>
      <c r="H37" s="13">
        <v>-39964</v>
      </c>
      <c r="I37" s="13">
        <v>-24019</v>
      </c>
      <c r="J37" s="13">
        <v>0</v>
      </c>
      <c r="K37" s="13">
        <v>10032</v>
      </c>
      <c r="L37" s="13">
        <v>-13987</v>
      </c>
      <c r="M37" s="13">
        <v>-24019</v>
      </c>
      <c r="N37" s="13">
        <v>-13987</v>
      </c>
      <c r="O37" s="13">
        <v>0</v>
      </c>
      <c r="P37" s="13">
        <v>0</v>
      </c>
      <c r="Q37" s="13">
        <v>0</v>
      </c>
      <c r="R37" s="13">
        <v>0</v>
      </c>
    </row>
    <row r="38" spans="1:18" x14ac:dyDescent="0.25">
      <c r="A38" s="39" t="s">
        <v>121</v>
      </c>
      <c r="B38" s="13" t="s">
        <v>117</v>
      </c>
      <c r="C38" s="13" t="s">
        <v>141</v>
      </c>
      <c r="D38" s="13">
        <v>-104918</v>
      </c>
      <c r="E38" s="13">
        <v>0</v>
      </c>
      <c r="F38" s="13">
        <v>52857</v>
      </c>
      <c r="G38" s="13">
        <v>0</v>
      </c>
      <c r="H38" s="13">
        <v>-52061</v>
      </c>
      <c r="I38" s="13">
        <v>-36721</v>
      </c>
      <c r="J38" s="13">
        <v>0</v>
      </c>
      <c r="K38" s="13">
        <v>18500</v>
      </c>
      <c r="L38" s="13">
        <v>-18221</v>
      </c>
      <c r="M38" s="13">
        <v>-36721</v>
      </c>
      <c r="N38" s="13">
        <v>-18221</v>
      </c>
      <c r="O38" s="13">
        <v>0</v>
      </c>
      <c r="P38" s="13">
        <v>0</v>
      </c>
      <c r="Q38" s="13">
        <v>0</v>
      </c>
      <c r="R38" s="13">
        <v>0</v>
      </c>
    </row>
    <row r="39" spans="1:18" x14ac:dyDescent="0.25">
      <c r="A39" s="39" t="s">
        <v>119</v>
      </c>
      <c r="B39" s="13" t="s">
        <v>117</v>
      </c>
      <c r="C39" s="13" t="s">
        <v>140</v>
      </c>
      <c r="D39" s="13">
        <v>-164511</v>
      </c>
      <c r="E39" s="13">
        <v>0</v>
      </c>
      <c r="F39" s="13">
        <v>-16448</v>
      </c>
      <c r="G39" s="13">
        <v>0</v>
      </c>
      <c r="H39" s="13">
        <v>-180959</v>
      </c>
      <c r="I39" s="13">
        <v>-57579</v>
      </c>
      <c r="J39" s="13">
        <v>0</v>
      </c>
      <c r="K39" s="13">
        <v>-5757</v>
      </c>
      <c r="L39" s="13">
        <v>-63336</v>
      </c>
      <c r="M39" s="13">
        <v>-57579</v>
      </c>
      <c r="N39" s="13">
        <v>-63336</v>
      </c>
      <c r="O39" s="13">
        <v>0</v>
      </c>
      <c r="P39" s="13">
        <v>0</v>
      </c>
      <c r="Q39" s="13">
        <v>0</v>
      </c>
      <c r="R39" s="13">
        <v>0</v>
      </c>
    </row>
    <row r="40" spans="1:18" x14ac:dyDescent="0.25">
      <c r="A40" s="39" t="s">
        <v>119</v>
      </c>
      <c r="B40" s="13" t="s">
        <v>117</v>
      </c>
      <c r="C40" s="13" t="s">
        <v>142</v>
      </c>
      <c r="D40" s="13">
        <v>-289870</v>
      </c>
      <c r="E40" s="13">
        <v>0</v>
      </c>
      <c r="F40" s="13">
        <v>6403</v>
      </c>
      <c r="G40" s="13">
        <v>0</v>
      </c>
      <c r="H40" s="13">
        <v>-283467</v>
      </c>
      <c r="I40" s="13">
        <v>-101455</v>
      </c>
      <c r="J40" s="13">
        <v>0</v>
      </c>
      <c r="K40" s="13">
        <v>2241</v>
      </c>
      <c r="L40" s="13">
        <v>-99214</v>
      </c>
      <c r="M40" s="13">
        <v>-101455</v>
      </c>
      <c r="N40" s="13">
        <v>-99214</v>
      </c>
      <c r="O40" s="13">
        <v>0</v>
      </c>
      <c r="P40" s="13">
        <v>0</v>
      </c>
      <c r="Q40" s="13">
        <v>0</v>
      </c>
      <c r="R40" s="13">
        <v>0</v>
      </c>
    </row>
    <row r="41" spans="1:18" x14ac:dyDescent="0.25">
      <c r="A41" s="39" t="s">
        <v>116</v>
      </c>
      <c r="B41" s="13" t="s">
        <v>117</v>
      </c>
      <c r="C41" s="13" t="s">
        <v>129</v>
      </c>
      <c r="D41" s="13">
        <v>-237342</v>
      </c>
      <c r="E41" s="13">
        <v>-152549</v>
      </c>
      <c r="F41" s="13">
        <v>0</v>
      </c>
      <c r="G41" s="13">
        <v>0</v>
      </c>
      <c r="H41" s="13">
        <v>-389891</v>
      </c>
      <c r="I41" s="13">
        <v>-83070</v>
      </c>
      <c r="J41" s="13">
        <v>-53392</v>
      </c>
      <c r="K41" s="13">
        <v>0</v>
      </c>
      <c r="L41" s="13">
        <v>-136462</v>
      </c>
      <c r="M41" s="13">
        <v>-83070</v>
      </c>
      <c r="N41" s="13">
        <v>-136462</v>
      </c>
      <c r="O41" s="13">
        <v>0</v>
      </c>
      <c r="P41" s="13">
        <v>0</v>
      </c>
      <c r="Q41" s="13">
        <v>0</v>
      </c>
      <c r="R41" s="13">
        <v>0</v>
      </c>
    </row>
    <row r="42" spans="1:18" x14ac:dyDescent="0.25">
      <c r="A42" s="39" t="s">
        <v>119</v>
      </c>
      <c r="B42" s="13" t="s">
        <v>117</v>
      </c>
      <c r="C42" s="13" t="s">
        <v>143</v>
      </c>
      <c r="D42" s="13">
        <v>-2629079</v>
      </c>
      <c r="E42" s="13">
        <v>0</v>
      </c>
      <c r="F42" s="13">
        <v>134850</v>
      </c>
      <c r="G42" s="13">
        <v>0</v>
      </c>
      <c r="H42" s="13">
        <v>-2494229</v>
      </c>
      <c r="I42" s="13">
        <v>-920178</v>
      </c>
      <c r="J42" s="13">
        <v>0</v>
      </c>
      <c r="K42" s="13">
        <v>47197</v>
      </c>
      <c r="L42" s="13">
        <v>-872980</v>
      </c>
      <c r="M42" s="13">
        <v>-920178</v>
      </c>
      <c r="N42" s="13">
        <v>-872980</v>
      </c>
      <c r="O42" s="13">
        <v>0</v>
      </c>
      <c r="P42" s="13">
        <v>0</v>
      </c>
      <c r="Q42" s="13">
        <v>0</v>
      </c>
      <c r="R42" s="13">
        <v>0</v>
      </c>
    </row>
    <row r="43" spans="1:18" x14ac:dyDescent="0.25">
      <c r="A43" s="39" t="s">
        <v>116</v>
      </c>
      <c r="B43" s="13" t="s">
        <v>117</v>
      </c>
      <c r="C43" s="13" t="s">
        <v>144</v>
      </c>
      <c r="D43" s="13">
        <v>-2981405</v>
      </c>
      <c r="E43" s="13">
        <v>0</v>
      </c>
      <c r="F43" s="13">
        <v>427852</v>
      </c>
      <c r="G43" s="13">
        <v>0</v>
      </c>
      <c r="H43" s="13">
        <v>-2553552</v>
      </c>
      <c r="I43" s="13">
        <v>-1043492</v>
      </c>
      <c r="J43" s="13">
        <v>0</v>
      </c>
      <c r="K43" s="13">
        <v>149748</v>
      </c>
      <c r="L43" s="13">
        <v>-893743</v>
      </c>
      <c r="M43" s="13">
        <v>-1043492</v>
      </c>
      <c r="N43" s="13">
        <v>-893743</v>
      </c>
      <c r="O43" s="13">
        <v>0</v>
      </c>
      <c r="P43" s="13">
        <v>0</v>
      </c>
      <c r="Q43" s="13">
        <v>0</v>
      </c>
      <c r="R43" s="13">
        <v>0</v>
      </c>
    </row>
    <row r="44" spans="1:18" x14ac:dyDescent="0.25">
      <c r="A44" s="39" t="s">
        <v>116</v>
      </c>
      <c r="B44" s="13" t="s">
        <v>117</v>
      </c>
      <c r="C44" s="13" t="s">
        <v>145</v>
      </c>
      <c r="D44" s="13">
        <v>-3986513</v>
      </c>
      <c r="E44" s="13">
        <v>0</v>
      </c>
      <c r="F44" s="13">
        <v>125081</v>
      </c>
      <c r="G44" s="13">
        <v>0</v>
      </c>
      <c r="H44" s="13">
        <v>-3861431</v>
      </c>
      <c r="I44" s="13">
        <v>-1395279</v>
      </c>
      <c r="J44" s="13">
        <v>0</v>
      </c>
      <c r="K44" s="13">
        <v>43778</v>
      </c>
      <c r="L44" s="13">
        <v>-1351501</v>
      </c>
      <c r="M44" s="13">
        <v>-1395279</v>
      </c>
      <c r="N44" s="13">
        <v>-1351501</v>
      </c>
      <c r="O44" s="13">
        <v>0</v>
      </c>
      <c r="P44" s="13">
        <v>0</v>
      </c>
      <c r="Q44" s="13">
        <v>0</v>
      </c>
      <c r="R44" s="13">
        <v>0</v>
      </c>
    </row>
    <row r="45" spans="1:18" x14ac:dyDescent="0.25">
      <c r="A45" s="39" t="s">
        <v>116</v>
      </c>
      <c r="B45" s="13" t="s">
        <v>117</v>
      </c>
      <c r="C45" s="13" t="s">
        <v>146</v>
      </c>
      <c r="D45" s="13">
        <v>-5362715</v>
      </c>
      <c r="E45" s="13">
        <v>0</v>
      </c>
      <c r="F45" s="13">
        <v>615526</v>
      </c>
      <c r="G45" s="13">
        <v>0</v>
      </c>
      <c r="H45" s="13">
        <v>-4747189</v>
      </c>
      <c r="I45" s="13">
        <v>-1876950</v>
      </c>
      <c r="J45" s="13">
        <v>0</v>
      </c>
      <c r="K45" s="13">
        <v>215434</v>
      </c>
      <c r="L45" s="13">
        <v>-1661516</v>
      </c>
      <c r="M45" s="13">
        <v>-1876950</v>
      </c>
      <c r="N45" s="13">
        <v>-1661516</v>
      </c>
      <c r="O45" s="13">
        <v>0</v>
      </c>
      <c r="P45" s="13">
        <v>0</v>
      </c>
      <c r="Q45" s="13">
        <v>0</v>
      </c>
      <c r="R45" s="13">
        <v>0</v>
      </c>
    </row>
    <row r="46" spans="1:18" x14ac:dyDescent="0.25">
      <c r="A46" s="39" t="s">
        <v>119</v>
      </c>
      <c r="B46" s="13" t="s">
        <v>117</v>
      </c>
      <c r="C46" s="13" t="s">
        <v>136</v>
      </c>
      <c r="D46" s="13">
        <v>-4702686</v>
      </c>
      <c r="E46" s="13">
        <v>-989887</v>
      </c>
      <c r="F46" s="13">
        <v>161254</v>
      </c>
      <c r="G46" s="13">
        <v>0</v>
      </c>
      <c r="H46" s="13">
        <v>-5531319</v>
      </c>
      <c r="I46" s="13">
        <v>-1645893</v>
      </c>
      <c r="J46" s="13">
        <v>-351208</v>
      </c>
      <c r="K46" s="13">
        <v>61186</v>
      </c>
      <c r="L46" s="13">
        <v>-1935915</v>
      </c>
      <c r="M46" s="13">
        <v>-1645940</v>
      </c>
      <c r="N46" s="13">
        <v>-1935962</v>
      </c>
      <c r="O46" s="13">
        <v>-47</v>
      </c>
      <c r="P46" s="13">
        <v>0</v>
      </c>
      <c r="Q46" s="13">
        <v>-47</v>
      </c>
      <c r="R46" s="13">
        <v>0</v>
      </c>
    </row>
    <row r="47" spans="1:18" x14ac:dyDescent="0.25">
      <c r="A47" s="39" t="s">
        <v>119</v>
      </c>
      <c r="B47" s="13" t="s">
        <v>117</v>
      </c>
      <c r="C47" s="13" t="s">
        <v>147</v>
      </c>
      <c r="D47" s="13">
        <v>-9741908</v>
      </c>
      <c r="E47" s="13">
        <v>0</v>
      </c>
      <c r="F47" s="13">
        <v>437675</v>
      </c>
      <c r="G47" s="13">
        <v>0</v>
      </c>
      <c r="H47" s="13">
        <v>-9304232</v>
      </c>
      <c r="I47" s="13">
        <v>-3409668</v>
      </c>
      <c r="J47" s="13">
        <v>0</v>
      </c>
      <c r="K47" s="13">
        <v>153186</v>
      </c>
      <c r="L47" s="13">
        <v>-3256481</v>
      </c>
      <c r="M47" s="13">
        <v>-3409668</v>
      </c>
      <c r="N47" s="13">
        <v>-3256481</v>
      </c>
      <c r="O47" s="13">
        <v>0</v>
      </c>
      <c r="P47" s="13">
        <v>0</v>
      </c>
      <c r="Q47" s="13">
        <v>0</v>
      </c>
      <c r="R47" s="13">
        <v>0</v>
      </c>
    </row>
    <row r="48" spans="1:18" x14ac:dyDescent="0.25">
      <c r="A48" s="39" t="s">
        <v>119</v>
      </c>
      <c r="B48" s="13" t="s">
        <v>117</v>
      </c>
      <c r="C48" s="13" t="s">
        <v>148</v>
      </c>
      <c r="D48" s="13">
        <v>-25581080</v>
      </c>
      <c r="E48" s="13">
        <v>0</v>
      </c>
      <c r="F48" s="13">
        <v>2460495</v>
      </c>
      <c r="G48" s="13">
        <v>0</v>
      </c>
      <c r="H48" s="13">
        <v>-23120585</v>
      </c>
      <c r="I48" s="13">
        <v>-8953378</v>
      </c>
      <c r="J48" s="13">
        <v>0</v>
      </c>
      <c r="K48" s="13">
        <v>861173</v>
      </c>
      <c r="L48" s="13">
        <v>-8092205</v>
      </c>
      <c r="M48" s="13">
        <v>-8953378</v>
      </c>
      <c r="N48" s="13">
        <v>-8092205</v>
      </c>
      <c r="O48" s="13">
        <v>0</v>
      </c>
      <c r="P48" s="13">
        <v>0</v>
      </c>
      <c r="Q48" s="13">
        <v>0</v>
      </c>
      <c r="R48" s="13">
        <v>0</v>
      </c>
    </row>
    <row r="49" spans="1:18" x14ac:dyDescent="0.25">
      <c r="A49" s="39" t="s">
        <v>116</v>
      </c>
      <c r="B49" s="13" t="s">
        <v>117</v>
      </c>
      <c r="C49" s="13" t="s">
        <v>136</v>
      </c>
      <c r="D49" s="13">
        <v>-22567149</v>
      </c>
      <c r="E49" s="13">
        <v>-3483591</v>
      </c>
      <c r="F49" s="13">
        <v>1341032</v>
      </c>
      <c r="G49" s="13">
        <v>14304</v>
      </c>
      <c r="H49" s="13">
        <v>-24695403</v>
      </c>
      <c r="I49" s="13">
        <v>-7770690</v>
      </c>
      <c r="J49" s="13">
        <v>-1228718</v>
      </c>
      <c r="K49" s="13">
        <v>478822</v>
      </c>
      <c r="L49" s="13">
        <v>-8520585</v>
      </c>
      <c r="M49" s="13">
        <v>-7898502</v>
      </c>
      <c r="N49" s="13">
        <v>-8643391</v>
      </c>
      <c r="O49" s="13">
        <v>-127813</v>
      </c>
      <c r="P49" s="13">
        <v>1</v>
      </c>
      <c r="Q49" s="13">
        <v>-122806</v>
      </c>
      <c r="R49" s="13">
        <v>1</v>
      </c>
    </row>
    <row r="50" spans="1:18" x14ac:dyDescent="0.25">
      <c r="A50" s="39" t="s">
        <v>116</v>
      </c>
      <c r="B50" s="13" t="s">
        <v>117</v>
      </c>
      <c r="C50" s="13" t="s">
        <v>149</v>
      </c>
      <c r="D50" s="13">
        <v>-63713735</v>
      </c>
      <c r="E50" s="13">
        <v>0</v>
      </c>
      <c r="F50" s="13">
        <v>8499704</v>
      </c>
      <c r="G50" s="13">
        <v>0</v>
      </c>
      <c r="H50" s="13">
        <v>-55214031</v>
      </c>
      <c r="I50" s="13">
        <v>-22299807</v>
      </c>
      <c r="J50" s="13">
        <v>0</v>
      </c>
      <c r="K50" s="13">
        <v>2974896</v>
      </c>
      <c r="L50" s="13">
        <v>-19324911</v>
      </c>
      <c r="M50" s="13">
        <v>-22299807</v>
      </c>
      <c r="N50" s="13">
        <v>-19324911</v>
      </c>
      <c r="O50" s="13">
        <v>0</v>
      </c>
      <c r="P50" s="13">
        <v>0</v>
      </c>
      <c r="Q50" s="13">
        <v>0</v>
      </c>
      <c r="R50" s="13">
        <v>0</v>
      </c>
    </row>
    <row r="51" spans="1:18" x14ac:dyDescent="0.25">
      <c r="A51" s="39" t="s">
        <v>116</v>
      </c>
      <c r="B51" s="13" t="s">
        <v>117</v>
      </c>
      <c r="C51" s="13" t="s">
        <v>129</v>
      </c>
      <c r="D51" s="13">
        <v>-63553382</v>
      </c>
      <c r="E51" s="13">
        <v>-5439403</v>
      </c>
      <c r="F51" s="13">
        <v>5171114</v>
      </c>
      <c r="G51" s="13">
        <v>0</v>
      </c>
      <c r="H51" s="13">
        <v>-63821671</v>
      </c>
      <c r="I51" s="13">
        <v>-22243684</v>
      </c>
      <c r="J51" s="13">
        <v>-1903791</v>
      </c>
      <c r="K51" s="13">
        <v>1809890</v>
      </c>
      <c r="L51" s="13">
        <v>-22337585</v>
      </c>
      <c r="M51" s="13">
        <v>-22243684</v>
      </c>
      <c r="N51" s="13">
        <v>-22337585</v>
      </c>
      <c r="O51" s="13">
        <v>0</v>
      </c>
      <c r="P51" s="13">
        <v>0</v>
      </c>
      <c r="Q51" s="13">
        <v>0</v>
      </c>
      <c r="R51" s="13">
        <v>0</v>
      </c>
    </row>
    <row r="52" spans="1:18" x14ac:dyDescent="0.25">
      <c r="A52" s="39" t="s">
        <v>119</v>
      </c>
      <c r="B52" s="13" t="s">
        <v>117</v>
      </c>
      <c r="C52" s="13" t="s">
        <v>129</v>
      </c>
      <c r="D52" s="13">
        <v>-154843287</v>
      </c>
      <c r="E52" s="13">
        <v>-25622325</v>
      </c>
      <c r="F52" s="13">
        <v>-66</v>
      </c>
      <c r="G52" s="13">
        <v>0</v>
      </c>
      <c r="H52" s="13">
        <v>-180465678</v>
      </c>
      <c r="I52" s="13">
        <v>-54195150</v>
      </c>
      <c r="J52" s="13">
        <v>-8967814</v>
      </c>
      <c r="K52" s="13">
        <v>-23</v>
      </c>
      <c r="L52" s="13">
        <v>-63162987</v>
      </c>
      <c r="M52" s="13">
        <v>-54195150</v>
      </c>
      <c r="N52" s="13">
        <v>-63162987</v>
      </c>
      <c r="O52" s="13">
        <v>0</v>
      </c>
      <c r="P52" s="13">
        <v>0</v>
      </c>
      <c r="Q52" s="13">
        <v>0</v>
      </c>
      <c r="R52" s="13">
        <v>0</v>
      </c>
    </row>
    <row r="53" spans="1:18" x14ac:dyDescent="0.25">
      <c r="A53" s="39" t="s">
        <v>116</v>
      </c>
      <c r="B53" s="13" t="s">
        <v>117</v>
      </c>
      <c r="C53" s="13" t="s">
        <v>148</v>
      </c>
      <c r="D53" s="13">
        <v>-228375598</v>
      </c>
      <c r="E53" s="13">
        <v>-35474342</v>
      </c>
      <c r="F53" s="13">
        <v>22640400</v>
      </c>
      <c r="G53" s="13">
        <v>0</v>
      </c>
      <c r="H53" s="13">
        <v>-241209541</v>
      </c>
      <c r="I53" s="13">
        <v>-79910925</v>
      </c>
      <c r="J53" s="13">
        <v>-12899761</v>
      </c>
      <c r="K53" s="13">
        <v>8405139</v>
      </c>
      <c r="L53" s="13">
        <v>-84405547</v>
      </c>
      <c r="M53" s="13">
        <v>-79931459</v>
      </c>
      <c r="N53" s="13">
        <v>-84423339</v>
      </c>
      <c r="O53" s="13">
        <v>-20534</v>
      </c>
      <c r="P53" s="13">
        <v>0</v>
      </c>
      <c r="Q53" s="13">
        <v>-17792</v>
      </c>
      <c r="R53" s="13">
        <v>0</v>
      </c>
    </row>
    <row r="54" spans="1:18" x14ac:dyDescent="0.25">
      <c r="A54" s="39" t="s">
        <v>116</v>
      </c>
      <c r="B54" s="13" t="s">
        <v>150</v>
      </c>
      <c r="C54" s="13" t="s">
        <v>167</v>
      </c>
      <c r="D54" s="13">
        <v>134094875</v>
      </c>
      <c r="E54" s="13">
        <v>0</v>
      </c>
      <c r="F54" s="13">
        <v>0</v>
      </c>
      <c r="G54" s="13">
        <v>-5963098</v>
      </c>
      <c r="H54" s="13">
        <v>128131776</v>
      </c>
      <c r="I54" s="13">
        <v>0</v>
      </c>
      <c r="J54" s="13">
        <v>0</v>
      </c>
      <c r="K54" s="13">
        <v>0</v>
      </c>
      <c r="L54" s="13">
        <v>0</v>
      </c>
      <c r="M54" s="13">
        <v>46933206</v>
      </c>
      <c r="N54" s="13">
        <v>44846122</v>
      </c>
      <c r="O54" s="13">
        <v>46933206</v>
      </c>
      <c r="P54" s="13">
        <v>0</v>
      </c>
      <c r="Q54" s="13">
        <v>44846122</v>
      </c>
      <c r="R54" s="13">
        <v>0</v>
      </c>
    </row>
    <row r="55" spans="1:18" x14ac:dyDescent="0.25">
      <c r="A55" s="39" t="s">
        <v>116</v>
      </c>
      <c r="B55" s="13" t="s">
        <v>150</v>
      </c>
      <c r="C55" s="13" t="s">
        <v>156</v>
      </c>
      <c r="D55" s="13">
        <v>70775307</v>
      </c>
      <c r="E55" s="13">
        <v>0</v>
      </c>
      <c r="F55" s="13">
        <v>0</v>
      </c>
      <c r="G55" s="13">
        <v>-1367338</v>
      </c>
      <c r="H55" s="13">
        <v>69407969</v>
      </c>
      <c r="I55" s="13">
        <v>0</v>
      </c>
      <c r="J55" s="13">
        <v>0</v>
      </c>
      <c r="K55" s="13">
        <v>0</v>
      </c>
      <c r="L55" s="13">
        <v>0</v>
      </c>
      <c r="M55" s="13">
        <v>24771357</v>
      </c>
      <c r="N55" s="13">
        <v>24292789</v>
      </c>
      <c r="O55" s="13">
        <v>24771357</v>
      </c>
      <c r="P55" s="13">
        <v>0</v>
      </c>
      <c r="Q55" s="13">
        <v>24292789</v>
      </c>
      <c r="R55" s="13">
        <v>0</v>
      </c>
    </row>
    <row r="56" spans="1:18" x14ac:dyDescent="0.25">
      <c r="A56" s="39" t="s">
        <v>116</v>
      </c>
      <c r="B56" s="13" t="s">
        <v>150</v>
      </c>
      <c r="C56" s="13" t="s">
        <v>155</v>
      </c>
      <c r="D56" s="13">
        <v>71326178</v>
      </c>
      <c r="E56" s="13">
        <v>0</v>
      </c>
      <c r="F56" s="13">
        <v>0</v>
      </c>
      <c r="G56" s="13">
        <v>-2132549</v>
      </c>
      <c r="H56" s="13">
        <v>69193629</v>
      </c>
      <c r="I56" s="13">
        <v>0</v>
      </c>
      <c r="J56" s="13">
        <v>0</v>
      </c>
      <c r="K56" s="13">
        <v>0</v>
      </c>
      <c r="L56" s="13">
        <v>0</v>
      </c>
      <c r="M56" s="13">
        <v>24964162</v>
      </c>
      <c r="N56" s="13">
        <v>24217770</v>
      </c>
      <c r="O56" s="13">
        <v>24964162</v>
      </c>
      <c r="P56" s="13">
        <v>0</v>
      </c>
      <c r="Q56" s="13">
        <v>24217770</v>
      </c>
      <c r="R56" s="13">
        <v>0</v>
      </c>
    </row>
    <row r="57" spans="1:18" x14ac:dyDescent="0.25">
      <c r="A57" s="39" t="s">
        <v>116</v>
      </c>
      <c r="B57" s="13" t="s">
        <v>150</v>
      </c>
      <c r="C57" s="13" t="s">
        <v>158</v>
      </c>
      <c r="D57" s="13">
        <v>52172249</v>
      </c>
      <c r="E57" s="13">
        <v>0</v>
      </c>
      <c r="F57" s="13">
        <v>0</v>
      </c>
      <c r="G57" s="13">
        <v>-2095667</v>
      </c>
      <c r="H57" s="13">
        <v>50076583</v>
      </c>
      <c r="I57" s="13">
        <v>0</v>
      </c>
      <c r="J57" s="13">
        <v>0</v>
      </c>
      <c r="K57" s="13">
        <v>0</v>
      </c>
      <c r="L57" s="13">
        <v>0</v>
      </c>
      <c r="M57" s="13">
        <v>18260287</v>
      </c>
      <c r="N57" s="13">
        <v>17526804</v>
      </c>
      <c r="O57" s="13">
        <v>18260287</v>
      </c>
      <c r="P57" s="13">
        <v>0</v>
      </c>
      <c r="Q57" s="13">
        <v>17526804</v>
      </c>
      <c r="R57" s="13">
        <v>0</v>
      </c>
    </row>
    <row r="58" spans="1:18" x14ac:dyDescent="0.25">
      <c r="A58" s="39" t="s">
        <v>116</v>
      </c>
      <c r="B58" s="13" t="s">
        <v>150</v>
      </c>
      <c r="C58" s="13" t="s">
        <v>152</v>
      </c>
      <c r="D58" s="13">
        <v>15039339</v>
      </c>
      <c r="E58" s="13">
        <v>0</v>
      </c>
      <c r="F58" s="13">
        <v>0</v>
      </c>
      <c r="G58" s="13">
        <v>7514585</v>
      </c>
      <c r="H58" s="13">
        <v>22553924</v>
      </c>
      <c r="I58" s="13">
        <v>0</v>
      </c>
      <c r="J58" s="13">
        <v>0</v>
      </c>
      <c r="K58" s="13">
        <v>0</v>
      </c>
      <c r="L58" s="13">
        <v>0</v>
      </c>
      <c r="M58" s="13">
        <v>5263769</v>
      </c>
      <c r="N58" s="13">
        <v>7893873</v>
      </c>
      <c r="O58" s="13">
        <v>5263769</v>
      </c>
      <c r="P58" s="13">
        <v>0</v>
      </c>
      <c r="Q58" s="13">
        <v>7893873</v>
      </c>
      <c r="R58" s="13">
        <v>0</v>
      </c>
    </row>
    <row r="59" spans="1:18" x14ac:dyDescent="0.25">
      <c r="A59" s="39" t="s">
        <v>116</v>
      </c>
      <c r="B59" s="13" t="s">
        <v>150</v>
      </c>
      <c r="C59" s="13" t="s">
        <v>154</v>
      </c>
      <c r="D59" s="13">
        <v>26242257</v>
      </c>
      <c r="E59" s="13">
        <v>0</v>
      </c>
      <c r="F59" s="13">
        <v>0</v>
      </c>
      <c r="G59" s="13">
        <v>-4173699</v>
      </c>
      <c r="H59" s="13">
        <v>22068558</v>
      </c>
      <c r="I59" s="13">
        <v>0</v>
      </c>
      <c r="J59" s="13">
        <v>0</v>
      </c>
      <c r="K59" s="13">
        <v>0</v>
      </c>
      <c r="L59" s="13">
        <v>0</v>
      </c>
      <c r="M59" s="13">
        <v>9184790</v>
      </c>
      <c r="N59" s="13">
        <v>7723995</v>
      </c>
      <c r="O59" s="13">
        <v>9184790</v>
      </c>
      <c r="P59" s="13">
        <v>0</v>
      </c>
      <c r="Q59" s="13">
        <v>7723995</v>
      </c>
      <c r="R59" s="13">
        <v>0</v>
      </c>
    </row>
    <row r="60" spans="1:18" x14ac:dyDescent="0.25">
      <c r="A60" s="39" t="s">
        <v>119</v>
      </c>
      <c r="B60" s="13" t="s">
        <v>150</v>
      </c>
      <c r="C60" s="13" t="s">
        <v>156</v>
      </c>
      <c r="D60" s="13">
        <v>8728282</v>
      </c>
      <c r="E60" s="13">
        <v>0</v>
      </c>
      <c r="F60" s="13">
        <v>0</v>
      </c>
      <c r="G60" s="13">
        <v>2040016</v>
      </c>
      <c r="H60" s="13">
        <v>10768298</v>
      </c>
      <c r="I60" s="13">
        <v>0</v>
      </c>
      <c r="J60" s="13">
        <v>0</v>
      </c>
      <c r="K60" s="13">
        <v>0</v>
      </c>
      <c r="L60" s="13">
        <v>0</v>
      </c>
      <c r="M60" s="13">
        <v>3054899</v>
      </c>
      <c r="N60" s="13">
        <v>3768904</v>
      </c>
      <c r="O60" s="13">
        <v>3054899</v>
      </c>
      <c r="P60" s="13">
        <v>0</v>
      </c>
      <c r="Q60" s="13">
        <v>3768904</v>
      </c>
      <c r="R60" s="13">
        <v>0</v>
      </c>
    </row>
    <row r="61" spans="1:18" x14ac:dyDescent="0.25">
      <c r="A61" s="39" t="s">
        <v>119</v>
      </c>
      <c r="B61" s="13" t="s">
        <v>150</v>
      </c>
      <c r="C61" s="13" t="s">
        <v>155</v>
      </c>
      <c r="D61" s="13">
        <v>6144136</v>
      </c>
      <c r="E61" s="13">
        <v>0</v>
      </c>
      <c r="F61" s="13">
        <v>0</v>
      </c>
      <c r="G61" s="13">
        <v>1315126</v>
      </c>
      <c r="H61" s="13">
        <v>7459262</v>
      </c>
      <c r="I61" s="13">
        <v>0</v>
      </c>
      <c r="J61" s="13">
        <v>0</v>
      </c>
      <c r="K61" s="13">
        <v>0</v>
      </c>
      <c r="L61" s="13">
        <v>0</v>
      </c>
      <c r="M61" s="13">
        <v>2150448</v>
      </c>
      <c r="N61" s="13">
        <v>2610742</v>
      </c>
      <c r="O61" s="13">
        <v>2150448</v>
      </c>
      <c r="P61" s="13">
        <v>0</v>
      </c>
      <c r="Q61" s="13">
        <v>2610742</v>
      </c>
      <c r="R61" s="13">
        <v>0</v>
      </c>
    </row>
    <row r="62" spans="1:18" x14ac:dyDescent="0.25">
      <c r="A62" s="39" t="s">
        <v>121</v>
      </c>
      <c r="B62" s="13" t="s">
        <v>150</v>
      </c>
      <c r="C62" s="13" t="s">
        <v>156</v>
      </c>
      <c r="D62" s="13">
        <v>2999369</v>
      </c>
      <c r="E62" s="13">
        <v>0</v>
      </c>
      <c r="F62" s="13">
        <v>0</v>
      </c>
      <c r="G62" s="13">
        <v>2910730</v>
      </c>
      <c r="H62" s="13">
        <v>5910100</v>
      </c>
      <c r="I62" s="13">
        <v>0</v>
      </c>
      <c r="J62" s="13">
        <v>0</v>
      </c>
      <c r="K62" s="13">
        <v>0</v>
      </c>
      <c r="L62" s="13">
        <v>0</v>
      </c>
      <c r="M62" s="13">
        <v>1049779</v>
      </c>
      <c r="N62" s="13">
        <v>2068535</v>
      </c>
      <c r="O62" s="13">
        <v>1049779</v>
      </c>
      <c r="P62" s="13">
        <v>0</v>
      </c>
      <c r="Q62" s="13">
        <v>2068535</v>
      </c>
      <c r="R62" s="13">
        <v>0</v>
      </c>
    </row>
    <row r="63" spans="1:18" x14ac:dyDescent="0.25">
      <c r="A63" s="39" t="s">
        <v>121</v>
      </c>
      <c r="B63" s="13" t="s">
        <v>150</v>
      </c>
      <c r="C63" s="13" t="s">
        <v>155</v>
      </c>
      <c r="D63" s="13">
        <v>2761354</v>
      </c>
      <c r="E63" s="13">
        <v>0</v>
      </c>
      <c r="F63" s="13">
        <v>0</v>
      </c>
      <c r="G63" s="13">
        <v>2126313</v>
      </c>
      <c r="H63" s="13">
        <v>4887666</v>
      </c>
      <c r="I63" s="13">
        <v>0</v>
      </c>
      <c r="J63" s="13">
        <v>0</v>
      </c>
      <c r="K63" s="13">
        <v>0</v>
      </c>
      <c r="L63" s="13">
        <v>0</v>
      </c>
      <c r="M63" s="13">
        <v>966474</v>
      </c>
      <c r="N63" s="13">
        <v>1710683</v>
      </c>
      <c r="O63" s="13">
        <v>966474</v>
      </c>
      <c r="P63" s="13">
        <v>0</v>
      </c>
      <c r="Q63" s="13">
        <v>1710683</v>
      </c>
      <c r="R63" s="13">
        <v>0</v>
      </c>
    </row>
    <row r="64" spans="1:18" x14ac:dyDescent="0.25">
      <c r="A64" s="39" t="s">
        <v>119</v>
      </c>
      <c r="B64" s="13" t="s">
        <v>150</v>
      </c>
      <c r="C64" s="13" t="s">
        <v>153</v>
      </c>
      <c r="D64" s="13">
        <v>1211220</v>
      </c>
      <c r="E64" s="13">
        <v>0</v>
      </c>
      <c r="F64" s="13">
        <v>0</v>
      </c>
      <c r="G64" s="13">
        <v>-54279</v>
      </c>
      <c r="H64" s="13">
        <v>1156941</v>
      </c>
      <c r="I64" s="13">
        <v>0</v>
      </c>
      <c r="J64" s="13">
        <v>0</v>
      </c>
      <c r="K64" s="13">
        <v>0</v>
      </c>
      <c r="L64" s="13">
        <v>0</v>
      </c>
      <c r="M64" s="13">
        <v>423927</v>
      </c>
      <c r="N64" s="13">
        <v>404929</v>
      </c>
      <c r="O64" s="13">
        <v>423927</v>
      </c>
      <c r="P64" s="13">
        <v>0</v>
      </c>
      <c r="Q64" s="13">
        <v>404929</v>
      </c>
      <c r="R64" s="13">
        <v>0</v>
      </c>
    </row>
    <row r="65" spans="1:18" x14ac:dyDescent="0.25">
      <c r="A65" s="39" t="s">
        <v>116</v>
      </c>
      <c r="B65" s="13" t="s">
        <v>150</v>
      </c>
      <c r="C65" s="13" t="s">
        <v>162</v>
      </c>
      <c r="D65" s="13">
        <v>686807</v>
      </c>
      <c r="E65" s="13">
        <v>0</v>
      </c>
      <c r="F65" s="13">
        <v>0</v>
      </c>
      <c r="G65" s="13">
        <v>-31766</v>
      </c>
      <c r="H65" s="13">
        <v>655041</v>
      </c>
      <c r="I65" s="13">
        <v>0</v>
      </c>
      <c r="J65" s="13">
        <v>0</v>
      </c>
      <c r="K65" s="13">
        <v>0</v>
      </c>
      <c r="L65" s="13">
        <v>0</v>
      </c>
      <c r="M65" s="13">
        <v>240382</v>
      </c>
      <c r="N65" s="13">
        <v>229264</v>
      </c>
      <c r="O65" s="13">
        <v>240382</v>
      </c>
      <c r="P65" s="13">
        <v>0</v>
      </c>
      <c r="Q65" s="13">
        <v>229264</v>
      </c>
      <c r="R65" s="13">
        <v>0</v>
      </c>
    </row>
    <row r="66" spans="1:18" x14ac:dyDescent="0.25">
      <c r="A66" s="39" t="s">
        <v>119</v>
      </c>
      <c r="B66" s="13" t="s">
        <v>150</v>
      </c>
      <c r="C66" s="13" t="s">
        <v>151</v>
      </c>
      <c r="D66" s="13">
        <v>709670</v>
      </c>
      <c r="E66" s="13">
        <v>0</v>
      </c>
      <c r="F66" s="13">
        <v>0</v>
      </c>
      <c r="G66" s="13">
        <v>-244299</v>
      </c>
      <c r="H66" s="13">
        <v>465371</v>
      </c>
      <c r="I66" s="13">
        <v>0</v>
      </c>
      <c r="J66" s="13">
        <v>0</v>
      </c>
      <c r="K66" s="13">
        <v>0</v>
      </c>
      <c r="L66" s="13">
        <v>0</v>
      </c>
      <c r="M66" s="13">
        <v>248384</v>
      </c>
      <c r="N66" s="13">
        <v>162880</v>
      </c>
      <c r="O66" s="13">
        <v>248384</v>
      </c>
      <c r="P66" s="13">
        <v>0</v>
      </c>
      <c r="Q66" s="13">
        <v>162880</v>
      </c>
      <c r="R66" s="13">
        <v>0</v>
      </c>
    </row>
    <row r="67" spans="1:18" x14ac:dyDescent="0.25">
      <c r="A67" s="39" t="s">
        <v>116</v>
      </c>
      <c r="B67" s="13" t="s">
        <v>150</v>
      </c>
      <c r="C67" s="13" t="s">
        <v>165</v>
      </c>
      <c r="D67" s="13">
        <v>263184</v>
      </c>
      <c r="E67" s="13">
        <v>0</v>
      </c>
      <c r="F67" s="13">
        <v>0</v>
      </c>
      <c r="G67" s="13">
        <v>-12173</v>
      </c>
      <c r="H67" s="13">
        <v>251012</v>
      </c>
      <c r="I67" s="13">
        <v>0</v>
      </c>
      <c r="J67" s="13">
        <v>0</v>
      </c>
      <c r="K67" s="13">
        <v>0</v>
      </c>
      <c r="L67" s="13">
        <v>0</v>
      </c>
      <c r="M67" s="13">
        <v>92115</v>
      </c>
      <c r="N67" s="13">
        <v>87854</v>
      </c>
      <c r="O67" s="13">
        <v>92115</v>
      </c>
      <c r="P67" s="13">
        <v>0</v>
      </c>
      <c r="Q67" s="13">
        <v>87854</v>
      </c>
      <c r="R67" s="13">
        <v>0</v>
      </c>
    </row>
    <row r="68" spans="1:18" x14ac:dyDescent="0.25">
      <c r="A68" s="39" t="s">
        <v>119</v>
      </c>
      <c r="B68" s="13" t="s">
        <v>150</v>
      </c>
      <c r="C68" s="13" t="s">
        <v>154</v>
      </c>
      <c r="D68" s="13">
        <v>204518</v>
      </c>
      <c r="E68" s="13">
        <v>0</v>
      </c>
      <c r="F68" s="13">
        <v>0</v>
      </c>
      <c r="G68" s="13">
        <v>-14278</v>
      </c>
      <c r="H68" s="13">
        <v>190240</v>
      </c>
      <c r="I68" s="13">
        <v>0</v>
      </c>
      <c r="J68" s="13">
        <v>0</v>
      </c>
      <c r="K68" s="13">
        <v>0</v>
      </c>
      <c r="L68" s="13">
        <v>0</v>
      </c>
      <c r="M68" s="13">
        <v>71581</v>
      </c>
      <c r="N68" s="13">
        <v>66584</v>
      </c>
      <c r="O68" s="13">
        <v>71581</v>
      </c>
      <c r="P68" s="13">
        <v>0</v>
      </c>
      <c r="Q68" s="13">
        <v>66584</v>
      </c>
      <c r="R68" s="13">
        <v>0</v>
      </c>
    </row>
    <row r="69" spans="1:18" x14ac:dyDescent="0.25">
      <c r="A69" s="39" t="s">
        <v>116</v>
      </c>
      <c r="B69" s="13" t="s">
        <v>150</v>
      </c>
      <c r="C69" s="13" t="s">
        <v>168</v>
      </c>
      <c r="D69" s="13">
        <v>117250</v>
      </c>
      <c r="E69" s="13">
        <v>0</v>
      </c>
      <c r="F69" s="13">
        <v>0</v>
      </c>
      <c r="G69" s="13">
        <v>-5331</v>
      </c>
      <c r="H69" s="13">
        <v>111919</v>
      </c>
      <c r="I69" s="13">
        <v>0</v>
      </c>
      <c r="J69" s="13">
        <v>0</v>
      </c>
      <c r="K69" s="13">
        <v>0</v>
      </c>
      <c r="L69" s="13">
        <v>0</v>
      </c>
      <c r="M69" s="13">
        <v>41038</v>
      </c>
      <c r="N69" s="13">
        <v>39172</v>
      </c>
      <c r="O69" s="13">
        <v>41038</v>
      </c>
      <c r="P69" s="13">
        <v>0</v>
      </c>
      <c r="Q69" s="13">
        <v>39172</v>
      </c>
      <c r="R69" s="13">
        <v>0</v>
      </c>
    </row>
    <row r="70" spans="1:18" x14ac:dyDescent="0.25">
      <c r="A70" s="39" t="s">
        <v>116</v>
      </c>
      <c r="B70" s="13" t="s">
        <v>150</v>
      </c>
      <c r="C70" s="13" t="s">
        <v>151</v>
      </c>
      <c r="D70" s="13">
        <v>89823</v>
      </c>
      <c r="E70" s="13">
        <v>0</v>
      </c>
      <c r="F70" s="13">
        <v>0</v>
      </c>
      <c r="G70" s="13">
        <v>-25551</v>
      </c>
      <c r="H70" s="13">
        <v>64272</v>
      </c>
      <c r="I70" s="13">
        <v>0</v>
      </c>
      <c r="J70" s="13">
        <v>0</v>
      </c>
      <c r="K70" s="13">
        <v>0</v>
      </c>
      <c r="L70" s="13">
        <v>0</v>
      </c>
      <c r="M70" s="13">
        <v>31438</v>
      </c>
      <c r="N70" s="13">
        <v>22495</v>
      </c>
      <c r="O70" s="13">
        <v>31438</v>
      </c>
      <c r="P70" s="13">
        <v>0</v>
      </c>
      <c r="Q70" s="13">
        <v>22495</v>
      </c>
      <c r="R70" s="13">
        <v>0</v>
      </c>
    </row>
    <row r="71" spans="1:18" x14ac:dyDescent="0.25">
      <c r="A71" s="39" t="s">
        <v>119</v>
      </c>
      <c r="B71" s="13" t="s">
        <v>150</v>
      </c>
      <c r="C71" s="13" t="s">
        <v>172</v>
      </c>
      <c r="D71" s="13">
        <v>51231</v>
      </c>
      <c r="E71" s="13">
        <v>0</v>
      </c>
      <c r="F71" s="13">
        <v>0</v>
      </c>
      <c r="G71" s="13">
        <v>-2408</v>
      </c>
      <c r="H71" s="13">
        <v>48823</v>
      </c>
      <c r="I71" s="13">
        <v>0</v>
      </c>
      <c r="J71" s="13">
        <v>0</v>
      </c>
      <c r="K71" s="13">
        <v>0</v>
      </c>
      <c r="L71" s="13">
        <v>0</v>
      </c>
      <c r="M71" s="13">
        <v>17931</v>
      </c>
      <c r="N71" s="13">
        <v>17088</v>
      </c>
      <c r="O71" s="13">
        <v>17931</v>
      </c>
      <c r="P71" s="13">
        <v>0</v>
      </c>
      <c r="Q71" s="13">
        <v>17088</v>
      </c>
      <c r="R71" s="13">
        <v>0</v>
      </c>
    </row>
    <row r="72" spans="1:18" x14ac:dyDescent="0.25">
      <c r="A72" s="39" t="s">
        <v>119</v>
      </c>
      <c r="B72" s="13" t="s">
        <v>150</v>
      </c>
      <c r="C72" s="13" t="s">
        <v>169</v>
      </c>
      <c r="D72" s="13">
        <v>50061</v>
      </c>
      <c r="E72" s="13">
        <v>0</v>
      </c>
      <c r="F72" s="13">
        <v>0</v>
      </c>
      <c r="G72" s="13">
        <v>-2300</v>
      </c>
      <c r="H72" s="13">
        <v>47761</v>
      </c>
      <c r="I72" s="13">
        <v>0</v>
      </c>
      <c r="J72" s="13">
        <v>0</v>
      </c>
      <c r="K72" s="13">
        <v>0</v>
      </c>
      <c r="L72" s="13">
        <v>0</v>
      </c>
      <c r="M72" s="13">
        <v>17521</v>
      </c>
      <c r="N72" s="13">
        <v>16716</v>
      </c>
      <c r="O72" s="13">
        <v>17521</v>
      </c>
      <c r="P72" s="13">
        <v>0</v>
      </c>
      <c r="Q72" s="13">
        <v>16716</v>
      </c>
      <c r="R72" s="13">
        <v>0</v>
      </c>
    </row>
    <row r="73" spans="1:18" x14ac:dyDescent="0.25">
      <c r="A73" s="39" t="s">
        <v>121</v>
      </c>
      <c r="B73" s="13" t="s">
        <v>150</v>
      </c>
      <c r="C73" s="13" t="s">
        <v>153</v>
      </c>
      <c r="D73" s="13">
        <v>53982</v>
      </c>
      <c r="E73" s="13">
        <v>0</v>
      </c>
      <c r="F73" s="13">
        <v>0</v>
      </c>
      <c r="G73" s="13">
        <v>-13781</v>
      </c>
      <c r="H73" s="13">
        <v>40201</v>
      </c>
      <c r="I73" s="13">
        <v>0</v>
      </c>
      <c r="J73" s="13">
        <v>0</v>
      </c>
      <c r="K73" s="13">
        <v>0</v>
      </c>
      <c r="L73" s="13">
        <v>0</v>
      </c>
      <c r="M73" s="13">
        <v>18894</v>
      </c>
      <c r="N73" s="13">
        <v>14070</v>
      </c>
      <c r="O73" s="13">
        <v>18894</v>
      </c>
      <c r="P73" s="13">
        <v>0</v>
      </c>
      <c r="Q73" s="13">
        <v>14070</v>
      </c>
      <c r="R73" s="13">
        <v>0</v>
      </c>
    </row>
    <row r="74" spans="1:18" x14ac:dyDescent="0.25">
      <c r="A74" s="39" t="s">
        <v>119</v>
      </c>
      <c r="B74" s="13" t="s">
        <v>150</v>
      </c>
      <c r="C74" s="13" t="s">
        <v>173</v>
      </c>
      <c r="D74" s="13">
        <v>26469</v>
      </c>
      <c r="E74" s="13">
        <v>0</v>
      </c>
      <c r="F74" s="13">
        <v>0</v>
      </c>
      <c r="G74" s="13">
        <v>-1268</v>
      </c>
      <c r="H74" s="13">
        <v>25201</v>
      </c>
      <c r="I74" s="13">
        <v>0</v>
      </c>
      <c r="J74" s="13">
        <v>0</v>
      </c>
      <c r="K74" s="13">
        <v>0</v>
      </c>
      <c r="L74" s="13">
        <v>0</v>
      </c>
      <c r="M74" s="13">
        <v>9264</v>
      </c>
      <c r="N74" s="13">
        <v>8820</v>
      </c>
      <c r="O74" s="13">
        <v>9264</v>
      </c>
      <c r="P74" s="13">
        <v>0</v>
      </c>
      <c r="Q74" s="13">
        <v>8820</v>
      </c>
      <c r="R74" s="13">
        <v>0</v>
      </c>
    </row>
    <row r="75" spans="1:18" x14ac:dyDescent="0.25">
      <c r="A75" s="39" t="s">
        <v>119</v>
      </c>
      <c r="B75" s="13" t="s">
        <v>150</v>
      </c>
      <c r="C75" s="13" t="s">
        <v>158</v>
      </c>
      <c r="D75" s="13">
        <v>12386</v>
      </c>
      <c r="E75" s="13">
        <v>0</v>
      </c>
      <c r="F75" s="13">
        <v>0</v>
      </c>
      <c r="G75" s="13">
        <v>8889</v>
      </c>
      <c r="H75" s="13">
        <v>21275</v>
      </c>
      <c r="I75" s="13">
        <v>0</v>
      </c>
      <c r="J75" s="13">
        <v>0</v>
      </c>
      <c r="K75" s="13">
        <v>0</v>
      </c>
      <c r="L75" s="13">
        <v>0</v>
      </c>
      <c r="M75" s="13">
        <v>4335</v>
      </c>
      <c r="N75" s="13">
        <v>7446</v>
      </c>
      <c r="O75" s="13">
        <v>4335</v>
      </c>
      <c r="P75" s="13">
        <v>0</v>
      </c>
      <c r="Q75" s="13">
        <v>7446</v>
      </c>
      <c r="R75" s="13">
        <v>0</v>
      </c>
    </row>
    <row r="76" spans="1:18" x14ac:dyDescent="0.25">
      <c r="A76" s="39" t="s">
        <v>119</v>
      </c>
      <c r="B76" s="13" t="s">
        <v>150</v>
      </c>
      <c r="C76" s="13" t="s">
        <v>170</v>
      </c>
      <c r="D76" s="13">
        <v>8182</v>
      </c>
      <c r="E76" s="13">
        <v>0</v>
      </c>
      <c r="F76" s="13">
        <v>0</v>
      </c>
      <c r="G76" s="13">
        <v>-363</v>
      </c>
      <c r="H76" s="13">
        <v>7819</v>
      </c>
      <c r="I76" s="13">
        <v>0</v>
      </c>
      <c r="J76" s="13">
        <v>0</v>
      </c>
      <c r="K76" s="13">
        <v>0</v>
      </c>
      <c r="L76" s="13">
        <v>0</v>
      </c>
      <c r="M76" s="13">
        <v>2864</v>
      </c>
      <c r="N76" s="13">
        <v>2737</v>
      </c>
      <c r="O76" s="13">
        <v>2864</v>
      </c>
      <c r="P76" s="13">
        <v>0</v>
      </c>
      <c r="Q76" s="13">
        <v>2737</v>
      </c>
      <c r="R76" s="13">
        <v>0</v>
      </c>
    </row>
    <row r="77" spans="1:18" x14ac:dyDescent="0.25">
      <c r="A77" s="39" t="s">
        <v>116</v>
      </c>
      <c r="B77" s="13" t="s">
        <v>150</v>
      </c>
      <c r="C77" s="13" t="s">
        <v>166</v>
      </c>
      <c r="D77" s="13">
        <v>7434</v>
      </c>
      <c r="E77" s="13">
        <v>0</v>
      </c>
      <c r="F77" s="13">
        <v>0</v>
      </c>
      <c r="G77" s="13">
        <v>-364</v>
      </c>
      <c r="H77" s="13">
        <v>7070</v>
      </c>
      <c r="I77" s="13">
        <v>0</v>
      </c>
      <c r="J77" s="13">
        <v>0</v>
      </c>
      <c r="K77" s="13">
        <v>0</v>
      </c>
      <c r="L77" s="13">
        <v>0</v>
      </c>
      <c r="M77" s="13">
        <v>2602</v>
      </c>
      <c r="N77" s="13">
        <v>2474</v>
      </c>
      <c r="O77" s="13">
        <v>2602</v>
      </c>
      <c r="P77" s="13">
        <v>0</v>
      </c>
      <c r="Q77" s="13">
        <v>2474</v>
      </c>
      <c r="R77" s="13">
        <v>0</v>
      </c>
    </row>
    <row r="78" spans="1:18" x14ac:dyDescent="0.25">
      <c r="A78" s="39" t="s">
        <v>119</v>
      </c>
      <c r="B78" s="13" t="s">
        <v>150</v>
      </c>
      <c r="C78" s="13" t="s">
        <v>171</v>
      </c>
      <c r="D78" s="13">
        <v>5106</v>
      </c>
      <c r="E78" s="13">
        <v>0</v>
      </c>
      <c r="F78" s="13">
        <v>0</v>
      </c>
      <c r="G78" s="13">
        <v>-225</v>
      </c>
      <c r="H78" s="13">
        <v>4881</v>
      </c>
      <c r="I78" s="13">
        <v>0</v>
      </c>
      <c r="J78" s="13">
        <v>0</v>
      </c>
      <c r="K78" s="13">
        <v>0</v>
      </c>
      <c r="L78" s="13">
        <v>0</v>
      </c>
      <c r="M78" s="13">
        <v>1787</v>
      </c>
      <c r="N78" s="13">
        <v>1708</v>
      </c>
      <c r="O78" s="13">
        <v>1787</v>
      </c>
      <c r="P78" s="13">
        <v>0</v>
      </c>
      <c r="Q78" s="13">
        <v>1708</v>
      </c>
      <c r="R78" s="13">
        <v>0</v>
      </c>
    </row>
    <row r="79" spans="1:18" x14ac:dyDescent="0.25">
      <c r="A79" s="39" t="s">
        <v>116</v>
      </c>
      <c r="B79" s="13" t="s">
        <v>150</v>
      </c>
      <c r="C79" s="13" t="s">
        <v>163</v>
      </c>
      <c r="D79" s="13">
        <v>3701</v>
      </c>
      <c r="E79" s="13">
        <v>0</v>
      </c>
      <c r="F79" s="13">
        <v>0</v>
      </c>
      <c r="G79" s="13">
        <v>-181</v>
      </c>
      <c r="H79" s="13">
        <v>3519</v>
      </c>
      <c r="I79" s="13">
        <v>0</v>
      </c>
      <c r="J79" s="13">
        <v>0</v>
      </c>
      <c r="K79" s="13">
        <v>0</v>
      </c>
      <c r="L79" s="13">
        <v>0</v>
      </c>
      <c r="M79" s="13">
        <v>1295</v>
      </c>
      <c r="N79" s="13">
        <v>1232</v>
      </c>
      <c r="O79" s="13">
        <v>1295</v>
      </c>
      <c r="P79" s="13">
        <v>0</v>
      </c>
      <c r="Q79" s="13">
        <v>1232</v>
      </c>
      <c r="R79" s="13">
        <v>0</v>
      </c>
    </row>
    <row r="80" spans="1:18" x14ac:dyDescent="0.25">
      <c r="A80" s="39" t="s">
        <v>121</v>
      </c>
      <c r="B80" s="13" t="s">
        <v>150</v>
      </c>
      <c r="C80" s="13" t="s">
        <v>154</v>
      </c>
      <c r="D80" s="13">
        <v>9758</v>
      </c>
      <c r="E80" s="13">
        <v>0</v>
      </c>
      <c r="F80" s="13">
        <v>0</v>
      </c>
      <c r="G80" s="13">
        <v>-8530</v>
      </c>
      <c r="H80" s="13">
        <v>1228</v>
      </c>
      <c r="I80" s="13">
        <v>0</v>
      </c>
      <c r="J80" s="13">
        <v>0</v>
      </c>
      <c r="K80" s="13">
        <v>0</v>
      </c>
      <c r="L80" s="13">
        <v>0</v>
      </c>
      <c r="M80" s="13">
        <v>3415</v>
      </c>
      <c r="N80" s="13">
        <v>430</v>
      </c>
      <c r="O80" s="13">
        <v>3415</v>
      </c>
      <c r="P80" s="13">
        <v>0</v>
      </c>
      <c r="Q80" s="13">
        <v>430</v>
      </c>
      <c r="R80" s="13">
        <v>0</v>
      </c>
    </row>
    <row r="81" spans="1:18" x14ac:dyDescent="0.25">
      <c r="A81" s="39" t="s">
        <v>121</v>
      </c>
      <c r="B81" s="13" t="s">
        <v>150</v>
      </c>
      <c r="C81" s="13" t="s">
        <v>151</v>
      </c>
      <c r="D81" s="13">
        <v>1461</v>
      </c>
      <c r="E81" s="13">
        <v>0</v>
      </c>
      <c r="F81" s="13">
        <v>0</v>
      </c>
      <c r="G81" s="13">
        <v>-1173</v>
      </c>
      <c r="H81" s="13">
        <v>289</v>
      </c>
      <c r="I81" s="13">
        <v>0</v>
      </c>
      <c r="J81" s="13">
        <v>0</v>
      </c>
      <c r="K81" s="13">
        <v>0</v>
      </c>
      <c r="L81" s="13">
        <v>0</v>
      </c>
      <c r="M81" s="13">
        <v>512</v>
      </c>
      <c r="N81" s="13">
        <v>101</v>
      </c>
      <c r="O81" s="13">
        <v>512</v>
      </c>
      <c r="P81" s="13">
        <v>0</v>
      </c>
      <c r="Q81" s="13">
        <v>101</v>
      </c>
      <c r="R81" s="13">
        <v>0</v>
      </c>
    </row>
    <row r="82" spans="1:18" x14ac:dyDescent="0.25">
      <c r="A82" s="39" t="s">
        <v>116</v>
      </c>
      <c r="B82" s="13" t="s">
        <v>150</v>
      </c>
      <c r="C82" s="13" t="s">
        <v>161</v>
      </c>
      <c r="D82" s="13">
        <v>-2486</v>
      </c>
      <c r="E82" s="13">
        <v>0</v>
      </c>
      <c r="F82" s="13">
        <v>0</v>
      </c>
      <c r="G82" s="13">
        <v>113</v>
      </c>
      <c r="H82" s="13">
        <v>-2373</v>
      </c>
      <c r="I82" s="13">
        <v>0</v>
      </c>
      <c r="J82" s="13">
        <v>0</v>
      </c>
      <c r="K82" s="13">
        <v>0</v>
      </c>
      <c r="L82" s="13">
        <v>0</v>
      </c>
      <c r="M82" s="13">
        <v>-870</v>
      </c>
      <c r="N82" s="13">
        <v>-831</v>
      </c>
      <c r="O82" s="13">
        <v>-870</v>
      </c>
      <c r="P82" s="13">
        <v>0</v>
      </c>
      <c r="Q82" s="13">
        <v>-831</v>
      </c>
      <c r="R82" s="13">
        <v>0</v>
      </c>
    </row>
    <row r="83" spans="1:18" x14ac:dyDescent="0.25">
      <c r="A83" s="39" t="s">
        <v>119</v>
      </c>
      <c r="B83" s="13" t="s">
        <v>150</v>
      </c>
      <c r="C83" s="13" t="s">
        <v>159</v>
      </c>
      <c r="D83" s="13">
        <v>-1922</v>
      </c>
      <c r="E83" s="13">
        <v>0</v>
      </c>
      <c r="F83" s="13">
        <v>0</v>
      </c>
      <c r="G83" s="13">
        <v>-1121</v>
      </c>
      <c r="H83" s="13">
        <v>-3043</v>
      </c>
      <c r="I83" s="13">
        <v>0</v>
      </c>
      <c r="J83" s="13">
        <v>0</v>
      </c>
      <c r="K83" s="13">
        <v>0</v>
      </c>
      <c r="L83" s="13">
        <v>0</v>
      </c>
      <c r="M83" s="13">
        <v>-673</v>
      </c>
      <c r="N83" s="13">
        <v>-1065</v>
      </c>
      <c r="O83" s="13">
        <v>-673</v>
      </c>
      <c r="P83" s="13">
        <v>0</v>
      </c>
      <c r="Q83" s="13">
        <v>-1065</v>
      </c>
      <c r="R83" s="13">
        <v>0</v>
      </c>
    </row>
    <row r="84" spans="1:18" x14ac:dyDescent="0.25">
      <c r="A84" s="39" t="s">
        <v>116</v>
      </c>
      <c r="B84" s="13" t="s">
        <v>150</v>
      </c>
      <c r="C84" s="13" t="s">
        <v>160</v>
      </c>
      <c r="D84" s="13">
        <v>-15680</v>
      </c>
      <c r="E84" s="13">
        <v>0</v>
      </c>
      <c r="F84" s="13">
        <v>0</v>
      </c>
      <c r="G84" s="13">
        <v>713</v>
      </c>
      <c r="H84" s="13">
        <v>-14967</v>
      </c>
      <c r="I84" s="13">
        <v>0</v>
      </c>
      <c r="J84" s="13">
        <v>0</v>
      </c>
      <c r="K84" s="13">
        <v>0</v>
      </c>
      <c r="L84" s="13">
        <v>0</v>
      </c>
      <c r="M84" s="13">
        <v>-5488</v>
      </c>
      <c r="N84" s="13">
        <v>-5239</v>
      </c>
      <c r="O84" s="13">
        <v>-5488</v>
      </c>
      <c r="P84" s="13">
        <v>0</v>
      </c>
      <c r="Q84" s="13">
        <v>-5239</v>
      </c>
      <c r="R84" s="13">
        <v>0</v>
      </c>
    </row>
    <row r="85" spans="1:18" x14ac:dyDescent="0.25">
      <c r="A85" s="39" t="s">
        <v>119</v>
      </c>
      <c r="B85" s="13" t="s">
        <v>150</v>
      </c>
      <c r="C85" s="13" t="s">
        <v>164</v>
      </c>
      <c r="D85" s="13">
        <v>-15554</v>
      </c>
      <c r="E85" s="13">
        <v>0</v>
      </c>
      <c r="F85" s="13">
        <v>0</v>
      </c>
      <c r="G85" s="13">
        <v>-9067</v>
      </c>
      <c r="H85" s="13">
        <v>-24621</v>
      </c>
      <c r="I85" s="13">
        <v>0</v>
      </c>
      <c r="J85" s="13">
        <v>0</v>
      </c>
      <c r="K85" s="13">
        <v>0</v>
      </c>
      <c r="L85" s="13">
        <v>0</v>
      </c>
      <c r="M85" s="13">
        <v>-5444</v>
      </c>
      <c r="N85" s="13">
        <v>-8617</v>
      </c>
      <c r="O85" s="13">
        <v>-5444</v>
      </c>
      <c r="P85" s="13">
        <v>0</v>
      </c>
      <c r="Q85" s="13">
        <v>-8617</v>
      </c>
      <c r="R85" s="13">
        <v>0</v>
      </c>
    </row>
    <row r="86" spans="1:18" x14ac:dyDescent="0.25">
      <c r="A86" s="39" t="s">
        <v>116</v>
      </c>
      <c r="B86" s="13" t="s">
        <v>150</v>
      </c>
      <c r="C86" s="13" t="s">
        <v>152</v>
      </c>
      <c r="D86" s="13">
        <v>-29212</v>
      </c>
      <c r="E86" s="13">
        <v>0</v>
      </c>
      <c r="F86" s="13">
        <v>0</v>
      </c>
      <c r="G86" s="13">
        <v>0</v>
      </c>
      <c r="H86" s="13">
        <v>-29212</v>
      </c>
      <c r="I86" s="13">
        <v>0</v>
      </c>
      <c r="J86" s="13">
        <v>0</v>
      </c>
      <c r="K86" s="13">
        <v>0</v>
      </c>
      <c r="L86" s="13">
        <v>0</v>
      </c>
      <c r="M86" s="13">
        <v>-10224</v>
      </c>
      <c r="N86" s="13">
        <v>-10224</v>
      </c>
      <c r="O86" s="13">
        <v>-10224</v>
      </c>
      <c r="P86" s="13">
        <v>0</v>
      </c>
      <c r="Q86" s="13">
        <v>-10224</v>
      </c>
      <c r="R86" s="13">
        <v>0</v>
      </c>
    </row>
    <row r="87" spans="1:18" x14ac:dyDescent="0.25">
      <c r="A87" s="39" t="s">
        <v>116</v>
      </c>
      <c r="B87" s="13" t="s">
        <v>150</v>
      </c>
      <c r="C87" s="13" t="s">
        <v>206</v>
      </c>
      <c r="D87" s="13">
        <v>-994043</v>
      </c>
      <c r="E87" s="13">
        <v>0</v>
      </c>
      <c r="F87" s="13">
        <v>0</v>
      </c>
      <c r="G87" s="13">
        <v>46924</v>
      </c>
      <c r="H87" s="13">
        <v>-947120</v>
      </c>
      <c r="I87" s="13">
        <v>0</v>
      </c>
      <c r="J87" s="13">
        <v>0</v>
      </c>
      <c r="K87" s="13">
        <v>0</v>
      </c>
      <c r="L87" s="13">
        <v>0</v>
      </c>
      <c r="M87" s="13">
        <v>-347915</v>
      </c>
      <c r="N87" s="13">
        <v>-331492</v>
      </c>
      <c r="O87" s="13">
        <v>-347915</v>
      </c>
      <c r="P87" s="13">
        <v>0</v>
      </c>
      <c r="Q87" s="13">
        <v>-331492</v>
      </c>
      <c r="R87" s="13">
        <v>0</v>
      </c>
    </row>
    <row r="88" spans="1:18" x14ac:dyDescent="0.25">
      <c r="A88" s="39" t="s">
        <v>121</v>
      </c>
      <c r="B88" s="13" t="s">
        <v>150</v>
      </c>
      <c r="C88" s="13" t="s">
        <v>152</v>
      </c>
      <c r="D88" s="13">
        <v>-973982</v>
      </c>
      <c r="E88" s="13">
        <v>0</v>
      </c>
      <c r="F88" s="13">
        <v>0</v>
      </c>
      <c r="G88" s="13">
        <v>-1980</v>
      </c>
      <c r="H88" s="13">
        <v>-975961</v>
      </c>
      <c r="I88" s="13">
        <v>0</v>
      </c>
      <c r="J88" s="13">
        <v>0</v>
      </c>
      <c r="K88" s="13">
        <v>0</v>
      </c>
      <c r="L88" s="13">
        <v>0</v>
      </c>
      <c r="M88" s="13">
        <v>-340894</v>
      </c>
      <c r="N88" s="13">
        <v>-341586</v>
      </c>
      <c r="O88" s="13">
        <v>-340894</v>
      </c>
      <c r="P88" s="13">
        <v>0</v>
      </c>
      <c r="Q88" s="13">
        <v>-341586</v>
      </c>
      <c r="R88" s="13">
        <v>0</v>
      </c>
    </row>
    <row r="89" spans="1:18" x14ac:dyDescent="0.25">
      <c r="A89" s="39" t="s">
        <v>121</v>
      </c>
      <c r="B89" s="13" t="s">
        <v>150</v>
      </c>
      <c r="C89" s="13" t="s">
        <v>157</v>
      </c>
      <c r="D89" s="13">
        <v>-3900875</v>
      </c>
      <c r="E89" s="13">
        <v>0</v>
      </c>
      <c r="F89" s="13">
        <v>0</v>
      </c>
      <c r="G89" s="13">
        <v>688329</v>
      </c>
      <c r="H89" s="13">
        <v>-3212546</v>
      </c>
      <c r="I89" s="13">
        <v>0</v>
      </c>
      <c r="J89" s="13">
        <v>0</v>
      </c>
      <c r="K89" s="13">
        <v>0</v>
      </c>
      <c r="L89" s="13">
        <v>0</v>
      </c>
      <c r="M89" s="13">
        <v>-1365306</v>
      </c>
      <c r="N89" s="13">
        <v>-1124391</v>
      </c>
      <c r="O89" s="13">
        <v>-1365306</v>
      </c>
      <c r="P89" s="13">
        <v>0</v>
      </c>
      <c r="Q89" s="13">
        <v>-1124391</v>
      </c>
      <c r="R89" s="13">
        <v>0</v>
      </c>
    </row>
    <row r="90" spans="1:18" x14ac:dyDescent="0.25">
      <c r="A90" s="39" t="s">
        <v>116</v>
      </c>
      <c r="B90" s="13" t="s">
        <v>150</v>
      </c>
      <c r="C90" s="13" t="s">
        <v>159</v>
      </c>
      <c r="D90" s="13">
        <v>-9170783</v>
      </c>
      <c r="E90" s="13">
        <v>0</v>
      </c>
      <c r="F90" s="13">
        <v>0</v>
      </c>
      <c r="G90" s="13">
        <v>396271</v>
      </c>
      <c r="H90" s="13">
        <v>-8774513</v>
      </c>
      <c r="I90" s="13">
        <v>0</v>
      </c>
      <c r="J90" s="13">
        <v>0</v>
      </c>
      <c r="K90" s="13">
        <v>0</v>
      </c>
      <c r="L90" s="13">
        <v>0</v>
      </c>
      <c r="M90" s="13">
        <v>-3209774</v>
      </c>
      <c r="N90" s="13">
        <v>-3071079</v>
      </c>
      <c r="O90" s="13">
        <v>-3209774</v>
      </c>
      <c r="P90" s="13">
        <v>0</v>
      </c>
      <c r="Q90" s="13">
        <v>-3071079</v>
      </c>
      <c r="R90" s="13">
        <v>0</v>
      </c>
    </row>
    <row r="91" spans="1:18" x14ac:dyDescent="0.25">
      <c r="A91" s="39" t="s">
        <v>119</v>
      </c>
      <c r="B91" s="13" t="s">
        <v>150</v>
      </c>
      <c r="C91" s="13" t="s">
        <v>157</v>
      </c>
      <c r="D91" s="13">
        <v>-8921054</v>
      </c>
      <c r="E91" s="13">
        <v>0</v>
      </c>
      <c r="F91" s="13">
        <v>0</v>
      </c>
      <c r="G91" s="13">
        <v>-1712313</v>
      </c>
      <c r="H91" s="13">
        <v>-10633367</v>
      </c>
      <c r="I91" s="13">
        <v>0</v>
      </c>
      <c r="J91" s="13">
        <v>0</v>
      </c>
      <c r="K91" s="13">
        <v>0</v>
      </c>
      <c r="L91" s="13">
        <v>0</v>
      </c>
      <c r="M91" s="13">
        <v>-3122369</v>
      </c>
      <c r="N91" s="13">
        <v>-3721678</v>
      </c>
      <c r="O91" s="13">
        <v>-3122369</v>
      </c>
      <c r="P91" s="13">
        <v>0</v>
      </c>
      <c r="Q91" s="13">
        <v>-3721678</v>
      </c>
      <c r="R91" s="13">
        <v>0</v>
      </c>
    </row>
    <row r="92" spans="1:18" x14ac:dyDescent="0.25">
      <c r="A92" s="39" t="s">
        <v>119</v>
      </c>
      <c r="B92" s="13" t="s">
        <v>150</v>
      </c>
      <c r="C92" s="13" t="s">
        <v>152</v>
      </c>
      <c r="D92" s="13">
        <v>-11170144</v>
      </c>
      <c r="E92" s="13">
        <v>0</v>
      </c>
      <c r="F92" s="13">
        <v>0</v>
      </c>
      <c r="G92" s="13">
        <v>-1003861</v>
      </c>
      <c r="H92" s="13">
        <v>-12174006</v>
      </c>
      <c r="I92" s="13">
        <v>0</v>
      </c>
      <c r="J92" s="13">
        <v>0</v>
      </c>
      <c r="K92" s="13">
        <v>0</v>
      </c>
      <c r="L92" s="13">
        <v>0</v>
      </c>
      <c r="M92" s="13">
        <v>-3909550</v>
      </c>
      <c r="N92" s="13">
        <v>-4260902</v>
      </c>
      <c r="O92" s="13">
        <v>-3909550</v>
      </c>
      <c r="P92" s="13">
        <v>0</v>
      </c>
      <c r="Q92" s="13">
        <v>-4260902</v>
      </c>
      <c r="R92" s="13">
        <v>0</v>
      </c>
    </row>
    <row r="93" spans="1:18" x14ac:dyDescent="0.25">
      <c r="A93" s="39" t="s">
        <v>116</v>
      </c>
      <c r="B93" s="13" t="s">
        <v>150</v>
      </c>
      <c r="C93" s="13" t="s">
        <v>153</v>
      </c>
      <c r="D93" s="13">
        <v>-31242894</v>
      </c>
      <c r="E93" s="13">
        <v>0</v>
      </c>
      <c r="F93" s="13">
        <v>0</v>
      </c>
      <c r="G93" s="13">
        <v>-4581552</v>
      </c>
      <c r="H93" s="13">
        <v>-35824446</v>
      </c>
      <c r="I93" s="13">
        <v>0</v>
      </c>
      <c r="J93" s="13">
        <v>0</v>
      </c>
      <c r="K93" s="13">
        <v>0</v>
      </c>
      <c r="L93" s="13">
        <v>0</v>
      </c>
      <c r="M93" s="13">
        <v>-10935013</v>
      </c>
      <c r="N93" s="13">
        <v>-12538556</v>
      </c>
      <c r="O93" s="13">
        <v>-10935013</v>
      </c>
      <c r="P93" s="13">
        <v>0</v>
      </c>
      <c r="Q93" s="13">
        <v>-12538556</v>
      </c>
      <c r="R93" s="13">
        <v>0</v>
      </c>
    </row>
    <row r="94" spans="1:18" x14ac:dyDescent="0.25">
      <c r="A94" s="39" t="s">
        <v>116</v>
      </c>
      <c r="B94" s="13" t="s">
        <v>150</v>
      </c>
      <c r="C94" s="13" t="s">
        <v>164</v>
      </c>
      <c r="D94" s="13">
        <v>-42398664</v>
      </c>
      <c r="E94" s="13">
        <v>0</v>
      </c>
      <c r="F94" s="13">
        <v>0</v>
      </c>
      <c r="G94" s="13">
        <v>1845264</v>
      </c>
      <c r="H94" s="13">
        <v>-40553400</v>
      </c>
      <c r="I94" s="13">
        <v>0</v>
      </c>
      <c r="J94" s="13">
        <v>0</v>
      </c>
      <c r="K94" s="13">
        <v>0</v>
      </c>
      <c r="L94" s="13">
        <v>0</v>
      </c>
      <c r="M94" s="13">
        <v>-14839533</v>
      </c>
      <c r="N94" s="13">
        <v>-14193690</v>
      </c>
      <c r="O94" s="13">
        <v>-14839533</v>
      </c>
      <c r="P94" s="13">
        <v>0</v>
      </c>
      <c r="Q94" s="13">
        <v>-14193690</v>
      </c>
      <c r="R94" s="13">
        <v>0</v>
      </c>
    </row>
    <row r="95" spans="1:18" x14ac:dyDescent="0.25">
      <c r="A95" s="39" t="s">
        <v>116</v>
      </c>
      <c r="B95" s="13" t="s">
        <v>150</v>
      </c>
      <c r="C95" s="13" t="s">
        <v>157</v>
      </c>
      <c r="D95" s="13">
        <v>-116177538</v>
      </c>
      <c r="E95" s="13">
        <v>0</v>
      </c>
      <c r="F95" s="13">
        <v>0</v>
      </c>
      <c r="G95" s="13">
        <v>3742029</v>
      </c>
      <c r="H95" s="13">
        <v>-112435510</v>
      </c>
      <c r="I95" s="13">
        <v>0</v>
      </c>
      <c r="J95" s="13">
        <v>0</v>
      </c>
      <c r="K95" s="13">
        <v>0</v>
      </c>
      <c r="L95" s="13">
        <v>0</v>
      </c>
      <c r="M95" s="13">
        <v>-40662138</v>
      </c>
      <c r="N95" s="13">
        <v>-39352428</v>
      </c>
      <c r="O95" s="13">
        <v>-40662138</v>
      </c>
      <c r="P95" s="13">
        <v>0</v>
      </c>
      <c r="Q95" s="13">
        <v>-39352428</v>
      </c>
      <c r="R95" s="13">
        <v>0</v>
      </c>
    </row>
    <row r="96" spans="1:1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9" x14ac:dyDescent="0.25">
      <c r="B97" s="13"/>
      <c r="C97" s="13" t="s">
        <v>174</v>
      </c>
      <c r="D97" s="17">
        <f t="shared" ref="D97:R97" si="0">SUM(D7:D95)</f>
        <v>5587945185</v>
      </c>
      <c r="E97" s="17">
        <f t="shared" si="0"/>
        <v>538285370</v>
      </c>
      <c r="F97" s="17">
        <f t="shared" si="0"/>
        <v>-157600813</v>
      </c>
      <c r="G97" s="17">
        <f t="shared" si="0"/>
        <v>-816356</v>
      </c>
      <c r="H97" s="17">
        <f t="shared" si="0"/>
        <v>5967813387</v>
      </c>
      <c r="I97" s="17">
        <f t="shared" si="0"/>
        <v>1901337056</v>
      </c>
      <c r="J97" s="17">
        <f t="shared" si="0"/>
        <v>188375614</v>
      </c>
      <c r="K97" s="17">
        <f t="shared" si="0"/>
        <v>-55820058</v>
      </c>
      <c r="L97" s="17">
        <f t="shared" si="0"/>
        <v>2033892612</v>
      </c>
      <c r="M97" s="17">
        <f t="shared" si="0"/>
        <v>1955780816</v>
      </c>
      <c r="N97" s="17">
        <f t="shared" si="0"/>
        <v>2088734684</v>
      </c>
      <c r="O97" s="17">
        <f t="shared" si="0"/>
        <v>59301028</v>
      </c>
      <c r="P97" s="17">
        <f t="shared" si="0"/>
        <v>-4857268</v>
      </c>
      <c r="Q97" s="17">
        <f t="shared" si="0"/>
        <v>58996335</v>
      </c>
      <c r="R97" s="17">
        <f t="shared" si="0"/>
        <v>-4154263</v>
      </c>
      <c r="S97" s="43"/>
    </row>
    <row r="99" spans="1:19" x14ac:dyDescent="0.25">
      <c r="C99" s="44" t="s">
        <v>175</v>
      </c>
      <c r="D99" s="30"/>
      <c r="E99" s="30"/>
      <c r="F99" s="30"/>
      <c r="G99" s="30"/>
      <c r="H99" s="31"/>
      <c r="I99" s="31"/>
      <c r="J99" s="31"/>
      <c r="K99" s="32"/>
      <c r="L99" s="31"/>
      <c r="M99" s="30"/>
    </row>
    <row r="100" spans="1:19" x14ac:dyDescent="0.25">
      <c r="A100" s="39" t="s">
        <v>116</v>
      </c>
      <c r="B100" s="39" t="s">
        <v>117</v>
      </c>
      <c r="C100" s="45" t="s">
        <v>176</v>
      </c>
      <c r="D100" s="30"/>
      <c r="E100" s="30"/>
      <c r="F100" s="30"/>
      <c r="G100" s="30"/>
      <c r="H100" s="31">
        <v>0</v>
      </c>
      <c r="I100" s="31"/>
      <c r="J100" s="31"/>
      <c r="K100" s="32"/>
      <c r="L100" s="31">
        <v>0</v>
      </c>
      <c r="M100" s="46"/>
    </row>
    <row r="101" spans="1:19" x14ac:dyDescent="0.25">
      <c r="A101" s="39" t="s">
        <v>119</v>
      </c>
      <c r="B101" s="39" t="s">
        <v>117</v>
      </c>
      <c r="C101" s="45" t="s">
        <v>177</v>
      </c>
      <c r="D101" s="30"/>
      <c r="E101" s="30"/>
      <c r="F101" s="30"/>
      <c r="G101" s="30"/>
      <c r="H101" s="31">
        <v>0</v>
      </c>
      <c r="I101" s="31"/>
      <c r="J101" s="31"/>
      <c r="K101" s="32"/>
      <c r="L101" s="31">
        <v>0</v>
      </c>
      <c r="M101" s="46"/>
    </row>
    <row r="102" spans="1:19" x14ac:dyDescent="0.25">
      <c r="A102" s="39" t="s">
        <v>116</v>
      </c>
      <c r="B102" s="39" t="s">
        <v>117</v>
      </c>
      <c r="C102" s="45" t="s">
        <v>178</v>
      </c>
      <c r="D102" s="30"/>
      <c r="E102" s="30"/>
      <c r="F102" s="30"/>
      <c r="G102" s="30"/>
      <c r="H102" s="31">
        <v>-2902634.5617689593</v>
      </c>
      <c r="I102" s="31"/>
      <c r="J102" s="31"/>
      <c r="K102" s="32"/>
      <c r="L102" s="31">
        <v>-1015922.0966191357</v>
      </c>
      <c r="M102" s="46"/>
    </row>
    <row r="103" spans="1:19" x14ac:dyDescent="0.25">
      <c r="A103" s="39" t="s">
        <v>119</v>
      </c>
      <c r="B103" s="39" t="s">
        <v>117</v>
      </c>
      <c r="C103" s="45" t="s">
        <v>179</v>
      </c>
      <c r="D103" s="30"/>
      <c r="E103" s="30"/>
      <c r="F103" s="30"/>
      <c r="G103" s="30"/>
      <c r="H103" s="33">
        <v>-710512.11170768179</v>
      </c>
      <c r="I103" s="31"/>
      <c r="J103" s="31"/>
      <c r="K103" s="32"/>
      <c r="L103" s="33">
        <v>-248679.23909768835</v>
      </c>
      <c r="M103" s="46"/>
    </row>
    <row r="104" spans="1:19" x14ac:dyDescent="0.25">
      <c r="A104" s="39" t="s">
        <v>121</v>
      </c>
      <c r="B104" s="39" t="s">
        <v>117</v>
      </c>
      <c r="C104" s="45" t="s">
        <v>180</v>
      </c>
      <c r="D104" s="30"/>
      <c r="E104" s="30"/>
      <c r="F104" s="30"/>
      <c r="G104" s="30"/>
      <c r="H104" s="33">
        <v>0</v>
      </c>
      <c r="I104" s="33"/>
      <c r="J104" s="33"/>
      <c r="K104" s="34"/>
      <c r="L104" s="33">
        <v>0</v>
      </c>
      <c r="M104" s="46"/>
    </row>
    <row r="105" spans="1:19" x14ac:dyDescent="0.25">
      <c r="C105" s="45" t="s">
        <v>181</v>
      </c>
      <c r="D105" s="30"/>
      <c r="E105" s="30"/>
      <c r="F105" s="30"/>
      <c r="G105" s="30"/>
      <c r="H105" s="47">
        <f>SUM(H100:H104)</f>
        <v>-3613146.6734766411</v>
      </c>
      <c r="I105" s="31"/>
      <c r="J105" s="31"/>
      <c r="K105" s="32"/>
      <c r="L105" s="47">
        <f>SUM(L100:L104)</f>
        <v>-1264601.335716824</v>
      </c>
      <c r="M105" s="30"/>
    </row>
    <row r="106" spans="1:19" ht="15.75" thickBot="1" x14ac:dyDescent="0.3">
      <c r="C106" s="45" t="s">
        <v>182</v>
      </c>
      <c r="D106" s="30"/>
      <c r="E106" s="30"/>
      <c r="F106" s="30"/>
      <c r="G106" s="30"/>
      <c r="H106" s="48">
        <f>SUM(H97,H105)</f>
        <v>5964200240.3265238</v>
      </c>
      <c r="I106" s="31"/>
      <c r="J106" s="31"/>
      <c r="K106" s="32"/>
      <c r="L106" s="48">
        <f>SUM(L97,L105)</f>
        <v>2032628010.6642833</v>
      </c>
      <c r="M106" s="30"/>
    </row>
    <row r="107" spans="1:19" ht="15.75" thickTop="1" x14ac:dyDescent="0.25">
      <c r="C107" s="30"/>
      <c r="D107" s="30"/>
      <c r="E107" s="30"/>
      <c r="F107" s="30"/>
      <c r="G107" s="30"/>
      <c r="H107" s="31"/>
      <c r="I107" s="31"/>
      <c r="J107" s="31"/>
      <c r="K107" s="32"/>
      <c r="L107" s="31"/>
      <c r="M107" s="30"/>
    </row>
    <row r="108" spans="1:19" ht="15.75" x14ac:dyDescent="0.25">
      <c r="C108" s="30"/>
      <c r="D108" s="30"/>
      <c r="E108" s="49" t="s">
        <v>183</v>
      </c>
      <c r="F108" s="30"/>
      <c r="G108" s="30"/>
      <c r="H108" s="31"/>
      <c r="I108" s="31"/>
      <c r="J108" s="31"/>
      <c r="K108" s="32"/>
      <c r="L108" s="31"/>
      <c r="M108" s="31"/>
    </row>
    <row r="109" spans="1:19" x14ac:dyDescent="0.25">
      <c r="C109" s="30"/>
      <c r="D109" s="30"/>
      <c r="E109" s="30"/>
      <c r="F109" s="30"/>
      <c r="G109" s="50" t="s">
        <v>184</v>
      </c>
      <c r="H109" s="51" t="s">
        <v>116</v>
      </c>
      <c r="I109" s="51" t="s">
        <v>119</v>
      </c>
      <c r="J109" s="51" t="s">
        <v>121</v>
      </c>
      <c r="K109" s="50" t="s">
        <v>185</v>
      </c>
      <c r="L109" s="50" t="s">
        <v>186</v>
      </c>
      <c r="M109" s="52"/>
    </row>
    <row r="110" spans="1:19" x14ac:dyDescent="0.25">
      <c r="C110" s="30"/>
      <c r="D110" s="30"/>
      <c r="E110" s="30"/>
      <c r="F110" s="53" t="s">
        <v>187</v>
      </c>
      <c r="G110" s="54">
        <f>+H7+H8+H11+H25+H100+H101</f>
        <v>5417971000</v>
      </c>
      <c r="H110" s="54">
        <f>+H7+H25+H100</f>
        <v>3737574742</v>
      </c>
      <c r="I110" s="54">
        <f>+H8+H101</f>
        <v>1506739739</v>
      </c>
      <c r="J110" s="54">
        <f>+H11</f>
        <v>173656519</v>
      </c>
      <c r="K110" s="54">
        <f>+L7+L8+L11+L25+L100+L101</f>
        <v>1900147709</v>
      </c>
      <c r="L110" s="55">
        <f>+L7+L25+L100</f>
        <v>1311720187</v>
      </c>
      <c r="M110" s="52" t="s">
        <v>75</v>
      </c>
    </row>
    <row r="111" spans="1:19" x14ac:dyDescent="0.25">
      <c r="C111" s="30"/>
      <c r="D111" s="30"/>
      <c r="E111" s="30"/>
      <c r="F111" s="53"/>
      <c r="G111" s="56">
        <v>0.21</v>
      </c>
      <c r="H111" s="56">
        <v>0.21</v>
      </c>
      <c r="I111" s="56">
        <v>0.21</v>
      </c>
      <c r="J111" s="56">
        <v>0.21</v>
      </c>
      <c r="K111" s="54"/>
      <c r="L111" s="55">
        <f>+L8+L101</f>
        <v>527641705</v>
      </c>
      <c r="M111" s="57" t="s">
        <v>76</v>
      </c>
    </row>
    <row r="112" spans="1:19" x14ac:dyDescent="0.25">
      <c r="C112" s="30"/>
      <c r="D112" s="30"/>
      <c r="E112" s="30"/>
      <c r="F112" s="53" t="s">
        <v>188</v>
      </c>
      <c r="G112" s="54">
        <f>+G110*G111</f>
        <v>1137773910</v>
      </c>
      <c r="H112" s="54">
        <f t="shared" ref="H112:J112" si="1">+H110*H111</f>
        <v>784890695.81999993</v>
      </c>
      <c r="I112" s="54">
        <f t="shared" si="1"/>
        <v>316415345.19</v>
      </c>
      <c r="J112" s="54">
        <f t="shared" si="1"/>
        <v>36467868.990000002</v>
      </c>
      <c r="K112" s="54"/>
      <c r="L112" s="55">
        <f>L11</f>
        <v>60785817</v>
      </c>
      <c r="M112" s="57" t="s">
        <v>74</v>
      </c>
    </row>
    <row r="113" spans="3:15" x14ac:dyDescent="0.25">
      <c r="C113" s="30"/>
      <c r="D113" s="30"/>
      <c r="E113" s="30"/>
      <c r="F113" s="53" t="s">
        <v>189</v>
      </c>
      <c r="G113" s="35">
        <f>SUM(H113:J113)</f>
        <v>1900147709</v>
      </c>
      <c r="H113" s="35">
        <f>L110</f>
        <v>1311720187</v>
      </c>
      <c r="I113" s="35">
        <f>+L111</f>
        <v>527641705</v>
      </c>
      <c r="J113" s="35">
        <f>+L112</f>
        <v>60785817</v>
      </c>
      <c r="K113" s="54"/>
      <c r="L113" s="47">
        <f>SUM(L110:L112)</f>
        <v>1900147709</v>
      </c>
      <c r="M113" s="33">
        <f>L97-L113</f>
        <v>133744903</v>
      </c>
    </row>
    <row r="114" spans="3:15" x14ac:dyDescent="0.25">
      <c r="C114" s="30"/>
      <c r="D114" s="30"/>
      <c r="E114" s="30"/>
      <c r="F114" s="53" t="s">
        <v>190</v>
      </c>
      <c r="G114" s="54">
        <f>G113-G112</f>
        <v>762373799</v>
      </c>
      <c r="H114" s="54">
        <f>H113-H112</f>
        <v>526829491.18000007</v>
      </c>
      <c r="I114" s="54">
        <f>I113-I112</f>
        <v>211226359.81</v>
      </c>
      <c r="J114" s="54">
        <f>J113-J112</f>
        <v>24317948.009999998</v>
      </c>
      <c r="K114" s="54"/>
      <c r="L114" s="54"/>
      <c r="M114" s="46"/>
    </row>
    <row r="115" spans="3:15" x14ac:dyDescent="0.25">
      <c r="C115" s="30"/>
      <c r="D115" s="30"/>
      <c r="E115" s="30"/>
      <c r="F115" s="53" t="s">
        <v>191</v>
      </c>
      <c r="G115" s="35">
        <f>+SUM(H115:J115)</f>
        <v>815922464.76000011</v>
      </c>
      <c r="H115" s="35">
        <v>557594525.68000007</v>
      </c>
      <c r="I115" s="35">
        <v>230000685.34</v>
      </c>
      <c r="J115" s="35">
        <v>28327253.739999998</v>
      </c>
      <c r="K115" s="54"/>
      <c r="L115" s="54"/>
      <c r="M115" s="46"/>
    </row>
    <row r="116" spans="3:15" x14ac:dyDescent="0.25">
      <c r="C116" s="30"/>
      <c r="D116" s="30"/>
      <c r="E116" s="30"/>
      <c r="F116" s="53" t="s">
        <v>192</v>
      </c>
      <c r="G116" s="54">
        <f>G115-G114</f>
        <v>53548665.76000011</v>
      </c>
      <c r="H116" s="54">
        <f>H115-H114</f>
        <v>30765034.5</v>
      </c>
      <c r="I116" s="54">
        <f>I115-I114</f>
        <v>18774325.530000001</v>
      </c>
      <c r="J116" s="54">
        <f>J115-J114</f>
        <v>4009305.7300000004</v>
      </c>
      <c r="K116" s="54"/>
      <c r="L116" s="54"/>
      <c r="M116" s="46"/>
    </row>
    <row r="117" spans="3:15" x14ac:dyDescent="0.25">
      <c r="C117" s="30"/>
      <c r="D117" s="30"/>
      <c r="E117" s="30"/>
      <c r="F117" s="53"/>
      <c r="G117" s="54"/>
      <c r="H117" s="54"/>
      <c r="I117" s="54"/>
      <c r="J117" s="54"/>
      <c r="K117" s="66" t="s">
        <v>207</v>
      </c>
      <c r="L117" s="67"/>
      <c r="M117" s="68" t="s">
        <v>208</v>
      </c>
      <c r="N117" s="69"/>
      <c r="O117" s="70"/>
    </row>
    <row r="118" spans="3:15" x14ac:dyDescent="0.25">
      <c r="C118" s="30"/>
      <c r="D118" s="30"/>
      <c r="E118" s="30"/>
      <c r="F118" s="58"/>
      <c r="G118" s="59" t="s">
        <v>193</v>
      </c>
      <c r="H118" s="59" t="s">
        <v>194</v>
      </c>
      <c r="I118" s="59" t="s">
        <v>195</v>
      </c>
      <c r="J118" s="60" t="s">
        <v>196</v>
      </c>
      <c r="K118" s="61" t="s">
        <v>209</v>
      </c>
      <c r="L118" s="61" t="s">
        <v>210</v>
      </c>
      <c r="M118" s="59" t="s">
        <v>195</v>
      </c>
      <c r="N118" s="59" t="s">
        <v>194</v>
      </c>
      <c r="O118" s="59" t="s">
        <v>193</v>
      </c>
    </row>
    <row r="119" spans="3:15" x14ac:dyDescent="0.25">
      <c r="C119" s="30"/>
      <c r="D119" s="30"/>
      <c r="E119" s="30"/>
      <c r="F119" s="58" t="s">
        <v>35</v>
      </c>
      <c r="G119" s="54">
        <f>-I115</f>
        <v>-230000685.34</v>
      </c>
      <c r="H119" s="54">
        <f>-I114</f>
        <v>-211226359.81</v>
      </c>
      <c r="I119" s="54">
        <f>+G119-H119</f>
        <v>-18774325.530000001</v>
      </c>
      <c r="J119" s="62">
        <v>0.34549999999999997</v>
      </c>
      <c r="K119" s="54">
        <f>+I120*J119</f>
        <v>-1385215.129715</v>
      </c>
      <c r="L119" s="54">
        <f>J119*H120</f>
        <v>-8401851.0374549981</v>
      </c>
      <c r="M119" s="54">
        <f>+I119+K119</f>
        <v>-20159540.659715001</v>
      </c>
      <c r="N119" s="54">
        <f>SUM(L119,H119)</f>
        <v>-219628210.84745499</v>
      </c>
      <c r="O119" s="54">
        <f>SUM(M119:N119)</f>
        <v>-239787751.50716999</v>
      </c>
    </row>
    <row r="120" spans="3:15" x14ac:dyDescent="0.25">
      <c r="C120" s="30"/>
      <c r="D120" s="30"/>
      <c r="E120" s="30"/>
      <c r="F120" s="58" t="s">
        <v>36</v>
      </c>
      <c r="G120" s="54">
        <f>-J115</f>
        <v>-28327253.739999998</v>
      </c>
      <c r="H120" s="54">
        <f>-J114</f>
        <v>-24317948.009999998</v>
      </c>
      <c r="I120" s="54">
        <f>+G120-H120</f>
        <v>-4009305.7300000004</v>
      </c>
      <c r="J120" s="62"/>
      <c r="K120" s="54"/>
      <c r="L120" s="54"/>
      <c r="M120" s="54"/>
      <c r="N120" s="54"/>
      <c r="O120" s="54">
        <f t="shared" ref="O120:O121" si="2">SUM(M120:N120)</f>
        <v>0</v>
      </c>
    </row>
    <row r="121" spans="3:15" x14ac:dyDescent="0.25">
      <c r="C121" s="30"/>
      <c r="D121" s="30"/>
      <c r="E121" s="30"/>
      <c r="F121" s="58" t="s">
        <v>37</v>
      </c>
      <c r="G121" s="54">
        <f>-H115</f>
        <v>-557594525.68000007</v>
      </c>
      <c r="H121" s="54">
        <f>-H114</f>
        <v>-526829491.18000007</v>
      </c>
      <c r="I121" s="54">
        <f>+G121-H121</f>
        <v>-30765034.5</v>
      </c>
      <c r="J121" s="62">
        <v>0.65449999999999997</v>
      </c>
      <c r="K121" s="54">
        <f>+I120*J121</f>
        <v>-2624090.6002850002</v>
      </c>
      <c r="L121" s="54">
        <f>L122-L119</f>
        <v>-15916096.972545</v>
      </c>
      <c r="M121" s="54">
        <f>+I121+K121</f>
        <v>-33389125.100285001</v>
      </c>
      <c r="N121" s="54">
        <f>SUM(L121,H121)</f>
        <v>-542745588.15254509</v>
      </c>
      <c r="O121" s="54">
        <f t="shared" si="2"/>
        <v>-576134713.25283015</v>
      </c>
    </row>
    <row r="122" spans="3:15" ht="15.75" thickBot="1" x14ac:dyDescent="0.3">
      <c r="C122" s="30"/>
      <c r="D122" s="30"/>
      <c r="E122" s="30"/>
      <c r="F122" s="54"/>
      <c r="G122" s="63">
        <f>SUM(G119:G121)</f>
        <v>-815922464.76000011</v>
      </c>
      <c r="H122" s="63">
        <f>-G114</f>
        <v>-762373799</v>
      </c>
      <c r="I122" s="63">
        <f>-G116</f>
        <v>-53548665.76000011</v>
      </c>
      <c r="J122" s="54"/>
      <c r="K122" s="63">
        <f>SUM(K119:K121)</f>
        <v>-4009305.7300000004</v>
      </c>
      <c r="L122" s="63">
        <f>H120</f>
        <v>-24317948.009999998</v>
      </c>
      <c r="M122" s="63">
        <f>+M119+M121</f>
        <v>-53548665.760000005</v>
      </c>
      <c r="N122" s="63">
        <f>+N119+N121</f>
        <v>-762373799.00000012</v>
      </c>
      <c r="O122" s="63">
        <f>+O119+O121</f>
        <v>-815922464.76000011</v>
      </c>
    </row>
    <row r="123" spans="3:15" ht="15.75" thickTop="1" x14ac:dyDescent="0.25"/>
    <row r="124" spans="3:15" ht="15.75" x14ac:dyDescent="0.25">
      <c r="E124" s="49" t="s">
        <v>211</v>
      </c>
    </row>
    <row r="125" spans="3:15" x14ac:dyDescent="0.25">
      <c r="F125" s="39" t="s">
        <v>212</v>
      </c>
      <c r="G125" s="39">
        <f>SUM(H125:I125)</f>
        <v>99471.695639075246</v>
      </c>
      <c r="H125" s="39">
        <v>0</v>
      </c>
      <c r="I125" s="39">
        <v>99471.695639075246</v>
      </c>
    </row>
    <row r="126" spans="3:15" x14ac:dyDescent="0.25">
      <c r="F126" s="39" t="s">
        <v>213</v>
      </c>
      <c r="G126" s="39">
        <v>0</v>
      </c>
      <c r="H126" s="39">
        <v>0</v>
      </c>
      <c r="I126" s="39">
        <v>0</v>
      </c>
    </row>
    <row r="127" spans="3:15" x14ac:dyDescent="0.25">
      <c r="F127" s="39" t="s">
        <v>214</v>
      </c>
      <c r="G127" s="39">
        <f>SUM(H127:I127)</f>
        <v>406368.83864765405</v>
      </c>
      <c r="H127" s="39">
        <v>0</v>
      </c>
      <c r="I127" s="39">
        <v>406368.83864765405</v>
      </c>
    </row>
    <row r="128" spans="3:15" ht="15.75" thickBot="1" x14ac:dyDescent="0.3">
      <c r="G128" s="64">
        <f>SUM(G125:G127)</f>
        <v>505840.53428672929</v>
      </c>
      <c r="H128" s="64">
        <f t="shared" ref="H128:I128" si="3">SUM(H125:H127)</f>
        <v>0</v>
      </c>
      <c r="I128" s="64">
        <f t="shared" si="3"/>
        <v>505840.53428672929</v>
      </c>
    </row>
    <row r="129" spans="3:15" ht="15.75" thickTop="1" x14ac:dyDescent="0.25">
      <c r="K129" s="66" t="s">
        <v>207</v>
      </c>
      <c r="L129" s="67"/>
      <c r="M129" s="68" t="s">
        <v>208</v>
      </c>
      <c r="N129" s="69"/>
      <c r="O129" s="70"/>
    </row>
    <row r="130" spans="3:15" ht="15.75" x14ac:dyDescent="0.25">
      <c r="C130" s="30"/>
      <c r="D130" s="30"/>
      <c r="E130" s="49" t="s">
        <v>215</v>
      </c>
      <c r="G130" s="59" t="s">
        <v>193</v>
      </c>
      <c r="H130" s="59" t="s">
        <v>194</v>
      </c>
      <c r="I130" s="59" t="s">
        <v>195</v>
      </c>
      <c r="J130" s="60" t="s">
        <v>196</v>
      </c>
      <c r="K130" s="61" t="s">
        <v>209</v>
      </c>
      <c r="L130" s="61" t="s">
        <v>210</v>
      </c>
      <c r="M130" s="59" t="s">
        <v>195</v>
      </c>
      <c r="N130" s="59" t="s">
        <v>194</v>
      </c>
      <c r="O130" s="59" t="s">
        <v>216</v>
      </c>
    </row>
    <row r="131" spans="3:15" x14ac:dyDescent="0.25">
      <c r="C131" s="30"/>
      <c r="D131" s="30"/>
      <c r="E131" s="30"/>
      <c r="F131" s="58" t="s">
        <v>35</v>
      </c>
      <c r="G131" s="54">
        <f>SUM(G119,G125)</f>
        <v>-229901213.64436093</v>
      </c>
      <c r="H131" s="54">
        <f t="shared" ref="H131:I131" si="4">SUM(H119,H125)</f>
        <v>-211226359.81</v>
      </c>
      <c r="I131" s="54">
        <f t="shared" si="4"/>
        <v>-18674853.834360927</v>
      </c>
      <c r="J131" s="62">
        <v>0.34549999999999997</v>
      </c>
      <c r="K131" s="54">
        <f>+I132*J131</f>
        <v>-1385215.129715</v>
      </c>
      <c r="L131" s="54">
        <f>J131*H132</f>
        <v>-8401851.0374549981</v>
      </c>
      <c r="M131" s="54">
        <f>+I131+K131</f>
        <v>-20060068.964075927</v>
      </c>
      <c r="N131" s="54">
        <f>SUM(L131,H131)</f>
        <v>-219628210.84745499</v>
      </c>
      <c r="O131" s="65">
        <f>SUM(M131:N131)</f>
        <v>-239688279.81153092</v>
      </c>
    </row>
    <row r="132" spans="3:15" x14ac:dyDescent="0.25">
      <c r="C132" s="30"/>
      <c r="D132" s="30"/>
      <c r="E132" s="30"/>
      <c r="F132" s="58" t="s">
        <v>36</v>
      </c>
      <c r="G132" s="54">
        <f t="shared" ref="G132:I133" si="5">SUM(G120,G126)</f>
        <v>-28327253.739999998</v>
      </c>
      <c r="H132" s="54">
        <f t="shared" si="5"/>
        <v>-24317948.009999998</v>
      </c>
      <c r="I132" s="54">
        <f t="shared" si="5"/>
        <v>-4009305.7300000004</v>
      </c>
      <c r="J132" s="62"/>
      <c r="K132" s="54"/>
      <c r="L132" s="54"/>
      <c r="M132" s="54"/>
      <c r="N132" s="54"/>
      <c r="O132" s="54">
        <f t="shared" ref="O132:O133" si="6">SUM(M132:N132)</f>
        <v>0</v>
      </c>
    </row>
    <row r="133" spans="3:15" x14ac:dyDescent="0.25">
      <c r="C133" s="30"/>
      <c r="D133" s="30"/>
      <c r="E133" s="30"/>
      <c r="F133" s="58" t="s">
        <v>37</v>
      </c>
      <c r="G133" s="54">
        <f t="shared" si="5"/>
        <v>-557188156.84135246</v>
      </c>
      <c r="H133" s="54">
        <f t="shared" si="5"/>
        <v>-526829491.18000007</v>
      </c>
      <c r="I133" s="54">
        <f t="shared" si="5"/>
        <v>-30358665.661352348</v>
      </c>
      <c r="J133" s="62">
        <v>0.65449999999999997</v>
      </c>
      <c r="K133" s="54">
        <f>+I132*J133</f>
        <v>-2624090.6002850002</v>
      </c>
      <c r="L133" s="54">
        <f>L134-L131</f>
        <v>-15916096.972545</v>
      </c>
      <c r="M133" s="54">
        <f>+I133+K133</f>
        <v>-32982756.261637349</v>
      </c>
      <c r="N133" s="54">
        <f>SUM(L133,H133)</f>
        <v>-542745588.15254509</v>
      </c>
      <c r="O133" s="54">
        <f t="shared" si="6"/>
        <v>-575728344.41418242</v>
      </c>
    </row>
    <row r="134" spans="3:15" ht="15.75" thickBot="1" x14ac:dyDescent="0.3">
      <c r="C134" s="30"/>
      <c r="D134" s="30"/>
      <c r="E134" s="30"/>
      <c r="F134" s="54"/>
      <c r="G134" s="63">
        <f>SUM(G131:G133)</f>
        <v>-815416624.22571337</v>
      </c>
      <c r="H134" s="63">
        <f t="shared" ref="H134:I134" si="7">SUM(H131:H133)</f>
        <v>-762373799</v>
      </c>
      <c r="I134" s="63">
        <f t="shared" si="7"/>
        <v>-53042825.225713275</v>
      </c>
      <c r="J134" s="54"/>
      <c r="K134" s="63">
        <f>SUM(K131:K133)</f>
        <v>-4009305.7300000004</v>
      </c>
      <c r="L134" s="63">
        <f>H132</f>
        <v>-24317948.009999998</v>
      </c>
      <c r="M134" s="63">
        <f>+M131+M133</f>
        <v>-53042825.225713275</v>
      </c>
      <c r="N134" s="63">
        <f>+N131+N133</f>
        <v>-762373799.00000012</v>
      </c>
      <c r="O134" s="63">
        <f>+O131+O133</f>
        <v>-815416624.22571337</v>
      </c>
    </row>
    <row r="135" spans="3:15" ht="15.75" thickTop="1" x14ac:dyDescent="0.25"/>
  </sheetData>
  <autoFilter ref="A6:S97"/>
  <mergeCells count="4">
    <mergeCell ref="K117:L117"/>
    <mergeCell ref="M117:O117"/>
    <mergeCell ref="K129:L129"/>
    <mergeCell ref="M129:O1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138FA9-D0C1-4AA9-A028-392BEB0F4C42}"/>
</file>

<file path=customXml/itemProps2.xml><?xml version="1.0" encoding="utf-8"?>
<ds:datastoreItem xmlns:ds="http://schemas.openxmlformats.org/officeDocument/2006/customXml" ds:itemID="{BC173D03-7DEB-496B-9A63-7BC1914C1240}"/>
</file>

<file path=customXml/itemProps3.xml><?xml version="1.0" encoding="utf-8"?>
<ds:datastoreItem xmlns:ds="http://schemas.openxmlformats.org/officeDocument/2006/customXml" ds:itemID="{B851666C-974E-4007-B825-062136EE07D4}"/>
</file>

<file path=customXml/itemProps4.xml><?xml version="1.0" encoding="utf-8"?>
<ds:datastoreItem xmlns:ds="http://schemas.openxmlformats.org/officeDocument/2006/customXml" ds:itemID="{25267BC6-9324-46BF-A928-651D6A374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ADIT Dec 2017</vt:lpstr>
      <vt:lpstr>Electric</vt:lpstr>
      <vt:lpstr>Gas</vt:lpstr>
      <vt:lpstr>Common</vt:lpstr>
      <vt:lpstr>PT 257</vt:lpstr>
      <vt:lpstr>'ADIT Dec 2017'!Print_Titles</vt:lpstr>
      <vt:lpstr>Common!Print_Titles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NC</cp:lastModifiedBy>
  <cp:lastPrinted>2018-11-06T17:23:39Z</cp:lastPrinted>
  <dcterms:created xsi:type="dcterms:W3CDTF">2018-05-24T20:42:22Z</dcterms:created>
  <dcterms:modified xsi:type="dcterms:W3CDTF">2019-07-31T15:37:30Z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