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5\2015_WA_Elec_and_Gas_GRC\2015 REMAND UE-150204--UG-150205\Rebuttal Testimony\Miller\"/>
    </mc:Choice>
  </mc:AlternateContent>
  <bookViews>
    <workbookView xWindow="3720" yWindow="0" windowWidth="28800" windowHeight="12420"/>
  </bookViews>
  <sheets>
    <sheet name="Electric" sheetId="1" r:id="rId1"/>
    <sheet name="Natural Gas" sheetId="2" r:id="rId2"/>
  </sheets>
  <definedNames>
    <definedName name="_xlnm.Print_Area" localSheetId="0">Electric!$A$1:$J$26</definedName>
    <definedName name="_xlnm.Print_Area" localSheetId="1">'Natural Gas'!$A$1:$J$26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D37" i="2" l="1"/>
  <c r="D45" i="1"/>
  <c r="D41" i="1"/>
  <c r="D39" i="1"/>
  <c r="D37" i="1"/>
  <c r="I24" i="2" l="1"/>
  <c r="D26" i="2"/>
  <c r="E16" i="2" l="1"/>
  <c r="E14" i="2"/>
  <c r="E20" i="2"/>
  <c r="E22" i="2"/>
  <c r="E18" i="2"/>
  <c r="D50" i="2"/>
  <c r="D49" i="2" l="1"/>
  <c r="C47" i="2"/>
  <c r="B47" i="2"/>
  <c r="C45" i="2"/>
  <c r="B45" i="2"/>
  <c r="C43" i="2"/>
  <c r="B43" i="2"/>
  <c r="C41" i="2"/>
  <c r="B41" i="2"/>
  <c r="C39" i="2"/>
  <c r="B39" i="2"/>
  <c r="C37" i="2"/>
  <c r="B37" i="2"/>
  <c r="I26" i="2"/>
  <c r="F24" i="2"/>
  <c r="F22" i="2"/>
  <c r="F20" i="2"/>
  <c r="F18" i="2"/>
  <c r="F16" i="2"/>
  <c r="F14" i="2"/>
  <c r="F26" i="2" l="1"/>
  <c r="E47" i="2"/>
  <c r="F47" i="2" s="1"/>
  <c r="G24" i="2" s="1"/>
  <c r="H24" i="2" s="1"/>
  <c r="J24" i="2" s="1"/>
  <c r="L24" i="2" s="1"/>
  <c r="E49" i="2"/>
  <c r="E37" i="2"/>
  <c r="F37" i="2" s="1"/>
  <c r="D51" i="2"/>
  <c r="E43" i="2"/>
  <c r="F43" i="2" s="1"/>
  <c r="G20" i="2" s="1"/>
  <c r="H20" i="2" s="1"/>
  <c r="J20" i="2" s="1"/>
  <c r="L20" i="2" s="1"/>
  <c r="E45" i="2"/>
  <c r="F45" i="2" s="1"/>
  <c r="G22" i="2" s="1"/>
  <c r="H22" i="2" s="1"/>
  <c r="J22" i="2" s="1"/>
  <c r="L22" i="2" s="1"/>
  <c r="E39" i="2"/>
  <c r="F39" i="2" s="1"/>
  <c r="E41" i="2"/>
  <c r="F41" i="2" s="1"/>
  <c r="E26" i="2"/>
  <c r="D50" i="1"/>
  <c r="G16" i="2" l="1"/>
  <c r="H16" i="2" s="1"/>
  <c r="J16" i="2" s="1"/>
  <c r="L16" i="2" s="1"/>
  <c r="H18" i="2"/>
  <c r="G14" i="2"/>
  <c r="F49" i="2"/>
  <c r="D49" i="1"/>
  <c r="E47" i="1" l="1"/>
  <c r="F47" i="1" s="1"/>
  <c r="G24" i="1" s="1"/>
  <c r="E45" i="1"/>
  <c r="F45" i="1" s="1"/>
  <c r="G22" i="1" s="1"/>
  <c r="E43" i="1"/>
  <c r="F43" i="1" s="1"/>
  <c r="G20" i="1" s="1"/>
  <c r="E39" i="1"/>
  <c r="F39" i="1" s="1"/>
  <c r="G16" i="1" s="1"/>
  <c r="E37" i="1"/>
  <c r="F37" i="1" s="1"/>
  <c r="E49" i="1"/>
  <c r="E41" i="1"/>
  <c r="F41" i="1" s="1"/>
  <c r="G18" i="1" s="1"/>
  <c r="G26" i="2"/>
  <c r="H14" i="2"/>
  <c r="D51" i="1"/>
  <c r="E16" i="1"/>
  <c r="F16" i="1" s="1"/>
  <c r="E18" i="1"/>
  <c r="F18" i="1" s="1"/>
  <c r="E20" i="1"/>
  <c r="F20" i="1" s="1"/>
  <c r="H20" i="1" s="1"/>
  <c r="J20" i="1" s="1"/>
  <c r="L20" i="1" s="1"/>
  <c r="E22" i="1"/>
  <c r="F22" i="1" s="1"/>
  <c r="H22" i="1" s="1"/>
  <c r="J22" i="1" s="1"/>
  <c r="L22" i="1" s="1"/>
  <c r="E24" i="1"/>
  <c r="F24" i="1" s="1"/>
  <c r="E14" i="1"/>
  <c r="F14" i="1" s="1"/>
  <c r="I26" i="1"/>
  <c r="H16" i="1" l="1"/>
  <c r="J16" i="1" s="1"/>
  <c r="L16" i="1" s="1"/>
  <c r="H18" i="1"/>
  <c r="J18" i="1" s="1"/>
  <c r="L18" i="1" s="1"/>
  <c r="F49" i="1"/>
  <c r="G14" i="1"/>
  <c r="G26" i="1" s="1"/>
  <c r="H24" i="1"/>
  <c r="J24" i="1" s="1"/>
  <c r="L24" i="1" s="1"/>
  <c r="J14" i="2"/>
  <c r="H26" i="2"/>
  <c r="E26" i="1"/>
  <c r="F26" i="1"/>
  <c r="L14" i="2" l="1"/>
  <c r="L26" i="2" s="1"/>
  <c r="H14" i="1"/>
  <c r="J14" i="1" l="1"/>
  <c r="L14" i="1" s="1"/>
  <c r="L26" i="1" s="1"/>
  <c r="H26" i="1"/>
</calcChain>
</file>

<file path=xl/sharedStrings.xml><?xml version="1.0" encoding="utf-8"?>
<sst xmlns="http://schemas.openxmlformats.org/spreadsheetml/2006/main" count="150" uniqueCount="65">
  <si>
    <t>kWh</t>
  </si>
  <si>
    <t>Cents</t>
  </si>
  <si>
    <t>Type of</t>
  </si>
  <si>
    <t>Schedule</t>
  </si>
  <si>
    <t xml:space="preserve">Rate </t>
  </si>
  <si>
    <t>Billing</t>
  </si>
  <si>
    <t xml:space="preserve">Per </t>
  </si>
  <si>
    <t>No.</t>
  </si>
  <si>
    <t>Service</t>
  </si>
  <si>
    <t>Number</t>
  </si>
  <si>
    <t>Adjustment</t>
  </si>
  <si>
    <t>Determinants</t>
  </si>
  <si>
    <t>(a)</t>
  </si>
  <si>
    <t>(b)</t>
  </si>
  <si>
    <t>(c)</t>
  </si>
  <si>
    <t>(d)</t>
  </si>
  <si>
    <t>(e)</t>
  </si>
  <si>
    <t>Residential</t>
  </si>
  <si>
    <t>1/2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</si>
  <si>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</si>
  <si>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</si>
  <si>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</si>
  <si>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</si>
  <si>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</si>
  <si>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</si>
  <si>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</si>
  <si>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</si>
  <si>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</si>
  <si>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Total</t>
  </si>
  <si>
    <t>Refund</t>
  </si>
  <si>
    <t>Base Tariff</t>
  </si>
  <si>
    <t>Revenue</t>
  </si>
  <si>
    <t>Under Present</t>
  </si>
  <si>
    <t>Rates</t>
  </si>
  <si>
    <t>Percentage</t>
  </si>
  <si>
    <t>Allocation</t>
  </si>
  <si>
    <t>Earnings</t>
  </si>
  <si>
    <t>Offset</t>
  </si>
  <si>
    <t>(f)</t>
  </si>
  <si>
    <t>(g)</t>
  </si>
  <si>
    <t>(h)</t>
  </si>
  <si>
    <t>(i)</t>
  </si>
  <si>
    <t>Received</t>
  </si>
  <si>
    <t>Proportionate</t>
  </si>
  <si>
    <t>Share</t>
  </si>
  <si>
    <t>Earnings Test</t>
  </si>
  <si>
    <t>Total Received by Customers</t>
  </si>
  <si>
    <t>Sch 75 Credits</t>
  </si>
  <si>
    <t>2016 Earnings Sharing Reduction to Decoupling Balance</t>
  </si>
  <si>
    <t>Credits (Over) Under Sharing</t>
  </si>
  <si>
    <t>101/102</t>
  </si>
  <si>
    <t>121/122</t>
  </si>
  <si>
    <t>Interruptible Service</t>
  </si>
  <si>
    <t>131/132</t>
  </si>
  <si>
    <t>Transportation Service</t>
  </si>
  <si>
    <t>Therm</t>
  </si>
  <si>
    <t>Sch 175 Credits</t>
  </si>
  <si>
    <t>Extra-Large General Service</t>
  </si>
  <si>
    <t>111/112/116</t>
  </si>
  <si>
    <t>AVISTA UTILITIES</t>
  </si>
  <si>
    <t>WASHINGTON ELECTRIC</t>
  </si>
  <si>
    <t>(000s of Dollars)</t>
  </si>
  <si>
    <t>WASHINGTON NATURAL GAS</t>
  </si>
  <si>
    <t xml:space="preserve"> CHANGE BY SERVICE SCHEDULE</t>
  </si>
  <si>
    <t>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</si>
</sst>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\(&quot;$&quot;#,##0.00000\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rgb="FF0066FF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5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16" fontId="4" fillId="0" borderId="0" xfId="0" quotePrefix="1" applyNumberFormat="1" applyFont="1" applyAlignment="1">
      <alignment horizontal="center"/>
    </xf>
    <xf numFmtId="166" fontId="4" fillId="0" borderId="0" xfId="3" quotePrefix="1" applyNumberFormat="1" applyFont="1" applyAlignment="1">
      <alignment horizontal="center"/>
    </xf>
    <xf numFmtId="5" fontId="3" fillId="0" borderId="0" xfId="0" applyNumberFormat="1" applyFont="1"/>
    <xf numFmtId="165" fontId="3" fillId="0" borderId="0" xfId="1" applyNumberFormat="1" applyFont="1"/>
    <xf numFmtId="164" fontId="5" fillId="0" borderId="0" xfId="0" applyNumberFormat="1" applyFont="1"/>
    <xf numFmtId="167" fontId="3" fillId="0" borderId="0" xfId="2" applyNumberFormat="1" applyFont="1"/>
    <xf numFmtId="0" fontId="4" fillId="0" borderId="0" xfId="0" quotePrefix="1" applyFont="1" applyAlignment="1">
      <alignment horizontal="center"/>
    </xf>
    <xf numFmtId="5" fontId="6" fillId="0" borderId="0" xfId="0" applyNumberFormat="1" applyFont="1" applyBorder="1" applyAlignment="1">
      <alignment horizontal="center"/>
    </xf>
    <xf numFmtId="5" fontId="7" fillId="0" borderId="0" xfId="0" applyNumberFormat="1" applyFont="1"/>
    <xf numFmtId="165" fontId="6" fillId="0" borderId="0" xfId="1" applyNumberFormat="1" applyFont="1"/>
    <xf numFmtId="0" fontId="4" fillId="0" borderId="0" xfId="0" applyFont="1" applyAlignment="1">
      <alignment horizontal="left" indent="3"/>
    </xf>
    <xf numFmtId="166" fontId="4" fillId="0" borderId="0" xfId="0" applyNumberFormat="1" applyFont="1" applyAlignment="1">
      <alignment horizontal="center"/>
    </xf>
    <xf numFmtId="37" fontId="3" fillId="0" borderId="0" xfId="0" applyNumberFormat="1" applyFont="1"/>
    <xf numFmtId="167" fontId="3" fillId="0" borderId="0" xfId="0" applyNumberFormat="1" applyFont="1"/>
    <xf numFmtId="5" fontId="3" fillId="0" borderId="0" xfId="0" applyNumberFormat="1" applyFont="1" applyAlignment="1">
      <alignment horizontal="center"/>
    </xf>
    <xf numFmtId="5" fontId="9" fillId="0" borderId="0" xfId="0" applyNumberFormat="1" applyFont="1" applyAlignment="1"/>
    <xf numFmtId="0" fontId="8" fillId="0" borderId="0" xfId="0" applyFont="1"/>
    <xf numFmtId="5" fontId="4" fillId="0" borderId="0" xfId="0" applyNumberFormat="1" applyFont="1" applyFill="1" applyAlignment="1">
      <alignment horizontal="center"/>
    </xf>
    <xf numFmtId="166" fontId="4" fillId="0" borderId="0" xfId="3" quotePrefix="1" applyNumberFormat="1" applyFont="1" applyFill="1" applyAlignment="1">
      <alignment horizontal="center"/>
    </xf>
    <xf numFmtId="5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6" fillId="0" borderId="0" xfId="1" applyNumberFormat="1" applyFont="1" applyFill="1"/>
    <xf numFmtId="167" fontId="10" fillId="0" borderId="0" xfId="2" applyNumberFormat="1" applyFont="1"/>
    <xf numFmtId="167" fontId="10" fillId="0" borderId="0" xfId="2" applyNumberFormat="1" applyFont="1" applyFill="1"/>
    <xf numFmtId="0" fontId="4" fillId="0" borderId="0" xfId="0" applyFont="1" applyAlignment="1">
      <alignment horizontal="center" wrapText="1"/>
    </xf>
    <xf numFmtId="5" fontId="9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workbookViewId="0">
      <selection activeCell="H30" sqref="H30"/>
    </sheetView>
  </sheetViews>
  <sheetFormatPr defaultRowHeight="15" x14ac:dyDescent="0.25"/>
  <cols>
    <col min="1" max="1" width="4" bestFit="1" customWidth="1"/>
    <col min="2" max="2" width="26.5703125" customWidth="1"/>
    <col min="3" max="3" width="9" bestFit="1" customWidth="1"/>
    <col min="4" max="4" width="14.140625" bestFit="1" customWidth="1"/>
    <col min="5" max="5" width="12.85546875" bestFit="1" customWidth="1"/>
    <col min="6" max="6" width="12.7109375" bestFit="1" customWidth="1"/>
    <col min="7" max="7" width="9.42578125" bestFit="1" customWidth="1"/>
    <col min="8" max="8" width="10.85546875" bestFit="1" customWidth="1"/>
    <col min="9" max="9" width="15.7109375" bestFit="1" customWidth="1"/>
    <col min="10" max="10" width="11.7109375" customWidth="1"/>
    <col min="12" max="12" width="14.42578125" bestFit="1" customWidth="1"/>
  </cols>
  <sheetData>
    <row r="1" spans="1:18" x14ac:dyDescent="0.25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40" t="s">
        <v>60</v>
      </c>
      <c r="B2" s="40"/>
      <c r="C2" s="40"/>
      <c r="D2" s="40"/>
      <c r="E2" s="40"/>
      <c r="F2" s="40"/>
      <c r="G2" s="40"/>
      <c r="H2" s="40"/>
      <c r="I2" s="40"/>
      <c r="J2" s="4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40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  <c r="K4" s="30"/>
      <c r="L4" s="30"/>
      <c r="M4" s="30"/>
      <c r="N4" s="30"/>
      <c r="O4" s="30"/>
      <c r="P4" s="30"/>
      <c r="Q4" s="30"/>
      <c r="R4" s="30"/>
    </row>
    <row r="6" spans="1:18" ht="15.75" x14ac:dyDescent="0.25">
      <c r="A6" s="1"/>
      <c r="B6" s="31"/>
      <c r="F6" s="2"/>
      <c r="G6" s="2"/>
      <c r="H6" s="2"/>
    </row>
    <row r="7" spans="1:18" ht="15.75" x14ac:dyDescent="0.25">
      <c r="A7" s="1"/>
      <c r="B7" s="31"/>
      <c r="F7" s="2"/>
      <c r="G7" s="2"/>
      <c r="H7" s="2"/>
    </row>
    <row r="8" spans="1:18" ht="15.75" x14ac:dyDescent="0.25">
      <c r="A8" s="3"/>
      <c r="B8" s="3"/>
      <c r="C8" s="3"/>
      <c r="D8" s="4" t="s">
        <v>30</v>
      </c>
      <c r="E8" s="3"/>
      <c r="F8" s="5"/>
      <c r="G8" s="5"/>
      <c r="H8" s="5"/>
      <c r="I8" s="3"/>
      <c r="J8" s="3"/>
      <c r="K8" s="3"/>
      <c r="L8" s="3"/>
    </row>
    <row r="9" spans="1:18" ht="15.75" x14ac:dyDescent="0.25">
      <c r="A9" s="6"/>
      <c r="B9" s="6"/>
      <c r="C9" s="7"/>
      <c r="D9" s="6" t="s">
        <v>31</v>
      </c>
      <c r="E9" s="7"/>
      <c r="F9" s="5" t="s">
        <v>29</v>
      </c>
      <c r="G9" s="5" t="s">
        <v>36</v>
      </c>
      <c r="H9" s="5" t="s">
        <v>28</v>
      </c>
      <c r="I9" s="5" t="s">
        <v>0</v>
      </c>
      <c r="J9" s="8" t="s">
        <v>1</v>
      </c>
      <c r="K9" s="3"/>
      <c r="L9" s="3"/>
    </row>
    <row r="10" spans="1:18" ht="15.75" x14ac:dyDescent="0.25">
      <c r="A10" s="6"/>
      <c r="B10" s="6" t="s">
        <v>2</v>
      </c>
      <c r="C10" s="6" t="s">
        <v>3</v>
      </c>
      <c r="D10" s="4" t="s">
        <v>32</v>
      </c>
      <c r="E10" s="6" t="s">
        <v>34</v>
      </c>
      <c r="F10" s="6" t="s">
        <v>4</v>
      </c>
      <c r="G10" s="6" t="s">
        <v>64</v>
      </c>
      <c r="H10" s="6" t="s">
        <v>4</v>
      </c>
      <c r="I10" s="6" t="s">
        <v>5</v>
      </c>
      <c r="J10" s="8" t="s">
        <v>6</v>
      </c>
      <c r="K10" s="3"/>
      <c r="L10" s="3"/>
    </row>
    <row r="11" spans="1:18" ht="15.75" x14ac:dyDescent="0.25">
      <c r="A11" s="9" t="s">
        <v>7</v>
      </c>
      <c r="B11" s="9" t="s">
        <v>8</v>
      </c>
      <c r="C11" s="9" t="s">
        <v>9</v>
      </c>
      <c r="D11" s="10" t="s">
        <v>33</v>
      </c>
      <c r="E11" s="9" t="s">
        <v>35</v>
      </c>
      <c r="F11" s="11" t="s">
        <v>10</v>
      </c>
      <c r="G11" s="11" t="s">
        <v>37</v>
      </c>
      <c r="H11" s="11" t="s">
        <v>10</v>
      </c>
      <c r="I11" s="11" t="s">
        <v>11</v>
      </c>
      <c r="J11" s="12" t="s">
        <v>0</v>
      </c>
      <c r="K11" s="3"/>
      <c r="L11" s="3"/>
    </row>
    <row r="12" spans="1:18" ht="15.75" x14ac:dyDescent="0.25">
      <c r="A12" s="6"/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16</v>
      </c>
      <c r="G12" s="6" t="s">
        <v>38</v>
      </c>
      <c r="H12" s="6" t="s">
        <v>39</v>
      </c>
      <c r="I12" s="6" t="s">
        <v>40</v>
      </c>
      <c r="J12" s="6" t="s">
        <v>41</v>
      </c>
      <c r="K12" s="3"/>
      <c r="L12" s="3"/>
    </row>
    <row r="13" spans="1:18" ht="15.75" x14ac:dyDescent="0.25">
      <c r="A13" s="6"/>
      <c r="B13" s="13"/>
      <c r="C13" s="6"/>
      <c r="D13" s="6"/>
      <c r="E13" s="6"/>
      <c r="F13" s="3"/>
      <c r="G13" s="3"/>
      <c r="H13" s="3"/>
      <c r="I13" s="3"/>
      <c r="J13" s="14"/>
      <c r="K13" s="3"/>
      <c r="L13" s="3"/>
    </row>
    <row r="14" spans="1:18" ht="15.75" x14ac:dyDescent="0.25">
      <c r="A14" s="6">
        <v>1</v>
      </c>
      <c r="B14" s="13" t="s">
        <v>17</v>
      </c>
      <c r="C14" s="15" t="s">
        <v>18</v>
      </c>
      <c r="D14" s="4">
        <v>216074.59747000004</v>
      </c>
      <c r="E14" s="16">
        <f>D14/$D$26</f>
        <v>0.43041076503672004</v>
      </c>
      <c r="F14" s="17">
        <f>$F$29*E14</f>
        <v>-1141.8797596424183</v>
      </c>
      <c r="G14" s="17">
        <f>ROUND(F37/1000,0)</f>
        <v>672</v>
      </c>
      <c r="H14" s="17">
        <f>F14+G14</f>
        <v>-469.87975964241832</v>
      </c>
      <c r="I14" s="18">
        <v>2374703688.5802503</v>
      </c>
      <c r="J14" s="19">
        <f>ROUND((H14*1000)/I14,5)</f>
        <v>-2.0000000000000001E-4</v>
      </c>
      <c r="K14" s="3"/>
      <c r="L14" s="20">
        <f>I14*J14</f>
        <v>-474940.73771605006</v>
      </c>
    </row>
    <row r="15" spans="1:18" ht="15.75" x14ac:dyDescent="0.25">
      <c r="A15" s="6"/>
      <c r="B15" s="13"/>
      <c r="C15" s="6"/>
      <c r="D15" s="4"/>
      <c r="E15" s="16"/>
      <c r="F15" s="17"/>
      <c r="G15" s="17"/>
      <c r="H15" s="17"/>
      <c r="I15" s="18"/>
      <c r="J15" s="19"/>
      <c r="K15" s="3"/>
      <c r="L15" s="20"/>
    </row>
    <row r="16" spans="1:18" ht="15.75" x14ac:dyDescent="0.25">
      <c r="A16" s="6">
        <v>2</v>
      </c>
      <c r="B16" s="13" t="s">
        <v>19</v>
      </c>
      <c r="C16" s="15" t="s">
        <v>20</v>
      </c>
      <c r="D16" s="4">
        <v>75060.953438333352</v>
      </c>
      <c r="E16" s="16">
        <f t="shared" ref="E16:E24" si="0">D16/$D$26</f>
        <v>0.14951800337503446</v>
      </c>
      <c r="F16" s="17">
        <f t="shared" ref="F16:F24" si="1">$F$29*E16</f>
        <v>-396.67126295396639</v>
      </c>
      <c r="G16" s="17">
        <f>ROUND(F39/1000,0)</f>
        <v>189</v>
      </c>
      <c r="H16" s="17">
        <f t="shared" ref="H16:H24" si="2">F16+G16</f>
        <v>-207.67126295396639</v>
      </c>
      <c r="I16" s="18">
        <v>619305952.10904014</v>
      </c>
      <c r="J16" s="19">
        <f t="shared" ref="J16:J24" si="3">ROUND((H16*1000)/I16,5)</f>
        <v>-3.4000000000000002E-4</v>
      </c>
      <c r="K16" s="3"/>
      <c r="L16" s="20">
        <f t="shared" ref="L16:L24" si="4">I16*J16</f>
        <v>-210564.02371707367</v>
      </c>
    </row>
    <row r="17" spans="1:12" ht="15.75" x14ac:dyDescent="0.25">
      <c r="A17" s="6"/>
      <c r="B17" s="13"/>
      <c r="C17" s="6"/>
      <c r="D17" s="4"/>
      <c r="E17" s="16"/>
      <c r="F17" s="17"/>
      <c r="G17" s="17"/>
      <c r="H17" s="17"/>
      <c r="I17" s="18"/>
      <c r="J17" s="19"/>
      <c r="K17" s="3"/>
      <c r="L17" s="20"/>
    </row>
    <row r="18" spans="1:12" ht="15.75" x14ac:dyDescent="0.25">
      <c r="A18" s="6">
        <v>3</v>
      </c>
      <c r="B18" s="13" t="s">
        <v>21</v>
      </c>
      <c r="C18" s="21" t="s">
        <v>22</v>
      </c>
      <c r="D18" s="4">
        <v>125677.26809166667</v>
      </c>
      <c r="E18" s="16">
        <f t="shared" si="0"/>
        <v>0.25034339871705424</v>
      </c>
      <c r="F18" s="17">
        <f t="shared" si="1"/>
        <v>-664.16103679634489</v>
      </c>
      <c r="G18" s="17">
        <f>ROUND(F41/1000,0)</f>
        <v>422</v>
      </c>
      <c r="H18" s="17">
        <f t="shared" si="2"/>
        <v>-242.16103679634489</v>
      </c>
      <c r="I18" s="18">
        <v>1365904624.1300001</v>
      </c>
      <c r="J18" s="19">
        <f t="shared" si="3"/>
        <v>-1.8000000000000001E-4</v>
      </c>
      <c r="K18" s="3"/>
      <c r="L18" s="20">
        <f t="shared" si="4"/>
        <v>-245862.83234340005</v>
      </c>
    </row>
    <row r="19" spans="1:12" ht="15.75" x14ac:dyDescent="0.25">
      <c r="A19" s="6"/>
      <c r="B19" s="13"/>
      <c r="C19" s="6"/>
      <c r="D19" s="4"/>
      <c r="E19" s="16"/>
      <c r="F19" s="17"/>
      <c r="G19" s="17"/>
      <c r="H19" s="17"/>
      <c r="I19" s="18"/>
      <c r="J19" s="19"/>
      <c r="K19" s="3"/>
      <c r="L19" s="20"/>
    </row>
    <row r="20" spans="1:12" ht="15.75" x14ac:dyDescent="0.25">
      <c r="A20" s="6">
        <v>4</v>
      </c>
      <c r="B20" s="13" t="s">
        <v>23</v>
      </c>
      <c r="C20" s="6">
        <v>25</v>
      </c>
      <c r="D20" s="4">
        <v>66743.707566132012</v>
      </c>
      <c r="E20" s="16">
        <f t="shared" si="0"/>
        <v>0.13295042809886298</v>
      </c>
      <c r="F20" s="17">
        <f t="shared" si="1"/>
        <v>-352.7174857462835</v>
      </c>
      <c r="G20" s="17">
        <f>ROUND(F43/1000,0)</f>
        <v>0</v>
      </c>
      <c r="H20" s="17">
        <f t="shared" si="2"/>
        <v>-352.7174857462835</v>
      </c>
      <c r="I20" s="18">
        <v>1113564011.698</v>
      </c>
      <c r="J20" s="19">
        <f t="shared" si="3"/>
        <v>-3.2000000000000003E-4</v>
      </c>
      <c r="K20" s="3"/>
      <c r="L20" s="20">
        <f t="shared" si="4"/>
        <v>-356340.48374336003</v>
      </c>
    </row>
    <row r="21" spans="1:12" ht="15.75" x14ac:dyDescent="0.25">
      <c r="A21" s="6"/>
      <c r="B21" s="13"/>
      <c r="C21" s="6"/>
      <c r="D21" s="4"/>
      <c r="E21" s="16"/>
      <c r="F21" s="17"/>
      <c r="G21" s="17"/>
      <c r="H21" s="17"/>
      <c r="I21" s="18"/>
      <c r="J21" s="19"/>
      <c r="K21" s="3"/>
      <c r="L21" s="20"/>
    </row>
    <row r="22" spans="1:12" ht="15.75" x14ac:dyDescent="0.25">
      <c r="A22" s="6">
        <v>5</v>
      </c>
      <c r="B22" s="13" t="s">
        <v>24</v>
      </c>
      <c r="C22" s="21" t="s">
        <v>25</v>
      </c>
      <c r="D22" s="4">
        <v>12038.755110000002</v>
      </c>
      <c r="E22" s="16">
        <f t="shared" si="0"/>
        <v>2.3980652319411318E-2</v>
      </c>
      <c r="F22" s="17">
        <f t="shared" si="1"/>
        <v>-63.620670603398224</v>
      </c>
      <c r="G22" s="17">
        <f>ROUND(F45/1000,0)</f>
        <v>44</v>
      </c>
      <c r="H22" s="17">
        <f t="shared" si="2"/>
        <v>-19.620670603398224</v>
      </c>
      <c r="I22" s="18">
        <v>145822517.44201002</v>
      </c>
      <c r="J22" s="19">
        <f t="shared" si="3"/>
        <v>-1.2999999999999999E-4</v>
      </c>
      <c r="K22" s="3"/>
      <c r="L22" s="20">
        <f t="shared" si="4"/>
        <v>-18956.927267461302</v>
      </c>
    </row>
    <row r="23" spans="1:12" ht="15.75" x14ac:dyDescent="0.25">
      <c r="A23" s="6"/>
      <c r="B23" s="13"/>
      <c r="C23" s="6"/>
      <c r="D23" s="4"/>
      <c r="E23" s="16"/>
      <c r="F23" s="17"/>
      <c r="G23" s="17"/>
      <c r="H23" s="17"/>
      <c r="I23" s="18"/>
      <c r="J23" s="19"/>
      <c r="K23" s="3"/>
      <c r="L23" s="20"/>
    </row>
    <row r="24" spans="1:12" ht="15.75" x14ac:dyDescent="0.25">
      <c r="A24" s="6">
        <v>6</v>
      </c>
      <c r="B24" s="13" t="s">
        <v>26</v>
      </c>
      <c r="C24" s="6" t="s">
        <v>27</v>
      </c>
      <c r="D24" s="22">
        <v>6424.0192802760002</v>
      </c>
      <c r="E24" s="16">
        <f t="shared" si="0"/>
        <v>1.2796354062018433E-2</v>
      </c>
      <c r="F24" s="23">
        <f t="shared" si="1"/>
        <v>-33.9487273265349</v>
      </c>
      <c r="G24" s="23">
        <f>ROUND(F47/1000,0)</f>
        <v>0</v>
      </c>
      <c r="H24" s="23">
        <f t="shared" si="2"/>
        <v>-33.9487273265349</v>
      </c>
      <c r="I24" s="24">
        <v>18542031.540509999</v>
      </c>
      <c r="J24" s="19">
        <f t="shared" si="3"/>
        <v>-1.83E-3</v>
      </c>
      <c r="K24" s="3"/>
      <c r="L24" s="20">
        <f t="shared" si="4"/>
        <v>-33931.9177191333</v>
      </c>
    </row>
    <row r="25" spans="1:12" ht="15.75" x14ac:dyDescent="0.25">
      <c r="A25" s="6"/>
      <c r="B25" s="13"/>
      <c r="C25" s="6"/>
      <c r="D25" s="4"/>
      <c r="E25" s="6"/>
      <c r="F25" s="17"/>
      <c r="G25" s="17"/>
      <c r="H25" s="17"/>
      <c r="I25" s="3"/>
      <c r="J25" s="3"/>
      <c r="K25" s="3"/>
      <c r="L25" s="3"/>
    </row>
    <row r="26" spans="1:12" ht="15.75" x14ac:dyDescent="0.25">
      <c r="A26" s="6">
        <v>7</v>
      </c>
      <c r="B26" s="25" t="s">
        <v>28</v>
      </c>
      <c r="C26" s="6"/>
      <c r="D26" s="4">
        <v>502019.50095640816</v>
      </c>
      <c r="E26" s="26">
        <f>SUM(E14:E24)</f>
        <v>0.99999960160910129</v>
      </c>
      <c r="F26" s="17">
        <f>SUM(F14:F24)</f>
        <v>-2652.9989430689457</v>
      </c>
      <c r="G26" s="17">
        <f>SUM(G14:G24)</f>
        <v>1327</v>
      </c>
      <c r="H26" s="17">
        <f>SUM(H14:H24)</f>
        <v>-1325.9989430689461</v>
      </c>
      <c r="I26" s="27">
        <f>SUM(I14:I24)</f>
        <v>5637842825.4998102</v>
      </c>
      <c r="J26" s="3"/>
      <c r="K26" s="3"/>
      <c r="L26" s="28">
        <f>SUM(L14:L24)</f>
        <v>-1340596.9225064784</v>
      </c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7">
        <v>-2653</v>
      </c>
      <c r="G29" s="37">
        <v>1327</v>
      </c>
      <c r="H29" s="20"/>
      <c r="I29" s="3"/>
      <c r="J29" s="3"/>
      <c r="K29" s="3"/>
      <c r="L29" s="3"/>
    </row>
    <row r="33" spans="1:6" ht="15.75" x14ac:dyDescent="0.25">
      <c r="A33" s="6"/>
      <c r="B33" s="6" t="s">
        <v>2</v>
      </c>
      <c r="C33" s="6" t="s">
        <v>3</v>
      </c>
      <c r="D33" s="6" t="s">
        <v>47</v>
      </c>
      <c r="E33" s="6" t="s">
        <v>43</v>
      </c>
      <c r="F33" s="6" t="s">
        <v>45</v>
      </c>
    </row>
    <row r="34" spans="1:6" ht="15.75" x14ac:dyDescent="0.25">
      <c r="A34" s="9" t="s">
        <v>7</v>
      </c>
      <c r="B34" s="9" t="s">
        <v>8</v>
      </c>
      <c r="C34" s="9" t="s">
        <v>9</v>
      </c>
      <c r="D34" s="9" t="s">
        <v>42</v>
      </c>
      <c r="E34" s="9" t="s">
        <v>44</v>
      </c>
      <c r="F34" s="9" t="s">
        <v>37</v>
      </c>
    </row>
    <row r="35" spans="1:6" ht="15.75" x14ac:dyDescent="0.25">
      <c r="A35" s="6"/>
      <c r="B35" s="6" t="s">
        <v>12</v>
      </c>
      <c r="C35" s="6" t="s">
        <v>13</v>
      </c>
      <c r="D35" s="6" t="s">
        <v>14</v>
      </c>
      <c r="E35" s="6" t="s">
        <v>15</v>
      </c>
      <c r="F35" s="6" t="s">
        <v>16</v>
      </c>
    </row>
    <row r="36" spans="1:6" ht="15.75" x14ac:dyDescent="0.25">
      <c r="A36" s="6"/>
      <c r="B36" s="13"/>
      <c r="C36" s="6"/>
    </row>
    <row r="37" spans="1:6" ht="15.75" x14ac:dyDescent="0.25">
      <c r="A37" s="6">
        <v>1</v>
      </c>
      <c r="B37" s="13" t="s">
        <v>17</v>
      </c>
      <c r="C37" s="15" t="s">
        <v>18</v>
      </c>
      <c r="D37" s="4">
        <f>-1311679-2816</f>
        <v>-1314495</v>
      </c>
      <c r="E37" s="16">
        <f>D37/D$49</f>
        <v>0.50617423241822435</v>
      </c>
      <c r="F37" s="17">
        <f>$G$29*1000*E37</f>
        <v>671693.20641898375</v>
      </c>
    </row>
    <row r="38" spans="1:6" ht="15.75" x14ac:dyDescent="0.25">
      <c r="A38" s="6"/>
      <c r="B38" s="13"/>
      <c r="C38" s="6"/>
      <c r="D38" s="4"/>
      <c r="E38" s="16"/>
      <c r="F38" s="17"/>
    </row>
    <row r="39" spans="1:6" ht="15.75" x14ac:dyDescent="0.25">
      <c r="A39" s="6">
        <v>2</v>
      </c>
      <c r="B39" s="13" t="s">
        <v>19</v>
      </c>
      <c r="C39" s="15" t="s">
        <v>20</v>
      </c>
      <c r="D39" s="4">
        <f>-335637-35167</f>
        <v>-370804</v>
      </c>
      <c r="E39" s="16">
        <f>D39/D$49</f>
        <v>0.14278595968612073</v>
      </c>
      <c r="F39" s="17">
        <f>$G$29*1000*E39</f>
        <v>189476.9685034822</v>
      </c>
    </row>
    <row r="40" spans="1:6" ht="15.75" x14ac:dyDescent="0.25">
      <c r="A40" s="6"/>
      <c r="B40" s="13"/>
      <c r="C40" s="6"/>
      <c r="D40" s="4"/>
      <c r="E40" s="16"/>
      <c r="F40" s="17"/>
    </row>
    <row r="41" spans="1:6" ht="15.75" x14ac:dyDescent="0.25">
      <c r="A41" s="6">
        <v>3</v>
      </c>
      <c r="B41" s="13" t="s">
        <v>21</v>
      </c>
      <c r="C41" s="21" t="s">
        <v>22</v>
      </c>
      <c r="D41" s="4">
        <f>-806514-19231</f>
        <v>-825745</v>
      </c>
      <c r="E41" s="16">
        <f>D41/D$49</f>
        <v>0.31797065911105532</v>
      </c>
      <c r="F41" s="17">
        <f>$G$29*1000*E41</f>
        <v>421947.06464037043</v>
      </c>
    </row>
    <row r="42" spans="1:6" ht="15.75" x14ac:dyDescent="0.25">
      <c r="A42" s="6"/>
      <c r="B42" s="13"/>
      <c r="C42" s="6"/>
      <c r="D42" s="4"/>
      <c r="E42" s="16"/>
      <c r="F42" s="17"/>
    </row>
    <row r="43" spans="1:6" ht="15.75" x14ac:dyDescent="0.25">
      <c r="A43" s="6">
        <v>4</v>
      </c>
      <c r="B43" s="13" t="s">
        <v>23</v>
      </c>
      <c r="C43" s="6">
        <v>25</v>
      </c>
      <c r="D43" s="4">
        <v>0</v>
      </c>
      <c r="E43" s="16">
        <f>D43/D$49</f>
        <v>0</v>
      </c>
      <c r="F43" s="17">
        <f>$G$29*1000*E43</f>
        <v>0</v>
      </c>
    </row>
    <row r="44" spans="1:6" ht="15.75" x14ac:dyDescent="0.25">
      <c r="A44" s="6"/>
      <c r="B44" s="13"/>
      <c r="C44" s="6"/>
      <c r="D44" s="4"/>
      <c r="E44" s="16"/>
      <c r="F44" s="17"/>
    </row>
    <row r="45" spans="1:6" ht="15.75" x14ac:dyDescent="0.25">
      <c r="A45" s="6">
        <v>5</v>
      </c>
      <c r="B45" s="13" t="s">
        <v>24</v>
      </c>
      <c r="C45" s="21" t="s">
        <v>25</v>
      </c>
      <c r="D45" s="4">
        <f>-18586-62196-5096</f>
        <v>-85878</v>
      </c>
      <c r="E45" s="16">
        <f>D45/D$49</f>
        <v>3.3069148784599614E-2</v>
      </c>
      <c r="F45" s="17">
        <f>$G$29*1000*E45</f>
        <v>43882.760437163684</v>
      </c>
    </row>
    <row r="46" spans="1:6" ht="15.75" x14ac:dyDescent="0.25">
      <c r="A46" s="6"/>
      <c r="B46" s="13"/>
      <c r="C46" s="6"/>
      <c r="D46" s="4"/>
      <c r="E46" s="16"/>
      <c r="F46" s="17"/>
    </row>
    <row r="47" spans="1:6" ht="15.75" x14ac:dyDescent="0.25">
      <c r="A47" s="6">
        <v>6</v>
      </c>
      <c r="B47" s="13" t="s">
        <v>26</v>
      </c>
      <c r="C47" s="6" t="s">
        <v>27</v>
      </c>
      <c r="D47" s="4">
        <v>0</v>
      </c>
      <c r="E47" s="16">
        <f>D47/D$49</f>
        <v>0</v>
      </c>
      <c r="F47" s="17">
        <f>$G$29*1000*E47</f>
        <v>0</v>
      </c>
    </row>
    <row r="48" spans="1:6" ht="15.75" x14ac:dyDescent="0.25">
      <c r="A48" s="6"/>
      <c r="B48" s="13"/>
      <c r="C48" s="6"/>
      <c r="D48" s="4"/>
      <c r="E48" s="16"/>
      <c r="F48" s="17"/>
    </row>
    <row r="49" spans="1:6" ht="15.75" x14ac:dyDescent="0.25">
      <c r="A49" s="6">
        <v>7</v>
      </c>
      <c r="B49" s="25" t="s">
        <v>46</v>
      </c>
      <c r="C49" s="6"/>
      <c r="D49" s="4">
        <f>SUM(D37:D47)</f>
        <v>-2596922</v>
      </c>
      <c r="E49" s="16">
        <f>D49/D$49</f>
        <v>1</v>
      </c>
      <c r="F49" s="4">
        <f>SUM(F37:F47)</f>
        <v>1327000.0000000002</v>
      </c>
    </row>
    <row r="50" spans="1:6" ht="36" customHeight="1" x14ac:dyDescent="0.25">
      <c r="B50" s="39" t="s">
        <v>48</v>
      </c>
      <c r="C50" s="39"/>
      <c r="D50" s="4">
        <f>-1314495-1282427</f>
        <v>-2596922</v>
      </c>
    </row>
    <row r="51" spans="1:6" ht="15.75" x14ac:dyDescent="0.25">
      <c r="B51" s="6" t="s">
        <v>49</v>
      </c>
      <c r="D51" s="4">
        <f>D49-D50</f>
        <v>0</v>
      </c>
    </row>
  </sheetData>
  <mergeCells count="5">
    <mergeCell ref="B50:C50"/>
    <mergeCell ref="A1:J1"/>
    <mergeCell ref="A2:J2"/>
    <mergeCell ref="A3:J3"/>
    <mergeCell ref="A4:J4"/>
  </mergeCells>
  <pageMargins left="0.7" right="0.7" top="0.75" bottom="0.75" header="0.3" footer="0.3"/>
  <pageSetup scale="96" orientation="landscape" r:id="rId1"/>
  <headerFooter>
    <oddHeader>&amp;RExh. JDM-5 R</oddHeader>
    <oddFooter>&amp;RPage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G9" sqref="G9"/>
    </sheetView>
  </sheetViews>
  <sheetFormatPr defaultRowHeight="15" x14ac:dyDescent="0.25"/>
  <cols>
    <col min="1" max="1" width="4" bestFit="1" customWidth="1"/>
    <col min="2" max="2" width="31.140625" bestFit="1" customWidth="1"/>
    <col min="3" max="3" width="12.42578125" bestFit="1" customWidth="1"/>
    <col min="4" max="4" width="15.28515625" bestFit="1" customWidth="1"/>
    <col min="5" max="5" width="12.85546875" bestFit="1" customWidth="1"/>
    <col min="6" max="6" width="12.7109375" bestFit="1" customWidth="1"/>
    <col min="7" max="7" width="9.42578125" bestFit="1" customWidth="1"/>
    <col min="8" max="8" width="10.85546875" bestFit="1" customWidth="1"/>
    <col min="9" max="9" width="14" bestFit="1" customWidth="1"/>
    <col min="10" max="10" width="11.85546875" customWidth="1"/>
    <col min="12" max="12" width="14.42578125" bestFit="1" customWidth="1"/>
  </cols>
  <sheetData>
    <row r="1" spans="1:12" x14ac:dyDescent="0.25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x14ac:dyDescent="0.25">
      <c r="A2" s="40" t="s">
        <v>62</v>
      </c>
      <c r="B2" s="40"/>
      <c r="C2" s="40"/>
      <c r="D2" s="40"/>
      <c r="E2" s="40"/>
      <c r="F2" s="40"/>
      <c r="G2" s="40"/>
      <c r="H2" s="40"/>
      <c r="I2" s="40"/>
      <c r="J2" s="40"/>
    </row>
    <row r="3" spans="1:12" x14ac:dyDescent="0.25">
      <c r="A3" s="40" t="s">
        <v>63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x14ac:dyDescent="0.25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</row>
    <row r="6" spans="1:12" s="31" customFormat="1" x14ac:dyDescent="0.25"/>
    <row r="7" spans="1:12" s="31" customFormat="1" x14ac:dyDescent="0.25"/>
    <row r="8" spans="1:12" ht="15.75" x14ac:dyDescent="0.25">
      <c r="A8" s="3"/>
      <c r="B8" s="3"/>
      <c r="C8" s="3"/>
      <c r="D8" s="4" t="s">
        <v>30</v>
      </c>
      <c r="E8" s="3"/>
      <c r="F8" s="5"/>
      <c r="G8" s="5"/>
      <c r="H8" s="5"/>
      <c r="I8" s="3"/>
      <c r="J8" s="3"/>
      <c r="K8" s="3"/>
      <c r="L8" s="3"/>
    </row>
    <row r="9" spans="1:12" ht="15.75" x14ac:dyDescent="0.25">
      <c r="A9" s="6"/>
      <c r="B9" s="6"/>
      <c r="C9" s="7"/>
      <c r="D9" s="6" t="s">
        <v>31</v>
      </c>
      <c r="E9" s="7"/>
      <c r="F9" s="5" t="s">
        <v>29</v>
      </c>
      <c r="G9" s="5" t="s">
        <v>36</v>
      </c>
      <c r="H9" s="5" t="s">
        <v>28</v>
      </c>
      <c r="I9" s="5" t="s">
        <v>55</v>
      </c>
      <c r="J9" s="8" t="s">
        <v>1</v>
      </c>
      <c r="K9" s="3"/>
      <c r="L9" s="3"/>
    </row>
    <row r="10" spans="1:12" ht="15.75" x14ac:dyDescent="0.25">
      <c r="A10" s="6"/>
      <c r="B10" s="6" t="s">
        <v>2</v>
      </c>
      <c r="C10" s="6" t="s">
        <v>3</v>
      </c>
      <c r="D10" s="4" t="s">
        <v>32</v>
      </c>
      <c r="E10" s="6" t="s">
        <v>34</v>
      </c>
      <c r="F10" s="6" t="s">
        <v>4</v>
      </c>
      <c r="G10" s="6" t="s">
        <v>64</v>
      </c>
      <c r="H10" s="6" t="s">
        <v>4</v>
      </c>
      <c r="I10" s="6" t="s">
        <v>5</v>
      </c>
      <c r="J10" s="8" t="s">
        <v>6</v>
      </c>
      <c r="K10" s="3"/>
      <c r="L10" s="3"/>
    </row>
    <row r="11" spans="1:12" ht="15.75" x14ac:dyDescent="0.25">
      <c r="A11" s="9" t="s">
        <v>7</v>
      </c>
      <c r="B11" s="9" t="s">
        <v>8</v>
      </c>
      <c r="C11" s="9" t="s">
        <v>9</v>
      </c>
      <c r="D11" s="10" t="s">
        <v>33</v>
      </c>
      <c r="E11" s="9" t="s">
        <v>35</v>
      </c>
      <c r="F11" s="11" t="s">
        <v>10</v>
      </c>
      <c r="G11" s="11" t="s">
        <v>37</v>
      </c>
      <c r="H11" s="11" t="s">
        <v>10</v>
      </c>
      <c r="I11" s="11" t="s">
        <v>11</v>
      </c>
      <c r="J11" s="12" t="s">
        <v>55</v>
      </c>
      <c r="K11" s="3"/>
      <c r="L11" s="3"/>
    </row>
    <row r="12" spans="1:12" ht="15.75" x14ac:dyDescent="0.25">
      <c r="A12" s="6"/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16</v>
      </c>
      <c r="G12" s="6" t="s">
        <v>38</v>
      </c>
      <c r="H12" s="6" t="s">
        <v>39</v>
      </c>
      <c r="I12" s="6" t="s">
        <v>40</v>
      </c>
      <c r="J12" s="6" t="s">
        <v>41</v>
      </c>
      <c r="K12" s="3"/>
      <c r="L12" s="3"/>
    </row>
    <row r="13" spans="1:12" ht="15.75" x14ac:dyDescent="0.25">
      <c r="A13" s="6"/>
      <c r="B13" s="13"/>
      <c r="C13" s="6"/>
      <c r="D13" s="6"/>
      <c r="E13" s="6"/>
      <c r="F13" s="3"/>
      <c r="G13" s="3"/>
      <c r="H13" s="3"/>
      <c r="I13" s="3"/>
      <c r="J13" s="14"/>
      <c r="K13" s="3"/>
      <c r="L13" s="3"/>
    </row>
    <row r="14" spans="1:12" ht="15.75" x14ac:dyDescent="0.25">
      <c r="A14" s="6">
        <v>1</v>
      </c>
      <c r="B14" s="13" t="s">
        <v>19</v>
      </c>
      <c r="C14" s="15" t="s">
        <v>50</v>
      </c>
      <c r="D14" s="32">
        <v>71132.162639999995</v>
      </c>
      <c r="E14" s="33">
        <f>D14/($D$26-$D$24)</f>
        <v>0.7732839492580259</v>
      </c>
      <c r="F14" s="17">
        <f>$F$29*E14</f>
        <v>-2445.8971315031358</v>
      </c>
      <c r="G14" s="17">
        <f>ROUND(F37/1000,0)</f>
        <v>1204</v>
      </c>
      <c r="H14" s="17">
        <f>F14+G14</f>
        <v>-1241.8971315031358</v>
      </c>
      <c r="I14" s="35">
        <v>128985980</v>
      </c>
      <c r="J14" s="19">
        <f>ROUND((H14*1000)/I14,5)</f>
        <v>-9.6299999999999997E-3</v>
      </c>
      <c r="K14" s="3"/>
      <c r="L14" s="20">
        <f>I14*J14</f>
        <v>-1242134.9874</v>
      </c>
    </row>
    <row r="15" spans="1:12" ht="15.75" x14ac:dyDescent="0.25">
      <c r="A15" s="6"/>
      <c r="B15" s="13"/>
      <c r="C15" s="6"/>
      <c r="D15" s="32"/>
      <c r="E15" s="33"/>
      <c r="F15" s="17"/>
      <c r="G15" s="17"/>
      <c r="H15" s="17"/>
      <c r="I15" s="35"/>
      <c r="J15" s="19"/>
      <c r="K15" s="3"/>
      <c r="L15" s="20"/>
    </row>
    <row r="16" spans="1:12" ht="15.75" x14ac:dyDescent="0.25">
      <c r="A16" s="6">
        <v>2</v>
      </c>
      <c r="B16" s="13" t="s">
        <v>21</v>
      </c>
      <c r="C16" s="15" t="s">
        <v>58</v>
      </c>
      <c r="D16" s="32">
        <v>17418.31235</v>
      </c>
      <c r="E16" s="33">
        <f>D16/($D$26-$D$24)</f>
        <v>0.18935599401899256</v>
      </c>
      <c r="F16" s="17">
        <f t="shared" ref="F16:F24" si="0">$F$29*E16</f>
        <v>-598.93300908207345</v>
      </c>
      <c r="G16" s="17">
        <f>ROUND((F39+F41)/1000,0)</f>
        <v>377</v>
      </c>
      <c r="H16" s="17">
        <f t="shared" ref="H16:H24" si="1">F16+G16</f>
        <v>-221.93300908207345</v>
      </c>
      <c r="I16" s="35">
        <f>54329806+1555071</f>
        <v>55884877</v>
      </c>
      <c r="J16" s="19">
        <f t="shared" ref="J16:J24" si="2">ROUND((H16*1000)/I16,5)</f>
        <v>-3.9699999999999996E-3</v>
      </c>
      <c r="K16" s="3"/>
      <c r="L16" s="20">
        <f t="shared" ref="L16:L24" si="3">I16*J16</f>
        <v>-221862.96168999997</v>
      </c>
    </row>
    <row r="17" spans="1:12" ht="15.75" hidden="1" x14ac:dyDescent="0.25">
      <c r="A17" s="6"/>
      <c r="B17" s="13"/>
      <c r="C17" s="6"/>
      <c r="D17" s="32"/>
      <c r="E17" s="33"/>
      <c r="F17" s="17"/>
      <c r="G17" s="17"/>
      <c r="H17" s="17"/>
      <c r="I17" s="35"/>
      <c r="J17" s="19"/>
      <c r="K17" s="3"/>
      <c r="L17" s="20"/>
    </row>
    <row r="18" spans="1:12" ht="15.75" hidden="1" customHeight="1" x14ac:dyDescent="0.25">
      <c r="A18" s="6">
        <v>3</v>
      </c>
      <c r="B18" s="13" t="s">
        <v>57</v>
      </c>
      <c r="C18" s="21" t="s">
        <v>51</v>
      </c>
      <c r="D18" s="32"/>
      <c r="E18" s="33">
        <f>D18/($D$26-$D$24)</f>
        <v>0</v>
      </c>
      <c r="F18" s="17">
        <f t="shared" si="0"/>
        <v>0</v>
      </c>
      <c r="G18" s="17">
        <v>0</v>
      </c>
      <c r="H18" s="17">
        <f t="shared" si="1"/>
        <v>0</v>
      </c>
      <c r="I18" s="35"/>
      <c r="J18" s="19"/>
      <c r="K18" s="3"/>
      <c r="L18" s="20"/>
    </row>
    <row r="19" spans="1:12" ht="15.75" customHeight="1" x14ac:dyDescent="0.25">
      <c r="A19" s="6"/>
      <c r="B19" s="13"/>
      <c r="C19" s="6"/>
      <c r="D19" s="32"/>
      <c r="E19" s="33"/>
      <c r="F19" s="17"/>
      <c r="G19" s="17"/>
      <c r="H19" s="17"/>
      <c r="I19" s="35"/>
      <c r="J19" s="19"/>
      <c r="K19" s="3"/>
      <c r="L19" s="20"/>
    </row>
    <row r="20" spans="1:12" ht="15.75" x14ac:dyDescent="0.25">
      <c r="A20" s="6">
        <v>3</v>
      </c>
      <c r="B20" s="13" t="s">
        <v>52</v>
      </c>
      <c r="C20" s="6" t="s">
        <v>53</v>
      </c>
      <c r="D20" s="32">
        <v>201.03100000000001</v>
      </c>
      <c r="E20" s="33">
        <f>D20/($D$26-$D$24)</f>
        <v>2.185425549199782E-3</v>
      </c>
      <c r="F20" s="17">
        <f t="shared" si="0"/>
        <v>-6.9125010121189101</v>
      </c>
      <c r="G20" s="17">
        <f>ROUND(F43/1000,0)</f>
        <v>0</v>
      </c>
      <c r="H20" s="17">
        <f t="shared" si="1"/>
        <v>-6.9125010121189101</v>
      </c>
      <c r="I20" s="35">
        <v>985267</v>
      </c>
      <c r="J20" s="19">
        <f t="shared" si="2"/>
        <v>-7.0200000000000002E-3</v>
      </c>
      <c r="K20" s="3"/>
      <c r="L20" s="20">
        <f t="shared" si="3"/>
        <v>-6916.5743400000001</v>
      </c>
    </row>
    <row r="21" spans="1:12" ht="15.75" x14ac:dyDescent="0.25">
      <c r="A21" s="6"/>
      <c r="B21" s="13"/>
      <c r="C21" s="6"/>
      <c r="D21" s="32"/>
      <c r="E21" s="33"/>
      <c r="F21" s="17"/>
      <c r="G21" s="17"/>
      <c r="H21" s="17"/>
      <c r="I21" s="35"/>
      <c r="J21" s="19"/>
      <c r="K21" s="3"/>
      <c r="L21" s="20"/>
    </row>
    <row r="22" spans="1:12" ht="15.75" x14ac:dyDescent="0.25">
      <c r="A22" s="6">
        <v>4</v>
      </c>
      <c r="B22" s="13" t="s">
        <v>54</v>
      </c>
      <c r="C22" s="21">
        <v>146</v>
      </c>
      <c r="D22" s="32">
        <v>3235.6129826000001</v>
      </c>
      <c r="E22" s="33">
        <f>D22/($D$26-$D$24)</f>
        <v>3.5174631173781903E-2</v>
      </c>
      <c r="F22" s="17">
        <f t="shared" si="0"/>
        <v>-111.25735840267215</v>
      </c>
      <c r="G22" s="17">
        <f>ROUND(F45/1000,0)</f>
        <v>0</v>
      </c>
      <c r="H22" s="17">
        <f t="shared" si="1"/>
        <v>-111.25735840267215</v>
      </c>
      <c r="I22" s="35">
        <v>35607936</v>
      </c>
      <c r="J22" s="19">
        <f t="shared" si="2"/>
        <v>-3.1199999999999999E-3</v>
      </c>
      <c r="K22" s="3"/>
      <c r="L22" s="20">
        <f t="shared" si="3"/>
        <v>-111096.76032</v>
      </c>
    </row>
    <row r="23" spans="1:12" ht="15.75" x14ac:dyDescent="0.25">
      <c r="A23" s="6"/>
      <c r="B23" s="13"/>
      <c r="C23" s="6"/>
      <c r="D23" s="32"/>
      <c r="E23" s="33"/>
      <c r="F23" s="17"/>
      <c r="G23" s="17"/>
      <c r="H23" s="17"/>
      <c r="I23" s="35"/>
      <c r="J23" s="19"/>
      <c r="K23" s="3"/>
      <c r="L23" s="20"/>
    </row>
    <row r="24" spans="1:12" ht="15.75" x14ac:dyDescent="0.25">
      <c r="A24" s="6">
        <v>5</v>
      </c>
      <c r="B24" s="13" t="s">
        <v>54</v>
      </c>
      <c r="C24" s="6">
        <v>148</v>
      </c>
      <c r="D24" s="34">
        <v>1719.7288500000002</v>
      </c>
      <c r="E24" s="33">
        <v>0</v>
      </c>
      <c r="F24" s="23">
        <f t="shared" si="0"/>
        <v>0</v>
      </c>
      <c r="G24" s="23">
        <f>ROUND(F47/1000,0)</f>
        <v>0</v>
      </c>
      <c r="H24" s="23">
        <f t="shared" si="1"/>
        <v>0</v>
      </c>
      <c r="I24" s="36">
        <f>43918147+10599458</f>
        <v>54517605</v>
      </c>
      <c r="J24" s="19">
        <f t="shared" si="2"/>
        <v>0</v>
      </c>
      <c r="K24" s="3"/>
      <c r="L24" s="20">
        <f t="shared" si="3"/>
        <v>0</v>
      </c>
    </row>
    <row r="25" spans="1:12" ht="15.75" x14ac:dyDescent="0.25">
      <c r="A25" s="6"/>
      <c r="B25" s="13"/>
      <c r="C25" s="6"/>
      <c r="D25" s="4"/>
      <c r="E25" s="6"/>
      <c r="F25" s="17"/>
      <c r="G25" s="17"/>
      <c r="H25" s="17"/>
      <c r="I25" s="3"/>
      <c r="J25" s="3"/>
      <c r="K25" s="3"/>
      <c r="L25" s="3"/>
    </row>
    <row r="26" spans="1:12" ht="15.75" x14ac:dyDescent="0.25">
      <c r="A26" s="6">
        <v>6</v>
      </c>
      <c r="B26" s="25" t="s">
        <v>28</v>
      </c>
      <c r="C26" s="6"/>
      <c r="D26" s="29">
        <f t="shared" ref="D26:I26" si="4">SUM(D14:D24)</f>
        <v>93706.847822599986</v>
      </c>
      <c r="E26" s="26">
        <f t="shared" si="4"/>
        <v>1.0000000000000002</v>
      </c>
      <c r="F26" s="17">
        <f t="shared" si="4"/>
        <v>-3163.0000000000005</v>
      </c>
      <c r="G26" s="17">
        <f t="shared" si="4"/>
        <v>1581</v>
      </c>
      <c r="H26" s="17">
        <f t="shared" si="4"/>
        <v>-1582.0000000000005</v>
      </c>
      <c r="I26" s="27">
        <f t="shared" si="4"/>
        <v>275981665</v>
      </c>
      <c r="J26" s="3"/>
      <c r="K26" s="3"/>
      <c r="L26" s="28">
        <f>SUM(L14:L24)</f>
        <v>-1582011.2837499999</v>
      </c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8">
        <v>-3163</v>
      </c>
      <c r="G29" s="38">
        <v>1581</v>
      </c>
      <c r="H29" s="20"/>
      <c r="I29" s="3"/>
      <c r="J29" s="3"/>
      <c r="K29" s="3"/>
      <c r="L29" s="3"/>
    </row>
    <row r="33" spans="1:6" ht="15.75" x14ac:dyDescent="0.25">
      <c r="A33" s="6"/>
      <c r="B33" s="6" t="s">
        <v>2</v>
      </c>
      <c r="C33" s="6" t="s">
        <v>3</v>
      </c>
      <c r="D33" s="6" t="s">
        <v>56</v>
      </c>
      <c r="E33" s="6" t="s">
        <v>43</v>
      </c>
      <c r="F33" s="6" t="s">
        <v>45</v>
      </c>
    </row>
    <row r="34" spans="1:6" ht="15.75" x14ac:dyDescent="0.25">
      <c r="A34" s="9" t="s">
        <v>7</v>
      </c>
      <c r="B34" s="9" t="s">
        <v>8</v>
      </c>
      <c r="C34" s="9" t="s">
        <v>9</v>
      </c>
      <c r="D34" s="9" t="s">
        <v>42</v>
      </c>
      <c r="E34" s="9" t="s">
        <v>44</v>
      </c>
      <c r="F34" s="9" t="s">
        <v>37</v>
      </c>
    </row>
    <row r="35" spans="1:6" ht="15.75" x14ac:dyDescent="0.25">
      <c r="A35" s="6"/>
      <c r="B35" s="6" t="s">
        <v>12</v>
      </c>
      <c r="C35" s="6" t="s">
        <v>13</v>
      </c>
      <c r="D35" s="6" t="s">
        <v>14</v>
      </c>
      <c r="E35" s="6" t="s">
        <v>15</v>
      </c>
      <c r="F35" s="6" t="s">
        <v>16</v>
      </c>
    </row>
    <row r="36" spans="1:6" ht="15.75" x14ac:dyDescent="0.25">
      <c r="A36" s="6"/>
      <c r="B36" s="13"/>
      <c r="C36" s="6"/>
    </row>
    <row r="37" spans="1:6" ht="15.75" x14ac:dyDescent="0.25">
      <c r="A37" s="6">
        <v>1</v>
      </c>
      <c r="B37" s="13" t="str">
        <f>B14</f>
        <v>General Service</v>
      </c>
      <c r="C37" s="15" t="str">
        <f>C14</f>
        <v>101/102</v>
      </c>
      <c r="D37" s="4">
        <f>-2226682-2611</f>
        <v>-2229293</v>
      </c>
      <c r="E37" s="16">
        <f>D37/D$49</f>
        <v>0.76154143877229286</v>
      </c>
      <c r="F37" s="17">
        <f>$G$29*1000*E37</f>
        <v>1203997.014698995</v>
      </c>
    </row>
    <row r="38" spans="1:6" ht="15.75" x14ac:dyDescent="0.25">
      <c r="A38" s="6"/>
      <c r="B38" s="13"/>
      <c r="C38" s="6"/>
      <c r="D38" s="4"/>
      <c r="E38" s="16"/>
      <c r="F38" s="17"/>
    </row>
    <row r="39" spans="1:6" ht="15.75" x14ac:dyDescent="0.25">
      <c r="A39" s="6">
        <v>2</v>
      </c>
      <c r="B39" s="13" t="str">
        <f>B16</f>
        <v>Large General Service</v>
      </c>
      <c r="C39" s="15" t="str">
        <f>C16</f>
        <v>111/112/116</v>
      </c>
      <c r="D39" s="4">
        <v>-680061</v>
      </c>
      <c r="E39" s="16">
        <f>D39/D$49</f>
        <v>0.23231339819078256</v>
      </c>
      <c r="F39" s="17">
        <f>$G$29*1000*E39</f>
        <v>367287.48253962724</v>
      </c>
    </row>
    <row r="40" spans="1:6" ht="15.75" x14ac:dyDescent="0.25">
      <c r="A40" s="6"/>
      <c r="B40" s="13"/>
      <c r="C40" s="6"/>
      <c r="D40" s="4"/>
      <c r="E40" s="16"/>
      <c r="F40" s="17"/>
    </row>
    <row r="41" spans="1:6" ht="15.75" x14ac:dyDescent="0.25">
      <c r="A41" s="6">
        <v>3</v>
      </c>
      <c r="B41" s="13" t="str">
        <f>B18</f>
        <v>Extra-Large General Service</v>
      </c>
      <c r="C41" s="15" t="str">
        <f>C18</f>
        <v>121/122</v>
      </c>
      <c r="D41" s="4">
        <v>-17989</v>
      </c>
      <c r="E41" s="16">
        <f>D41/D$49</f>
        <v>6.1451630369246104E-3</v>
      </c>
      <c r="F41" s="17">
        <f>$G$29*1000*E41</f>
        <v>9715.5027613778093</v>
      </c>
    </row>
    <row r="42" spans="1:6" ht="15.75" x14ac:dyDescent="0.25">
      <c r="A42" s="6"/>
      <c r="B42" s="13"/>
      <c r="C42" s="6"/>
      <c r="D42" s="4"/>
      <c r="E42" s="16"/>
      <c r="F42" s="17"/>
    </row>
    <row r="43" spans="1:6" ht="15.75" x14ac:dyDescent="0.25">
      <c r="A43" s="6">
        <v>4</v>
      </c>
      <c r="B43" s="13" t="str">
        <f>B20</f>
        <v>Interruptible Service</v>
      </c>
      <c r="C43" s="15" t="str">
        <f>C20</f>
        <v>131/132</v>
      </c>
      <c r="D43" s="4">
        <v>0</v>
      </c>
      <c r="E43" s="16">
        <f>D43/D$49</f>
        <v>0</v>
      </c>
      <c r="F43" s="17">
        <f>$G$29*1000*E43</f>
        <v>0</v>
      </c>
    </row>
    <row r="44" spans="1:6" ht="15.75" x14ac:dyDescent="0.25">
      <c r="A44" s="6"/>
      <c r="B44" s="13"/>
      <c r="C44" s="6"/>
      <c r="D44" s="4"/>
      <c r="E44" s="16"/>
      <c r="F44" s="17"/>
    </row>
    <row r="45" spans="1:6" ht="15.75" x14ac:dyDescent="0.25">
      <c r="A45" s="6">
        <v>5</v>
      </c>
      <c r="B45" s="13" t="str">
        <f>B22</f>
        <v>Transportation Service</v>
      </c>
      <c r="C45" s="21">
        <f>C22</f>
        <v>146</v>
      </c>
      <c r="D45" s="4">
        <v>0</v>
      </c>
      <c r="E45" s="16">
        <f>D45/D$49</f>
        <v>0</v>
      </c>
      <c r="F45" s="17">
        <f>$G$29*1000*E45</f>
        <v>0</v>
      </c>
    </row>
    <row r="46" spans="1:6" ht="15.75" x14ac:dyDescent="0.25">
      <c r="A46" s="6"/>
      <c r="B46" s="13"/>
      <c r="C46" s="21"/>
      <c r="D46" s="4"/>
      <c r="E46" s="16"/>
      <c r="F46" s="17"/>
    </row>
    <row r="47" spans="1:6" ht="15.75" x14ac:dyDescent="0.25">
      <c r="A47" s="6">
        <v>6</v>
      </c>
      <c r="B47" s="13" t="str">
        <f>B24</f>
        <v>Transportation Service</v>
      </c>
      <c r="C47" s="21">
        <f>C24</f>
        <v>148</v>
      </c>
      <c r="D47" s="4">
        <v>0</v>
      </c>
      <c r="E47" s="16">
        <f>D47/D$49</f>
        <v>0</v>
      </c>
      <c r="F47" s="17">
        <f>$G$29*1000*E47</f>
        <v>0</v>
      </c>
    </row>
    <row r="48" spans="1:6" ht="15.75" x14ac:dyDescent="0.25">
      <c r="A48" s="6"/>
      <c r="B48" s="13"/>
      <c r="C48" s="6"/>
      <c r="D48" s="4"/>
      <c r="E48" s="16"/>
      <c r="F48" s="17"/>
    </row>
    <row r="49" spans="1:6" ht="15.75" x14ac:dyDescent="0.25">
      <c r="A49" s="6">
        <v>7</v>
      </c>
      <c r="B49" s="25" t="s">
        <v>46</v>
      </c>
      <c r="C49" s="6"/>
      <c r="D49" s="4">
        <f>SUM(D37:D47)</f>
        <v>-2927343</v>
      </c>
      <c r="E49" s="16">
        <f>D49/D$49</f>
        <v>1</v>
      </c>
      <c r="F49" s="4">
        <f>SUM(F37:F47)</f>
        <v>1581000</v>
      </c>
    </row>
    <row r="50" spans="1:6" ht="36" customHeight="1" x14ac:dyDescent="0.25">
      <c r="B50" s="39" t="s">
        <v>48</v>
      </c>
      <c r="C50" s="39"/>
      <c r="D50" s="4">
        <f>-2229293-698050</f>
        <v>-2927343</v>
      </c>
    </row>
    <row r="51" spans="1:6" ht="15.75" x14ac:dyDescent="0.25">
      <c r="B51" s="6" t="s">
        <v>49</v>
      </c>
      <c r="D51" s="4">
        <f>D49-D50</f>
        <v>0</v>
      </c>
    </row>
  </sheetData>
  <mergeCells count="5">
    <mergeCell ref="B50:C50"/>
    <mergeCell ref="A1:J1"/>
    <mergeCell ref="A2:J2"/>
    <mergeCell ref="A3:J3"/>
    <mergeCell ref="A4:J4"/>
  </mergeCells>
  <pageMargins left="0.7" right="0.7" top="0.75" bottom="0.75" header="0.3" footer="0.3"/>
  <pageSetup scale="90" orientation="landscape" r:id="rId1"/>
  <headerFooter>
    <oddHeader>&amp;RExh. JDM-6 R</oddHeader>
    <oddFooter>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2019-10-11T07:00:00+00:00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02872B-FFCA-48FB-B03F-1A0600788218}"/>
</file>

<file path=customXml/itemProps2.xml><?xml version="1.0" encoding="utf-8"?>
<ds:datastoreItem xmlns:ds="http://schemas.openxmlformats.org/officeDocument/2006/customXml" ds:itemID="{FBD1E7A0-9030-4747-A6D2-AC83890C4517}"/>
</file>

<file path=customXml/itemProps3.xml><?xml version="1.0" encoding="utf-8"?>
<ds:datastoreItem xmlns:ds="http://schemas.openxmlformats.org/officeDocument/2006/customXml" ds:itemID="{AC85FB46-4969-4234-8864-31669491FD50}"/>
</file>

<file path=customXml/itemProps4.xml><?xml version="1.0" encoding="utf-8"?>
<ds:datastoreItem xmlns:ds="http://schemas.openxmlformats.org/officeDocument/2006/customXml" ds:itemID="{B83AF059-C21D-4EE2-9069-056AF1D9B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Natural Gas</vt:lpstr>
      <vt:lpstr>Electric!Print_Area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Miller, Joe</cp:lastModifiedBy>
  <cp:lastPrinted>2019-10-08T16:26:40Z</cp:lastPrinted>
  <dcterms:created xsi:type="dcterms:W3CDTF">2019-09-27T22:03:11Z</dcterms:created>
  <dcterms:modified xsi:type="dcterms:W3CDTF">2019-10-10T19:11:47Z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