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800" windowWidth="28800" windowHeight="12855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  <sheet name="12ME Dec18 Weather Adj" sheetId="68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8">[15]LeadSht!$L$10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'[12]Assumptions (Input)'!$B$11</definedName>
    <definedName name="CASE" localSheetId="18">[19]INPUTS!$C$8</definedName>
    <definedName name="CASE" localSheetId="19">[19]INPUTS!$C$8</definedName>
    <definedName name="CASE" localSheetId="12">[19]INPUTS!$C$8</definedName>
    <definedName name="CASE">[20]INPUTS!$C$11</definedName>
    <definedName name="Case_Name">'[21]KJB-6,13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'[22]Transp Data'!$A$6:$C$81</definedName>
    <definedName name="Close_Date">'[12]Capital Projects(Input)'!$D$7:$D$53</definedName>
    <definedName name="Construction_OH">'[23]Virtual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'[24]Inc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'[25]Mix Variance'!$B$1:$N$31</definedName>
    <definedName name="Data.Avg">'[24]Avg Amts'!$A$5:$BP$34</definedName>
    <definedName name="Data.Qtrs.Avg">'[24]Avg Amts'!$A$5:$IV$5</definedName>
    <definedName name="data1">'[26]Mix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[27]Inputs!$D$11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'[28]Assumptions of Purchase'!$B$45</definedName>
    <definedName name="DisFac">'[7]Func Dist Factor Table'!$A$11:$G$25</definedName>
    <definedName name="DocketNumber">'[29]JHS-4'!$AP$2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[20]INPUTS!$F$36</definedName>
    <definedName name="Electric_Prices" localSheetId="27">'[30]Monthly Price Summary'!$B$4:$E$27</definedName>
    <definedName name="Electric_Prices">'[30]Monthly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[27]Inputs!$D$12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'[23]Virtual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[31]Inputs!$E$112</definedName>
    <definedName name="Fed_Cap_Tax">[31]Inputs!$E$112</definedName>
    <definedName name="FedTaxRate" localSheetId="27">[9]Assumptions!$C$33</definedName>
    <definedName name="FedTaxRate">[9]Assumptions!$C$33</definedName>
    <definedName name="FERC_Lookup">'[32]Map Table'!$E$2:$F$58</definedName>
    <definedName name="FIT">'[33]ROR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[20]INPUTS!$F$35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28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[34]Inputs!$N$18</definedName>
    <definedName name="JP_Bal" localSheetId="28">[35]ACCOUNTS!$AG$31</definedName>
    <definedName name="JP_Bal">[36]ACCOUNTS!$AG$31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'[21]KJB-12 Sum'!$AS$2</definedName>
    <definedName name="k_FITrate">'[21]KJB-3,11 Def'!$L$20</definedName>
    <definedName name="keep_Docket_Number">'[37]KJB-3 Sum'!$AQ$2</definedName>
    <definedName name="keep_FIT">'[37]KJB-7 Def'!$L$20</definedName>
    <definedName name="keep_KJB_3_Rate_Increase">'[37]KJB-7 Def'!$C$3</definedName>
    <definedName name="keep_KJB_4_Electric_Summary">'[37]KJB-3 Sum'!$AQ$3</definedName>
    <definedName name="keep_KJB_8_Common_Adjs">'[37]KJB-5 Cmn Adj'!$L$3</definedName>
    <definedName name="keep_KJB_9_Electric_Only">'[37]KJB-5 El Adj'!$E$3</definedName>
    <definedName name="keep_PSE">'[38]Gas Summary'!$I$5</definedName>
    <definedName name="keep_TESTYEAR">'[38]Gas Detail Pages'!$A$8</definedName>
    <definedName name="kp_DOCKET">'[38]Gas Detail Pages'!$A$9</definedName>
    <definedName name="Last_Row" localSheetId="28">IF('12ME Dec18 Weather Adj'!Values_Entered,Header_Row+'12ME Dec18 Weather Adj'!Number_of_Payments,Header_Row)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8">[35]ACCOUNTS!$AG$167</definedName>
    <definedName name="Load_Factor">[36]ACCOUNTS!$AG$167</definedName>
    <definedName name="LoadArray">'[39]Load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[40]M9100F4!$A$1:$V$99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[41]!menu1_Button5_Click</definedName>
    <definedName name="menu1_Button5_Click" localSheetId="5">[41]!menu1_Button5_Click</definedName>
    <definedName name="menu1_Button5_Click" localSheetId="0">[41]!menu1_Button5_Click</definedName>
    <definedName name="menu1_Button5_Click" localSheetId="19">[41]!menu1_Button5_Click</definedName>
    <definedName name="menu1_Button5_Click" localSheetId="6">[41]!menu1_Button5_Click</definedName>
    <definedName name="menu1_Button5_Click" localSheetId="7">[41]!menu1_Button5_Click</definedName>
    <definedName name="menu1_Button5_Click" localSheetId="8">[41]!menu1_Button5_Click</definedName>
    <definedName name="menu1_Button5_Click" localSheetId="13">[41]!menu1_Button5_Click</definedName>
    <definedName name="menu1_Button5_Click" localSheetId="14">[41]!menu1_Button5_Click</definedName>
    <definedName name="menu1_Button5_Click" localSheetId="16">[41]!menu1_Button5_Click</definedName>
    <definedName name="menu1_Button5_Click" localSheetId="17">[41]!menu1_Button5_Click</definedName>
    <definedName name="menu1_Button5_Click" localSheetId="20">[41]!menu1_Button5_Click</definedName>
    <definedName name="menu1_Button5_Click">[41]!menu1_Button5_Click</definedName>
    <definedName name="menu1_Button6_Click" localSheetId="4">[41]!menu1_Button6_Click</definedName>
    <definedName name="menu1_Button6_Click" localSheetId="5">[41]!menu1_Button6_Click</definedName>
    <definedName name="menu1_Button6_Click" localSheetId="0">[41]!menu1_Button6_Click</definedName>
    <definedName name="menu1_Button6_Click" localSheetId="19">[41]!menu1_Button6_Click</definedName>
    <definedName name="menu1_Button6_Click" localSheetId="6">[41]!menu1_Button6_Click</definedName>
    <definedName name="menu1_Button6_Click" localSheetId="7">[41]!menu1_Button6_Click</definedName>
    <definedName name="menu1_Button6_Click" localSheetId="8">[41]!menu1_Button6_Click</definedName>
    <definedName name="menu1_Button6_Click" localSheetId="13">[41]!menu1_Button6_Click</definedName>
    <definedName name="menu1_Button6_Click" localSheetId="14">[41]!menu1_Button6_Click</definedName>
    <definedName name="menu1_Button6_Click" localSheetId="16">[41]!menu1_Button6_Click</definedName>
    <definedName name="menu1_Button6_Click" localSheetId="17">[41]!menu1_Button6_Click</definedName>
    <definedName name="menu1_Button6_Click" localSheetId="20">[41]!menu1_Button6_Click</definedName>
    <definedName name="menu1_Button6_Click">[41]!menu1_Button6_Click</definedName>
    <definedName name="MERGER_COST" localSheetId="18">[42]Sheet1!$AF$3:$AJ$28</definedName>
    <definedName name="MERGER_COST" localSheetId="19">[42]Sheet1!$AF$3:$AJ$28</definedName>
    <definedName name="MERGER_COST" localSheetId="12">[42]Sheet1!$AF$3:$AJ$28</definedName>
    <definedName name="MERGER_COST">[43]Sheet1!$AF$3:$AJ$28</definedName>
    <definedName name="METER">[4]EXTERNAL!$A$34:$IV$36</definedName>
    <definedName name="Method">[10]Inputs!$C$6</definedName>
    <definedName name="monthlist">[44]Table!$R$2:$S$13</definedName>
    <definedName name="monthtotals">'[44]WA SBC'!$D$40:$O$40</definedName>
    <definedName name="MTD_Format" localSheetId="27">[45]Mthly!$B$11:$D$11,[45]Mthly!$B$32:$D$32</definedName>
    <definedName name="MTD_Format" localSheetId="18">[46]Mthly!$B$11:$D$11,[46]Mthly!$B$35:$D$35</definedName>
    <definedName name="MTD_Format" localSheetId="19">[46]Mthly!$B$11:$D$11,[46]Mthly!$B$35:$D$35</definedName>
    <definedName name="MTD_Format" localSheetId="12">[46]Mthly!$B$11:$D$11,[46]Mthly!$B$35:$D$35</definedName>
    <definedName name="MTD_Format">[45]Mthly!$B$11:$D$11,[45]Mthly!$B$32:$D$32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28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'[23]Virtual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'[49]Dist Misc'!$F$120</definedName>
    <definedName name="OthRCF">[19]INPUTS!$F$41</definedName>
    <definedName name="OthUnc">[4]INPUTS!$F$36</definedName>
    <definedName name="outlookdata">'[50]pivoted data'!$D$3:$Q$90</definedName>
    <definedName name="peak_new_table">'[51]2008 Extreme Peaks - 080403'!$E$5:$AD$8</definedName>
    <definedName name="peak_table">'[51]Peaks-F01'!$C$5:$E$243</definedName>
    <definedName name="PeakMethod">[10]Inputs!$T$5</definedName>
    <definedName name="Percent_debt" localSheetId="27">[31]Inputs!$E$129</definedName>
    <definedName name="Percent_debt">[31]Inputs!$E$129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'[30]Monthly Price Summary'!$C$4:$H$63</definedName>
    <definedName name="Prices_Aurora">'[30]Monthly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28">'12ME Dec18 Weather Adj'!$B$1:$P$294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28">'12ME Dec18 Weather Adj'!$1:$6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 localSheetId="28">[15]Sch_120!$I$21</definedName>
    <definedName name="Prior_Month">[52]Sch_120!$I$21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[53]Sheet1!$A$1147:$B$1887</definedName>
    <definedName name="Prov_Cap_Tax" localSheetId="27">[31]Inputs!$E$111</definedName>
    <definedName name="Prov_Cap_Tax">[31]Inputs!$E$111</definedName>
    <definedName name="PSE">'[54]4.04'!$A$6</definedName>
    <definedName name="PSE_Pre_Tax_Equity_Rate">'[28]Assumptions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'[22]Transp Data'!$A$8:$I$112</definedName>
    <definedName name="Rates">[55]Codes!$A$1:$C$500</definedName>
    <definedName name="RB.T">[4]INTERNAL!$A$70:$IV$72</definedName>
    <definedName name="RCF" localSheetId="28">[35]INPUTS!$F$48</definedName>
    <definedName name="RCF">[36]INPUTS!$F$48</definedName>
    <definedName name="Requlated_scenario">'[12]Assumptions (Input)'!$B$12</definedName>
    <definedName name="ResExchCrRate" localSheetId="18">[52]Sch_194!$M$31</definedName>
    <definedName name="ResExchCrRate" localSheetId="19">[52]Sch_194!$M$31</definedName>
    <definedName name="ResExchCrRate" localSheetId="12">[52]Sch_194!$M$31</definedName>
    <definedName name="ResExchCrRate">[56]Sch_194!$M$31</definedName>
    <definedName name="RESID">[4]EXTERNAL!$A$88:$IV$90</definedName>
    <definedName name="resource_lookup">'[57]#REF'!$B$3:$C$112</definedName>
    <definedName name="ResourceSupplier">[11]Variables!$D$28</definedName>
    <definedName name="ResRCF" localSheetId="18">[19]INPUTS!$F$39</definedName>
    <definedName name="ResRCF" localSheetId="19">[19]INPUTS!$F$39</definedName>
    <definedName name="ResRCF" localSheetId="12">[19]INPUTS!$F$39</definedName>
    <definedName name="ResRCF">[20]INPUTS!$F$44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[20]INPUTS!$F$39</definedName>
    <definedName name="RevClass">[55]Codes!$F$2:$G$10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[58]INPUTS!$F$25</definedName>
    <definedName name="ROD" localSheetId="19">[58]INPUTS!$F$25</definedName>
    <definedName name="ROD" localSheetId="12">[58]INPUTS!$F$25</definedName>
    <definedName name="ROD">[20]INPUTS!$F$30</definedName>
    <definedName name="ROR">[20]INPUTS!$F$29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[19]INPUTS!$F$40</definedName>
    <definedName name="SbUnc">[4]INPUTS!$F$35</definedName>
    <definedName name="Sch194Rlfwd">'[59]Sch94 Rlfwd'!$B$11</definedName>
    <definedName name="Schedule">[48]Inputs!$N$14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[20]INPUTS!$F$34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'[29]JHS-6'!$A$7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'[60]Transp Unbilled'!$A$8:$E$174</definedName>
    <definedName name="transdb">'[60]Transp Unbilled'!$A$8:$E$174</definedName>
    <definedName name="TRANSM_2">[61]Transm2!$A$1:$M$461:'[61]10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8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'[62]Input Tab'!$B$11</definedName>
    <definedName name="WinterPeak">'[63]Load Data'!$D$9:$H$12,'[63]Load Data'!$D$20:$H$22</definedName>
    <definedName name="WUTC_Docket_No._UG_11____">'[6]MJS-6'!$F$2</definedName>
    <definedName name="WUTC_FILING_FEE">'[6]MJS-7'!$O$15</definedName>
    <definedName name="Years_evaluated">'[64]Revison Inputs'!$B$6</definedName>
    <definedName name="YEFactors">[8]Factors!$S$3:$AG$99</definedName>
    <definedName name="YTD_Format">[46]YTD!$B$13:$D$13,[46]YTD!$B$36:$D$36</definedName>
  </definedNames>
  <calcPr calcId="145621" calcMode="autoNoTable"/>
</workbook>
</file>

<file path=xl/calcChain.xml><?xml version="1.0" encoding="utf-8"?>
<calcChain xmlns="http://schemas.openxmlformats.org/spreadsheetml/2006/main">
  <c r="O151" i="68" l="1"/>
  <c r="N151" i="68"/>
  <c r="M151" i="68"/>
  <c r="L151" i="68"/>
  <c r="K151" i="68"/>
  <c r="J151" i="68"/>
  <c r="I151" i="68"/>
  <c r="H151" i="68"/>
  <c r="G151" i="68"/>
  <c r="F151" i="68"/>
  <c r="E151" i="68"/>
  <c r="D151" i="68"/>
  <c r="O150" i="68"/>
  <c r="N150" i="68"/>
  <c r="M150" i="68"/>
  <c r="L150" i="68"/>
  <c r="K150" i="68"/>
  <c r="J150" i="68"/>
  <c r="I150" i="68"/>
  <c r="H150" i="68"/>
  <c r="G150" i="68"/>
  <c r="F150" i="68"/>
  <c r="E150" i="68"/>
  <c r="D150" i="68"/>
  <c r="O149" i="68"/>
  <c r="N149" i="68"/>
  <c r="M149" i="68"/>
  <c r="L149" i="68"/>
  <c r="K149" i="68"/>
  <c r="J149" i="68"/>
  <c r="I149" i="68"/>
  <c r="H149" i="68"/>
  <c r="G149" i="68"/>
  <c r="F149" i="68"/>
  <c r="E149" i="68"/>
  <c r="D149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P12" i="65" l="1"/>
  <c r="R40" i="66"/>
  <c r="R37" i="66"/>
  <c r="R32" i="66"/>
  <c r="R31" i="66"/>
  <c r="R26" i="66"/>
  <c r="R12" i="66"/>
  <c r="R13" i="66"/>
  <c r="R18" i="66"/>
  <c r="R21" i="66"/>
  <c r="R23" i="66"/>
  <c r="R11" i="66"/>
  <c r="Q22" i="71" l="1"/>
  <c r="Q21" i="71"/>
  <c r="Q20" i="71"/>
  <c r="Q19" i="71"/>
  <c r="Q18" i="71"/>
  <c r="Q17" i="71"/>
  <c r="Q16" i="71"/>
  <c r="Q15" i="71"/>
  <c r="Q14" i="71"/>
  <c r="Q13" i="71"/>
  <c r="Q12" i="71"/>
  <c r="Q11" i="71"/>
  <c r="Q10" i="71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5" i="70"/>
  <c r="Q22" i="70"/>
  <c r="Q20" i="70"/>
  <c r="Q17" i="70"/>
  <c r="Q12" i="70"/>
  <c r="Q11" i="70"/>
  <c r="Q10" i="70"/>
  <c r="Q22" i="69"/>
  <c r="Q20" i="69"/>
  <c r="Q17" i="69"/>
  <c r="Q12" i="69"/>
  <c r="Q11" i="69"/>
  <c r="Q10" i="69"/>
  <c r="L22" i="71"/>
  <c r="L20" i="71"/>
  <c r="L17" i="71"/>
  <c r="L12" i="71"/>
  <c r="L11" i="71"/>
  <c r="L10" i="71"/>
  <c r="L22" i="70"/>
  <c r="L20" i="70"/>
  <c r="L17" i="70"/>
  <c r="L12" i="70"/>
  <c r="L11" i="70"/>
  <c r="L10" i="70"/>
  <c r="L22" i="69"/>
  <c r="L20" i="69"/>
  <c r="L17" i="69"/>
  <c r="L12" i="69"/>
  <c r="L11" i="69"/>
  <c r="L10" i="69"/>
  <c r="L12" i="65"/>
  <c r="K22" i="71"/>
  <c r="K20" i="71"/>
  <c r="K17" i="71"/>
  <c r="K12" i="71"/>
  <c r="K11" i="71"/>
  <c r="K10" i="71"/>
  <c r="K22" i="70"/>
  <c r="K20" i="70"/>
  <c r="K17" i="70"/>
  <c r="K12" i="70"/>
  <c r="K11" i="70"/>
  <c r="K10" i="70"/>
  <c r="K22" i="69"/>
  <c r="K20" i="69"/>
  <c r="K17" i="69"/>
  <c r="K12" i="69"/>
  <c r="K11" i="69"/>
  <c r="K10" i="69"/>
  <c r="K12" i="65"/>
  <c r="Q25" i="69"/>
  <c r="H139" i="53"/>
  <c r="H139" i="18"/>
  <c r="J27" i="56"/>
  <c r="G32" i="56"/>
  <c r="O12" i="66" l="1"/>
  <c r="O13" i="66"/>
  <c r="O14" i="66"/>
  <c r="O15" i="66"/>
  <c r="O16" i="66"/>
  <c r="O17" i="66"/>
  <c r="O18" i="66"/>
  <c r="O19" i="66"/>
  <c r="O20" i="66"/>
  <c r="O21" i="66"/>
  <c r="O22" i="66"/>
  <c r="O23" i="66"/>
  <c r="O11" i="66"/>
  <c r="L26" i="66"/>
  <c r="L12" i="66"/>
  <c r="L13" i="66"/>
  <c r="L18" i="66"/>
  <c r="L21" i="66"/>
  <c r="L23" i="66"/>
  <c r="L11" i="66"/>
  <c r="I26" i="66"/>
  <c r="I12" i="66"/>
  <c r="I13" i="66"/>
  <c r="I18" i="66"/>
  <c r="I21" i="66"/>
  <c r="I23" i="66"/>
  <c r="I11" i="66"/>
  <c r="Q32" i="71"/>
  <c r="Q30" i="71"/>
  <c r="Q35" i="71"/>
  <c r="Q31" i="71"/>
  <c r="Q33" i="71"/>
  <c r="O22" i="71"/>
  <c r="O21" i="71"/>
  <c r="O20" i="71"/>
  <c r="O19" i="71"/>
  <c r="O18" i="71"/>
  <c r="O17" i="71"/>
  <c r="O16" i="71"/>
  <c r="O15" i="71"/>
  <c r="O14" i="71"/>
  <c r="O13" i="71"/>
  <c r="O12" i="71"/>
  <c r="O11" i="71"/>
  <c r="O10" i="71"/>
  <c r="Q39" i="71"/>
  <c r="Q36" i="71"/>
  <c r="D36" i="71"/>
  <c r="D35" i="71"/>
  <c r="Q34" i="71"/>
  <c r="D34" i="71"/>
  <c r="D33" i="71"/>
  <c r="D37" i="71" s="1"/>
  <c r="D40" i="71" s="1"/>
  <c r="D32" i="71"/>
  <c r="E31" i="71"/>
  <c r="D31" i="71"/>
  <c r="D30" i="71"/>
  <c r="M25" i="71"/>
  <c r="L25" i="71"/>
  <c r="K25" i="71"/>
  <c r="J25" i="71"/>
  <c r="E39" i="71"/>
  <c r="D25" i="71"/>
  <c r="M23" i="71"/>
  <c r="M26" i="71" s="1"/>
  <c r="J23" i="71"/>
  <c r="J26" i="71" s="1"/>
  <c r="H23" i="71"/>
  <c r="H26" i="71" s="1"/>
  <c r="G23" i="71"/>
  <c r="G26" i="71" s="1"/>
  <c r="D23" i="71"/>
  <c r="M22" i="71"/>
  <c r="J22" i="71"/>
  <c r="P22" i="71"/>
  <c r="P36" i="71" s="1"/>
  <c r="R36" i="71" s="1"/>
  <c r="D22" i="71"/>
  <c r="M21" i="71"/>
  <c r="J21" i="71"/>
  <c r="D21" i="71"/>
  <c r="N20" i="71"/>
  <c r="M20" i="71"/>
  <c r="J20" i="71"/>
  <c r="I20" i="71"/>
  <c r="D20" i="71"/>
  <c r="M19" i="71"/>
  <c r="J19" i="71"/>
  <c r="D19" i="71"/>
  <c r="M18" i="71"/>
  <c r="J18" i="71"/>
  <c r="I18" i="71"/>
  <c r="D18" i="71"/>
  <c r="N17" i="71"/>
  <c r="M17" i="71"/>
  <c r="J17" i="71"/>
  <c r="I17" i="71"/>
  <c r="D17" i="71"/>
  <c r="M16" i="71"/>
  <c r="J16" i="71"/>
  <c r="H16" i="71"/>
  <c r="G16" i="71"/>
  <c r="E35" i="71"/>
  <c r="D16" i="71"/>
  <c r="M15" i="71"/>
  <c r="J15" i="71"/>
  <c r="I15" i="71"/>
  <c r="H15" i="71"/>
  <c r="G15" i="71"/>
  <c r="D15" i="71"/>
  <c r="M14" i="71"/>
  <c r="J14" i="71"/>
  <c r="H14" i="71"/>
  <c r="G14" i="71"/>
  <c r="D14" i="71"/>
  <c r="M13" i="71"/>
  <c r="J13" i="71"/>
  <c r="I13" i="71"/>
  <c r="H13" i="71"/>
  <c r="G13" i="71"/>
  <c r="E32" i="71"/>
  <c r="D13" i="71"/>
  <c r="N12" i="71"/>
  <c r="M12" i="71"/>
  <c r="J12" i="71"/>
  <c r="I12" i="71"/>
  <c r="H12" i="71"/>
  <c r="G12" i="71"/>
  <c r="D12" i="71"/>
  <c r="M11" i="71"/>
  <c r="J11" i="71"/>
  <c r="H11" i="71"/>
  <c r="G11" i="71"/>
  <c r="D11" i="71"/>
  <c r="N10" i="71"/>
  <c r="M10" i="71"/>
  <c r="J10" i="71"/>
  <c r="I10" i="71"/>
  <c r="H10" i="71"/>
  <c r="G10" i="71"/>
  <c r="F23" i="71"/>
  <c r="F26" i="71" s="1"/>
  <c r="D10" i="71"/>
  <c r="Q39" i="70"/>
  <c r="Q36" i="70"/>
  <c r="Q30" i="70"/>
  <c r="D34" i="70"/>
  <c r="M25" i="70"/>
  <c r="L25" i="70"/>
  <c r="K25" i="70"/>
  <c r="J25" i="70"/>
  <c r="P25" i="70"/>
  <c r="P39" i="70" s="1"/>
  <c r="D25" i="70"/>
  <c r="O22" i="70"/>
  <c r="M22" i="70"/>
  <c r="J22" i="70"/>
  <c r="E36" i="70"/>
  <c r="D22" i="70"/>
  <c r="D36" i="70" s="1"/>
  <c r="O21" i="70"/>
  <c r="M21" i="70"/>
  <c r="J21" i="70"/>
  <c r="D21" i="70"/>
  <c r="O20" i="70"/>
  <c r="N20" i="70"/>
  <c r="M20" i="70"/>
  <c r="J20" i="70"/>
  <c r="I20" i="70"/>
  <c r="P20" i="70"/>
  <c r="D20" i="70"/>
  <c r="O19" i="70"/>
  <c r="M19" i="70"/>
  <c r="J19" i="70"/>
  <c r="D19" i="70"/>
  <c r="O18" i="70"/>
  <c r="M18" i="70"/>
  <c r="J18" i="70"/>
  <c r="I18" i="70"/>
  <c r="D18" i="70"/>
  <c r="O17" i="70"/>
  <c r="N17" i="70"/>
  <c r="M17" i="70"/>
  <c r="J17" i="70"/>
  <c r="I17" i="70"/>
  <c r="P17" i="70"/>
  <c r="D17" i="70"/>
  <c r="O16" i="70"/>
  <c r="O23" i="70" s="1"/>
  <c r="O26" i="70" s="1"/>
  <c r="M16" i="70"/>
  <c r="J16" i="70"/>
  <c r="H16" i="70"/>
  <c r="G16" i="70"/>
  <c r="E35" i="70"/>
  <c r="D16" i="70"/>
  <c r="D35" i="70" s="1"/>
  <c r="O15" i="70"/>
  <c r="M15" i="70"/>
  <c r="J15" i="70"/>
  <c r="I15" i="70"/>
  <c r="H15" i="70"/>
  <c r="G15" i="70"/>
  <c r="D15" i="70"/>
  <c r="O14" i="70"/>
  <c r="M14" i="70"/>
  <c r="J14" i="70"/>
  <c r="H14" i="70"/>
  <c r="G14" i="70"/>
  <c r="G23" i="70" s="1"/>
  <c r="G26" i="70" s="1"/>
  <c r="E33" i="70"/>
  <c r="D14" i="70"/>
  <c r="D33" i="70" s="1"/>
  <c r="O13" i="70"/>
  <c r="M13" i="70"/>
  <c r="J13" i="70"/>
  <c r="I13" i="70"/>
  <c r="H13" i="70"/>
  <c r="G13" i="70"/>
  <c r="D13" i="70"/>
  <c r="D32" i="70" s="1"/>
  <c r="Q31" i="70"/>
  <c r="O12" i="70"/>
  <c r="N12" i="70"/>
  <c r="M12" i="70"/>
  <c r="J12" i="70"/>
  <c r="I12" i="70"/>
  <c r="H12" i="70"/>
  <c r="G12" i="70"/>
  <c r="D12" i="70"/>
  <c r="D31" i="70" s="1"/>
  <c r="O11" i="70"/>
  <c r="M11" i="70"/>
  <c r="J11" i="70"/>
  <c r="H11" i="70"/>
  <c r="G11" i="70"/>
  <c r="D11" i="70"/>
  <c r="O10" i="70"/>
  <c r="N10" i="70"/>
  <c r="M10" i="70"/>
  <c r="M23" i="70" s="1"/>
  <c r="M26" i="70" s="1"/>
  <c r="J10" i="70"/>
  <c r="J23" i="70" s="1"/>
  <c r="J26" i="70" s="1"/>
  <c r="I10" i="70"/>
  <c r="H10" i="70"/>
  <c r="H23" i="70" s="1"/>
  <c r="H26" i="70" s="1"/>
  <c r="G10" i="70"/>
  <c r="D10" i="70"/>
  <c r="D30" i="70" s="1"/>
  <c r="D37" i="70" s="1"/>
  <c r="D40" i="70" s="1"/>
  <c r="Q39" i="69"/>
  <c r="M25" i="69"/>
  <c r="L25" i="69"/>
  <c r="K25" i="69"/>
  <c r="J25" i="69"/>
  <c r="E39" i="69"/>
  <c r="D25" i="69"/>
  <c r="O22" i="69"/>
  <c r="M22" i="69"/>
  <c r="J22" i="69"/>
  <c r="E36" i="69"/>
  <c r="D22" i="69"/>
  <c r="D36" i="69" s="1"/>
  <c r="O21" i="69"/>
  <c r="M21" i="69"/>
  <c r="J21" i="69"/>
  <c r="D21" i="69"/>
  <c r="O20" i="69"/>
  <c r="N20" i="69"/>
  <c r="M20" i="69"/>
  <c r="J20" i="69"/>
  <c r="I20" i="69"/>
  <c r="D20" i="69"/>
  <c r="O19" i="69"/>
  <c r="M19" i="69"/>
  <c r="J19" i="69"/>
  <c r="D19" i="69"/>
  <c r="O18" i="69"/>
  <c r="M18" i="69"/>
  <c r="J18" i="69"/>
  <c r="I18" i="69"/>
  <c r="D18" i="69"/>
  <c r="O17" i="69"/>
  <c r="N17" i="69"/>
  <c r="M17" i="69"/>
  <c r="J17" i="69"/>
  <c r="I17" i="69"/>
  <c r="D17" i="69"/>
  <c r="O16" i="69"/>
  <c r="M16" i="69"/>
  <c r="J16" i="69"/>
  <c r="H16" i="69"/>
  <c r="G16" i="69"/>
  <c r="D16" i="69"/>
  <c r="D35" i="69" s="1"/>
  <c r="O15" i="69"/>
  <c r="M15" i="69"/>
  <c r="J15" i="69"/>
  <c r="I15" i="69"/>
  <c r="H15" i="69"/>
  <c r="G15" i="69"/>
  <c r="D15" i="69"/>
  <c r="D34" i="69" s="1"/>
  <c r="O14" i="69"/>
  <c r="M14" i="69"/>
  <c r="J14" i="69"/>
  <c r="H14" i="69"/>
  <c r="G14" i="69"/>
  <c r="E33" i="69"/>
  <c r="D14" i="69"/>
  <c r="D33" i="69" s="1"/>
  <c r="O13" i="69"/>
  <c r="M13" i="69"/>
  <c r="J13" i="69"/>
  <c r="I13" i="69"/>
  <c r="H13" i="69"/>
  <c r="G13" i="69"/>
  <c r="D13" i="69"/>
  <c r="D32" i="69" s="1"/>
  <c r="O12" i="69"/>
  <c r="N12" i="69"/>
  <c r="M12" i="69"/>
  <c r="J12" i="69"/>
  <c r="I12" i="69"/>
  <c r="H12" i="69"/>
  <c r="G12" i="69"/>
  <c r="D12" i="69"/>
  <c r="D31" i="69" s="1"/>
  <c r="O11" i="69"/>
  <c r="M11" i="69"/>
  <c r="J11" i="69"/>
  <c r="H11" i="69"/>
  <c r="G11" i="69"/>
  <c r="D11" i="69"/>
  <c r="O10" i="69"/>
  <c r="O23" i="69" s="1"/>
  <c r="O26" i="69" s="1"/>
  <c r="N10" i="69"/>
  <c r="M10" i="69"/>
  <c r="M23" i="69" s="1"/>
  <c r="M26" i="69" s="1"/>
  <c r="J10" i="69"/>
  <c r="J23" i="69" s="1"/>
  <c r="J26" i="69" s="1"/>
  <c r="I10" i="69"/>
  <c r="H10" i="69"/>
  <c r="H23" i="69" s="1"/>
  <c r="H26" i="69" s="1"/>
  <c r="G10" i="69"/>
  <c r="G23" i="69" s="1"/>
  <c r="G26" i="69" s="1"/>
  <c r="D10" i="69"/>
  <c r="D30" i="69" s="1"/>
  <c r="D37" i="69" s="1"/>
  <c r="D40" i="69" s="1"/>
  <c r="E36" i="71" l="1"/>
  <c r="P11" i="71"/>
  <c r="R11" i="71" s="1"/>
  <c r="F23" i="69"/>
  <c r="F26" i="69" s="1"/>
  <c r="P11" i="70"/>
  <c r="R11" i="70" s="1"/>
  <c r="P20" i="71"/>
  <c r="R20" i="71" s="1"/>
  <c r="P12" i="69"/>
  <c r="R12" i="69" s="1"/>
  <c r="E35" i="69"/>
  <c r="F23" i="70"/>
  <c r="F26" i="70" s="1"/>
  <c r="E30" i="71"/>
  <c r="P12" i="71"/>
  <c r="E34" i="71"/>
  <c r="E33" i="71"/>
  <c r="P17" i="69"/>
  <c r="R17" i="69" s="1"/>
  <c r="P10" i="70"/>
  <c r="R10" i="70" s="1"/>
  <c r="P12" i="70"/>
  <c r="P31" i="70" s="1"/>
  <c r="R31" i="70" s="1"/>
  <c r="E39" i="70"/>
  <c r="P10" i="71"/>
  <c r="R10" i="71" s="1"/>
  <c r="P25" i="71"/>
  <c r="P39" i="71" s="1"/>
  <c r="R39" i="71" s="1"/>
  <c r="P10" i="69"/>
  <c r="R10" i="69" s="1"/>
  <c r="P11" i="69"/>
  <c r="E32" i="69"/>
  <c r="P20" i="69"/>
  <c r="E32" i="70"/>
  <c r="E23" i="71"/>
  <c r="E26" i="71" s="1"/>
  <c r="P17" i="71"/>
  <c r="R17" i="71" s="1"/>
  <c r="Q23" i="71"/>
  <c r="Q26" i="71" s="1"/>
  <c r="R22" i="71"/>
  <c r="O23" i="71"/>
  <c r="O26" i="71" s="1"/>
  <c r="R12" i="71"/>
  <c r="Q37" i="71"/>
  <c r="R17" i="70"/>
  <c r="R20" i="70"/>
  <c r="R39" i="70"/>
  <c r="D23" i="70"/>
  <c r="R25" i="70"/>
  <c r="E30" i="70"/>
  <c r="E34" i="70"/>
  <c r="P22" i="70"/>
  <c r="E23" i="70"/>
  <c r="E26" i="70" s="1"/>
  <c r="E31" i="70"/>
  <c r="Q31" i="69"/>
  <c r="Q30" i="69"/>
  <c r="R20" i="69"/>
  <c r="D23" i="69"/>
  <c r="E30" i="69"/>
  <c r="E34" i="69"/>
  <c r="Q36" i="69"/>
  <c r="P22" i="69"/>
  <c r="P36" i="69" s="1"/>
  <c r="E23" i="69"/>
  <c r="E26" i="69" s="1"/>
  <c r="E31" i="69"/>
  <c r="P25" i="69"/>
  <c r="P39" i="69" s="1"/>
  <c r="P30" i="69" l="1"/>
  <c r="R12" i="70"/>
  <c r="P30" i="70"/>
  <c r="R30" i="70" s="1"/>
  <c r="E37" i="71"/>
  <c r="E40" i="71" s="1"/>
  <c r="P30" i="71"/>
  <c r="R30" i="71" s="1"/>
  <c r="R11" i="69"/>
  <c r="P31" i="69"/>
  <c r="R31" i="69" s="1"/>
  <c r="R25" i="71"/>
  <c r="P31" i="71"/>
  <c r="R31" i="71" s="1"/>
  <c r="Q40" i="71"/>
  <c r="E37" i="70"/>
  <c r="E40" i="70" s="1"/>
  <c r="P36" i="70"/>
  <c r="R36" i="70" s="1"/>
  <c r="R22" i="70"/>
  <c r="E37" i="69"/>
  <c r="E40" i="69" s="1"/>
  <c r="R22" i="69"/>
  <c r="R25" i="69"/>
  <c r="R36" i="69"/>
  <c r="R39" i="69"/>
  <c r="R30" i="69"/>
  <c r="C116" i="39" l="1"/>
  <c r="D116" i="39"/>
  <c r="E116" i="39"/>
  <c r="F116" i="39"/>
  <c r="G116" i="39"/>
  <c r="H116" i="39"/>
  <c r="I116" i="39"/>
  <c r="J116" i="39"/>
  <c r="K116" i="39"/>
  <c r="L116" i="39"/>
  <c r="M116" i="39"/>
  <c r="B11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76" i="39"/>
  <c r="D76" i="39"/>
  <c r="E76" i="39"/>
  <c r="F76" i="39"/>
  <c r="G76" i="39"/>
  <c r="H76" i="39"/>
  <c r="I76" i="39"/>
  <c r="J76" i="39"/>
  <c r="K76" i="39"/>
  <c r="L76" i="39"/>
  <c r="M76" i="39"/>
  <c r="B76" i="39"/>
  <c r="C42" i="39"/>
  <c r="D42" i="39"/>
  <c r="E42" i="39"/>
  <c r="F42" i="39"/>
  <c r="G42" i="39"/>
  <c r="H42" i="39"/>
  <c r="I42" i="39"/>
  <c r="J42" i="39"/>
  <c r="K42" i="39"/>
  <c r="L42" i="39"/>
  <c r="M42" i="39"/>
  <c r="B42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N61" i="39" l="1"/>
  <c r="N60" i="39"/>
  <c r="N59" i="39"/>
  <c r="N58" i="39"/>
  <c r="N57" i="39"/>
  <c r="N62" i="39" s="1"/>
  <c r="N56" i="39"/>
  <c r="L261" i="68"/>
  <c r="D261" i="68"/>
  <c r="M254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P253" i="68" s="1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P252" i="68" s="1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E254" i="68" s="1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P249" i="68" s="1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P248" i="68" s="1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P247" i="68" s="1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P244" i="68" s="1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L240" i="68"/>
  <c r="L254" i="68" s="1"/>
  <c r="L255" i="68" s="1"/>
  <c r="K240" i="68"/>
  <c r="J240" i="68"/>
  <c r="I240" i="68"/>
  <c r="H240" i="68"/>
  <c r="H254" i="68" s="1"/>
  <c r="H255" i="68" s="1"/>
  <c r="G240" i="68"/>
  <c r="F240" i="68"/>
  <c r="E240" i="68"/>
  <c r="D240" i="68"/>
  <c r="D254" i="68" s="1"/>
  <c r="D255" i="68" s="1"/>
  <c r="J233" i="68"/>
  <c r="J268" i="68" s="1"/>
  <c r="P226" i="68"/>
  <c r="M225" i="68"/>
  <c r="M261" i="68" s="1"/>
  <c r="K225" i="68"/>
  <c r="K261" i="68" s="1"/>
  <c r="I225" i="68"/>
  <c r="I261" i="68" s="1"/>
  <c r="E225" i="68"/>
  <c r="E261" i="68" s="1"/>
  <c r="M221" i="68"/>
  <c r="J221" i="68"/>
  <c r="I221" i="68"/>
  <c r="E221" i="68"/>
  <c r="P214" i="68"/>
  <c r="P207" i="68"/>
  <c r="P206" i="68"/>
  <c r="P202" i="68"/>
  <c r="O197" i="68"/>
  <c r="N197" i="68"/>
  <c r="M197" i="68"/>
  <c r="L197" i="68"/>
  <c r="K197" i="68"/>
  <c r="J197" i="68"/>
  <c r="I197" i="68"/>
  <c r="H197" i="68"/>
  <c r="G197" i="68"/>
  <c r="F197" i="68"/>
  <c r="E197" i="68"/>
  <c r="D197" i="68"/>
  <c r="O196" i="68"/>
  <c r="O233" i="68" s="1"/>
  <c r="O268" i="68" s="1"/>
  <c r="N196" i="68"/>
  <c r="N233" i="68" s="1"/>
  <c r="N268" i="68" s="1"/>
  <c r="M196" i="68"/>
  <c r="M233" i="68" s="1"/>
  <c r="M268" i="68" s="1"/>
  <c r="L196" i="68"/>
  <c r="L233" i="68" s="1"/>
  <c r="L268" i="68" s="1"/>
  <c r="K196" i="68"/>
  <c r="K233" i="68" s="1"/>
  <c r="K268" i="68" s="1"/>
  <c r="J196" i="68"/>
  <c r="I196" i="68"/>
  <c r="I233" i="68" s="1"/>
  <c r="I268" i="68" s="1"/>
  <c r="H196" i="68"/>
  <c r="H233" i="68" s="1"/>
  <c r="H268" i="68" s="1"/>
  <c r="G196" i="68"/>
  <c r="G233" i="68" s="1"/>
  <c r="G268" i="68" s="1"/>
  <c r="F196" i="68"/>
  <c r="F233" i="68" s="1"/>
  <c r="F268" i="68" s="1"/>
  <c r="E196" i="68"/>
  <c r="E233" i="68" s="1"/>
  <c r="E268" i="68" s="1"/>
  <c r="D196" i="68"/>
  <c r="D233" i="68" s="1"/>
  <c r="O195" i="68"/>
  <c r="N195" i="68"/>
  <c r="M195" i="68"/>
  <c r="L195" i="68"/>
  <c r="K195" i="68"/>
  <c r="J195" i="68"/>
  <c r="I195" i="68"/>
  <c r="H195" i="68"/>
  <c r="G195" i="68"/>
  <c r="F195" i="68"/>
  <c r="E195" i="68"/>
  <c r="D195" i="68"/>
  <c r="P195" i="68" s="1"/>
  <c r="O194" i="68"/>
  <c r="N194" i="68"/>
  <c r="M194" i="68"/>
  <c r="L194" i="68"/>
  <c r="K194" i="68"/>
  <c r="J194" i="68"/>
  <c r="I194" i="68"/>
  <c r="H194" i="68"/>
  <c r="G194" i="68"/>
  <c r="F194" i="68"/>
  <c r="E194" i="68"/>
  <c r="D194" i="68"/>
  <c r="P194" i="68" s="1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P193" i="68" s="1"/>
  <c r="C193" i="68"/>
  <c r="B193" i="68"/>
  <c r="O192" i="68"/>
  <c r="N192" i="68"/>
  <c r="M192" i="68"/>
  <c r="L192" i="68"/>
  <c r="K192" i="68"/>
  <c r="J192" i="68"/>
  <c r="I192" i="68"/>
  <c r="I198" i="68" s="1"/>
  <c r="H192" i="68"/>
  <c r="G192" i="68"/>
  <c r="F192" i="68"/>
  <c r="E192" i="68"/>
  <c r="E198" i="68" s="1"/>
  <c r="D192" i="68"/>
  <c r="C192" i="68"/>
  <c r="B192" i="68"/>
  <c r="O191" i="68"/>
  <c r="N191" i="68"/>
  <c r="M191" i="68"/>
  <c r="L191" i="68"/>
  <c r="L198" i="68" s="1"/>
  <c r="K191" i="68"/>
  <c r="J191" i="68"/>
  <c r="I191" i="68"/>
  <c r="H191" i="68"/>
  <c r="G191" i="68"/>
  <c r="F191" i="68"/>
  <c r="E191" i="68"/>
  <c r="D191" i="68"/>
  <c r="P191" i="68" s="1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P190" i="68" s="1"/>
  <c r="O189" i="68"/>
  <c r="O225" i="68" s="1"/>
  <c r="O261" i="68" s="1"/>
  <c r="N189" i="68"/>
  <c r="N225" i="68" s="1"/>
  <c r="N261" i="68" s="1"/>
  <c r="M189" i="68"/>
  <c r="L189" i="68"/>
  <c r="L225" i="68" s="1"/>
  <c r="K189" i="68"/>
  <c r="J189" i="68"/>
  <c r="J225" i="68" s="1"/>
  <c r="J261" i="68" s="1"/>
  <c r="I189" i="68"/>
  <c r="H189" i="68"/>
  <c r="H225" i="68" s="1"/>
  <c r="H261" i="68" s="1"/>
  <c r="G189" i="68"/>
  <c r="G225" i="68" s="1"/>
  <c r="G261" i="68" s="1"/>
  <c r="F189" i="68"/>
  <c r="F225" i="68" s="1"/>
  <c r="F261" i="68" s="1"/>
  <c r="E189" i="68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D198" i="68" s="1"/>
  <c r="C188" i="68"/>
  <c r="B188" i="68"/>
  <c r="O187" i="68"/>
  <c r="N187" i="68"/>
  <c r="M187" i="68"/>
  <c r="L187" i="68"/>
  <c r="L221" i="68" s="1"/>
  <c r="K187" i="68"/>
  <c r="J187" i="68"/>
  <c r="I187" i="68"/>
  <c r="H187" i="68"/>
  <c r="H221" i="68" s="1"/>
  <c r="G187" i="68"/>
  <c r="F187" i="68"/>
  <c r="E187" i="68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O112" i="68"/>
  <c r="O127" i="68" s="1"/>
  <c r="O143" i="68" s="1"/>
  <c r="P83" i="68"/>
  <c r="O84" i="68"/>
  <c r="N84" i="68"/>
  <c r="N107" i="68" s="1"/>
  <c r="N122" i="68" s="1"/>
  <c r="N138" i="68" s="1"/>
  <c r="M84" i="68"/>
  <c r="L84" i="68"/>
  <c r="K84" i="68"/>
  <c r="K106" i="68" s="1"/>
  <c r="K121" i="68" s="1"/>
  <c r="K137" i="68" s="1"/>
  <c r="J84" i="68"/>
  <c r="J111" i="68" s="1"/>
  <c r="J126" i="68" s="1"/>
  <c r="J142" i="68" s="1"/>
  <c r="I84" i="68"/>
  <c r="H84" i="68"/>
  <c r="G84" i="68"/>
  <c r="F84" i="68"/>
  <c r="F110" i="68" s="1"/>
  <c r="F125" i="68" s="1"/>
  <c r="F141" i="68" s="1"/>
  <c r="E84" i="68"/>
  <c r="E104" i="68" s="1"/>
  <c r="E119" i="68" s="1"/>
  <c r="E135" i="68" s="1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P79" i="68" s="1"/>
  <c r="O78" i="68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P75" i="68" s="1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P72" i="68" s="1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P71" i="68" s="1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P69" i="68" s="1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P67" i="68" s="1"/>
  <c r="O64" i="68"/>
  <c r="N64" i="68"/>
  <c r="M64" i="68"/>
  <c r="L64" i="68"/>
  <c r="K64" i="68"/>
  <c r="J64" i="68"/>
  <c r="I64" i="68"/>
  <c r="H64" i="68"/>
  <c r="G64" i="68"/>
  <c r="F64" i="68"/>
  <c r="E64" i="68"/>
  <c r="D64" i="68"/>
  <c r="P64" i="68" s="1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P33" i="68" s="1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F6" i="68"/>
  <c r="G6" i="68" s="1"/>
  <c r="H6" i="68" s="1"/>
  <c r="I6" i="68" s="1"/>
  <c r="J6" i="68" s="1"/>
  <c r="K6" i="68" s="1"/>
  <c r="L6" i="68" s="1"/>
  <c r="M6" i="68" s="1"/>
  <c r="N6" i="68" s="1"/>
  <c r="O6" i="68" s="1"/>
  <c r="E6" i="68"/>
  <c r="M104" i="68" l="1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L132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K167" i="68" l="1"/>
  <c r="K184" i="68" s="1"/>
  <c r="M163" i="68"/>
  <c r="K159" i="68"/>
  <c r="K213" i="68" s="1"/>
  <c r="K163" i="68"/>
  <c r="K210" i="68" s="1"/>
  <c r="P152" i="68"/>
  <c r="M161" i="68"/>
  <c r="H166" i="68"/>
  <c r="H183" i="68" s="1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L176" i="68" l="1"/>
  <c r="J83" i="39" s="1"/>
  <c r="H211" i="68"/>
  <c r="K176" i="68"/>
  <c r="I83" i="39" s="1"/>
  <c r="E212" i="68"/>
  <c r="M211" i="68"/>
  <c r="L209" i="68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L293" i="68"/>
  <c r="L235" i="68"/>
  <c r="L270" i="68" s="1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L289" i="68"/>
  <c r="L234" i="68"/>
  <c r="L269" i="68" s="1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O287" i="68"/>
  <c r="O232" i="68"/>
  <c r="O267" i="68" s="1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K291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G281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K232" i="68" l="1"/>
  <c r="K267" i="68" s="1"/>
  <c r="K275" i="68" s="1"/>
  <c r="K292" i="68"/>
  <c r="L232" i="68"/>
  <c r="L267" i="68" s="1"/>
  <c r="K287" i="68"/>
  <c r="N229" i="68"/>
  <c r="N264" i="68" s="1"/>
  <c r="O282" i="68"/>
  <c r="K229" i="68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L275" i="68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82" i="68" l="1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P229" i="68" s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N118" i="40" l="1"/>
  <c r="C118" i="40"/>
  <c r="D118" i="40"/>
  <c r="E118" i="40"/>
  <c r="F118" i="40"/>
  <c r="G118" i="40"/>
  <c r="H118" i="40"/>
  <c r="I118" i="40"/>
  <c r="J118" i="40"/>
  <c r="K118" i="40"/>
  <c r="L118" i="40"/>
  <c r="M118" i="40"/>
  <c r="B118" i="40"/>
  <c r="O30" i="37" l="1"/>
  <c r="D30" i="37"/>
  <c r="E30" i="37"/>
  <c r="F30" i="37"/>
  <c r="G30" i="37"/>
  <c r="H30" i="37"/>
  <c r="I30" i="37"/>
  <c r="J30" i="37"/>
  <c r="K30" i="37"/>
  <c r="L30" i="37"/>
  <c r="M30" i="37"/>
  <c r="N30" i="37"/>
  <c r="C30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C28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C2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C11" i="37"/>
  <c r="C7" i="22" l="1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40" i="66" l="1"/>
  <c r="I37" i="66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D92" i="53" l="1"/>
  <c r="G92" i="53" s="1"/>
  <c r="H29" i="53"/>
  <c r="G29" i="53"/>
  <c r="H92" i="53" l="1"/>
  <c r="B4" i="39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D125" i="53" s="1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D134" i="53" s="1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28" i="39" l="1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H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M51" i="13" l="1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N50" i="13" l="1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N14" i="15"/>
  <c r="N13" i="15"/>
  <c r="N12" i="15"/>
  <c r="D65" i="53" s="1"/>
  <c r="N11" i="15"/>
  <c r="N8" i="15"/>
  <c r="N9" i="15"/>
  <c r="N7" i="15"/>
  <c r="N6" i="15"/>
  <c r="N5" i="15"/>
  <c r="N4" i="15"/>
  <c r="H104" i="53" l="1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5" l="1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G9" i="26"/>
  <c r="F9" i="26"/>
  <c r="G9" i="25"/>
  <c r="F9" i="25"/>
  <c r="G9" i="24"/>
  <c r="F9" i="24"/>
  <c r="G9" i="22"/>
  <c r="F9" i="22"/>
  <c r="H88" i="16"/>
  <c r="H86" i="16"/>
  <c r="H58" i="16"/>
  <c r="H48" i="16"/>
  <c r="H35" i="16"/>
  <c r="H31" i="16"/>
  <c r="H24" i="16"/>
  <c r="H45" i="18"/>
  <c r="H29" i="18"/>
  <c r="H33" i="18"/>
  <c r="F9" i="21"/>
  <c r="L11" i="65" l="1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65" l="1"/>
  <c r="P11" i="65" s="1"/>
  <c r="E12" i="67" s="1"/>
  <c r="F12" i="67" s="1"/>
  <c r="H9" i="21"/>
  <c r="H17" i="18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D144" i="18" l="1"/>
  <c r="H9" i="18"/>
  <c r="H34" i="18"/>
  <c r="D143" i="18"/>
  <c r="D12" i="66"/>
  <c r="S12" i="66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J12" i="66" l="1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5" l="1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65" l="1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D26" i="66" l="1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22" i="65" l="1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65" l="1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G21" i="53"/>
  <c r="G68" i="53"/>
  <c r="H68" i="53"/>
  <c r="G38" i="53"/>
  <c r="H38" i="53"/>
  <c r="Q13" i="70" s="1"/>
  <c r="G59" i="53"/>
  <c r="H59" i="53"/>
  <c r="G113" i="53"/>
  <c r="H113" i="53"/>
  <c r="H26" i="53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F10" i="21"/>
  <c r="G16" i="26"/>
  <c r="F16" i="26"/>
  <c r="G20" i="22"/>
  <c r="F20" i="22"/>
  <c r="H10" i="18"/>
  <c r="G10" i="18"/>
  <c r="C21" i="22"/>
  <c r="G8" i="22"/>
  <c r="F8" i="22"/>
  <c r="F11" i="26"/>
  <c r="G11" i="26"/>
  <c r="F11" i="24"/>
  <c r="G11" i="24"/>
  <c r="G70" i="18"/>
  <c r="H70" i="18"/>
  <c r="F17" i="22"/>
  <c r="G17" i="22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G26" i="18"/>
  <c r="G21" i="18"/>
  <c r="H21" i="18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F15" i="22"/>
  <c r="Q14" i="70" l="1"/>
  <c r="Q19" i="70"/>
  <c r="L20" i="66" s="1"/>
  <c r="Q16" i="69"/>
  <c r="I17" i="66" s="1"/>
  <c r="Q13" i="69"/>
  <c r="I14" i="66" s="1"/>
  <c r="Q15" i="70"/>
  <c r="Q34" i="70" s="1"/>
  <c r="I14" i="71"/>
  <c r="I14" i="70"/>
  <c r="I14" i="69"/>
  <c r="L15" i="66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6" i="66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L32" i="66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Q33" i="70" l="1"/>
  <c r="Q35" i="69"/>
  <c r="R14" i="66"/>
  <c r="P19" i="69"/>
  <c r="I33" i="66"/>
  <c r="L16" i="66"/>
  <c r="L35" i="66" s="1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R19" i="69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D13" i="66"/>
  <c r="S13" i="66" s="1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S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Q37" i="70" l="1"/>
  <c r="L36" i="66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L38" i="66"/>
  <c r="R23" i="70" l="1"/>
  <c r="R24" i="66"/>
  <c r="R26" i="70"/>
  <c r="I38" i="66"/>
  <c r="I41" i="66" s="1"/>
  <c r="S22" i="66"/>
  <c r="R27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S24" i="66" s="1"/>
  <c r="D31" i="66"/>
  <c r="S31" i="66" s="1"/>
  <c r="M11" i="66"/>
  <c r="F11" i="67"/>
  <c r="E34" i="67"/>
  <c r="E24" i="67"/>
  <c r="L41" i="66"/>
  <c r="R38" i="66" l="1"/>
  <c r="R41" i="66" s="1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34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<sst xmlns="http://schemas.openxmlformats.org/spreadsheetml/2006/main" count="2221" uniqueCount="443">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</sst>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DT07-GAS-RATE-SPREAD-DESIGN-19GRC-06-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4-GAS-NORMALIZED-REVENUE-19GRC-06-2019%20(R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0.44362000000000001</v>
          </cell>
        </row>
        <row r="14">
          <cell r="K14">
            <v>64775982.818858251</v>
          </cell>
        </row>
        <row r="25">
          <cell r="K25">
            <v>7.0624363636363654</v>
          </cell>
        </row>
        <row r="35">
          <cell r="K35">
            <v>983.59000000000015</v>
          </cell>
        </row>
      </sheetData>
      <sheetData sheetId="2">
        <row r="15">
          <cell r="K15">
            <v>28552242.289999995</v>
          </cell>
        </row>
        <row r="27">
          <cell r="K27">
            <v>3924.909999999998</v>
          </cell>
        </row>
        <row r="57">
          <cell r="K57">
            <v>1585484.4512178223</v>
          </cell>
        </row>
        <row r="79">
          <cell r="K79">
            <v>410046.28575402207</v>
          </cell>
        </row>
      </sheetData>
      <sheetData sheetId="3">
        <row r="21">
          <cell r="K21">
            <v>350365.95080162003</v>
          </cell>
        </row>
        <row r="42">
          <cell r="K42">
            <v>1391907.53</v>
          </cell>
        </row>
        <row r="80">
          <cell r="K80">
            <v>-281.22000000000116</v>
          </cell>
        </row>
        <row r="99">
          <cell r="K99">
            <v>302.34999999999582</v>
          </cell>
        </row>
        <row r="141">
          <cell r="K141">
            <v>352242.26000000024</v>
          </cell>
        </row>
        <row r="164">
          <cell r="K164">
            <v>1064195.83</v>
          </cell>
        </row>
        <row r="217">
          <cell r="K217">
            <v>38602.938156811055</v>
          </cell>
        </row>
      </sheetData>
      <sheetData sheetId="4">
        <row r="29">
          <cell r="J29">
            <v>-644531.05999999982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R) Bills &amp; Demand Data"/>
      <sheetName val="Actual Therms"/>
      <sheetName val="(R) Actual Therms By Block"/>
      <sheetName val="(R) Rev at Actual Rates"/>
      <sheetName val="(R) Rev at 2018TR Rates"/>
      <sheetName val="(R) Rev at 2018PGA Rates"/>
      <sheetName val="(R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/>
      <sheetData sheetId="1">
        <row r="29">
          <cell r="Q29">
            <v>5310380.6899999985</v>
          </cell>
        </row>
      </sheetData>
      <sheetData sheetId="2">
        <row r="12">
          <cell r="E12">
            <v>3054.0466231578944</v>
          </cell>
          <cell r="F12">
            <v>4765.4930399999994</v>
          </cell>
        </row>
        <row r="13">
          <cell r="E13">
            <v>200452727.95384753</v>
          </cell>
          <cell r="F13">
            <v>315760256.31656027</v>
          </cell>
        </row>
        <row r="14">
          <cell r="E14">
            <v>309.99023582000001</v>
          </cell>
          <cell r="F14">
            <v>38.651322340000092</v>
          </cell>
        </row>
        <row r="15">
          <cell r="E15">
            <v>74023519.895873189</v>
          </cell>
          <cell r="F15">
            <v>92776605.726934433</v>
          </cell>
        </row>
        <row r="16">
          <cell r="E16">
            <v>22.048746999999999</v>
          </cell>
          <cell r="F16">
            <v>20250.967397500001</v>
          </cell>
        </row>
        <row r="17">
          <cell r="E17">
            <v>19564303.5988218</v>
          </cell>
          <cell r="F17">
            <v>15320217.588903766</v>
          </cell>
        </row>
        <row r="18">
          <cell r="E18">
            <v>14431.910093999999</v>
          </cell>
          <cell r="F18">
            <v>4134585.1304114936</v>
          </cell>
        </row>
        <row r="20">
          <cell r="E20">
            <v>4356650.7616408002</v>
          </cell>
          <cell r="F20">
            <v>1553046.3044179073</v>
          </cell>
        </row>
        <row r="21">
          <cell r="E21">
            <v>52382.510747000008</v>
          </cell>
          <cell r="F21">
            <v>6939827.0018267175</v>
          </cell>
        </row>
        <row r="22">
          <cell r="E22">
            <v>2431877.92950228</v>
          </cell>
          <cell r="F22">
            <v>1897331.8556931536</v>
          </cell>
        </row>
        <row r="23">
          <cell r="E23">
            <v>245.90170500000005</v>
          </cell>
          <cell r="F23">
            <v>70956.431430000011</v>
          </cell>
        </row>
        <row r="24">
          <cell r="E24">
            <v>6188133.3463399597</v>
          </cell>
          <cell r="F24">
            <v>1075131.9096302763</v>
          </cell>
        </row>
        <row r="25">
          <cell r="E25">
            <v>70159.115411000006</v>
          </cell>
          <cell r="F25">
            <v>3528120.300234559</v>
          </cell>
        </row>
        <row r="26">
          <cell r="F26">
            <v>1719215.5127806603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1">
          <cell r="Q21">
            <v>628.70833333333326</v>
          </cell>
          <cell r="AV21">
            <v>16245071.132224679</v>
          </cell>
          <cell r="AW21">
            <v>236312.47551807761</v>
          </cell>
          <cell r="AX21">
            <v>728746.42588699982</v>
          </cell>
        </row>
        <row r="22">
          <cell r="Q22">
            <v>672.58333333333303</v>
          </cell>
          <cell r="AV22">
            <v>-10094133.903440788</v>
          </cell>
          <cell r="AW22">
            <v>-142539.83520227671</v>
          </cell>
          <cell r="AX22">
            <v>-409771.28147083148</v>
          </cell>
        </row>
        <row r="23">
          <cell r="Q23">
            <v>589.02083333333303</v>
          </cell>
          <cell r="AV23">
            <v>630373.3332798481</v>
          </cell>
          <cell r="AW23">
            <v>5630.268187135458</v>
          </cell>
          <cell r="AX23">
            <v>12863.452807337046</v>
          </cell>
        </row>
        <row r="24">
          <cell r="Q24">
            <v>419.04166666666703</v>
          </cell>
          <cell r="AV24">
            <v>3139156.0031094402</v>
          </cell>
          <cell r="AW24">
            <v>22930.327251821756</v>
          </cell>
          <cell r="AX24">
            <v>180403.77861916646</v>
          </cell>
        </row>
        <row r="25">
          <cell r="Q25">
            <v>172.458333333333</v>
          </cell>
          <cell r="AV25">
            <v>8688222.5962853134</v>
          </cell>
          <cell r="AW25">
            <v>0</v>
          </cell>
          <cell r="AX25">
            <v>488124.25953488797</v>
          </cell>
        </row>
        <row r="26">
          <cell r="Q26">
            <v>124.833333333333</v>
          </cell>
          <cell r="AV26">
            <v>1709352.0919530019</v>
          </cell>
          <cell r="AW26">
            <v>0</v>
          </cell>
          <cell r="AX26">
            <v>130561.97256299853</v>
          </cell>
        </row>
        <row r="27">
          <cell r="Q27">
            <v>16.5833333333333</v>
          </cell>
          <cell r="AV27">
            <v>0</v>
          </cell>
          <cell r="AW27">
            <v>0</v>
          </cell>
          <cell r="AX27">
            <v>0</v>
          </cell>
        </row>
        <row r="28">
          <cell r="Q28">
            <v>25.0833333333333</v>
          </cell>
          <cell r="AV28">
            <v>0</v>
          </cell>
          <cell r="AW28">
            <v>0</v>
          </cell>
          <cell r="AX28">
            <v>0</v>
          </cell>
        </row>
        <row r="29">
          <cell r="Q29">
            <v>116.666666666667</v>
          </cell>
          <cell r="AV29">
            <v>1067915.4227778688</v>
          </cell>
          <cell r="AW29">
            <v>0</v>
          </cell>
          <cell r="AX29">
            <v>76403.046457555145</v>
          </cell>
        </row>
        <row r="30">
          <cell r="Q30">
            <v>366.375</v>
          </cell>
          <cell r="AV30">
            <v>2175033.5573171079</v>
          </cell>
          <cell r="AW30">
            <v>24555.848958472256</v>
          </cell>
          <cell r="AX30">
            <v>79407.407077778131</v>
          </cell>
        </row>
        <row r="31">
          <cell r="Q31">
            <v>493.60416666666703</v>
          </cell>
          <cell r="AV31">
            <v>14656763.599435285</v>
          </cell>
          <cell r="AW31">
            <v>48593.865574755706</v>
          </cell>
          <cell r="AX31">
            <v>703675.8156241551</v>
          </cell>
        </row>
        <row r="32">
          <cell r="Q32">
            <v>653.20833333333303</v>
          </cell>
          <cell r="AV32">
            <v>15822092.234883398</v>
          </cell>
          <cell r="AW32">
            <v>0</v>
          </cell>
          <cell r="AX32">
            <v>458214.37069199979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G29" sqref="G29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60"/>
    </row>
    <row r="2" spans="2:2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60"/>
    </row>
    <row r="3" spans="2:2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40"/>
    </row>
    <row r="4" spans="2:24" x14ac:dyDescent="0.25">
      <c r="B4" s="394" t="s">
        <v>432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569360424.86566794</v>
      </c>
      <c r="E11" s="8"/>
      <c r="F11" s="317">
        <f>'Base Rate Impacts'!Q10</f>
        <v>64775989.881294616</v>
      </c>
      <c r="G11" s="224">
        <f>F11/$D11</f>
        <v>0.11376974417668305</v>
      </c>
      <c r="H11" s="9"/>
      <c r="I11" s="317">
        <f>'Sch. 141 Impacts'!Q10</f>
        <v>-19326947.757790502</v>
      </c>
      <c r="J11" s="224">
        <f>I11/$D11</f>
        <v>-3.3945014289235867E-2</v>
      </c>
      <c r="K11" s="155"/>
      <c r="L11" s="317">
        <f>'Sch. 141X Impacts'!Q10</f>
        <v>4349643.2620515758</v>
      </c>
      <c r="M11" s="224">
        <f>L11/$D11</f>
        <v>7.6395251093853405E-3</v>
      </c>
      <c r="N11" s="155"/>
      <c r="O11" s="317">
        <f>'Sch. 149 Impacts'!Q10</f>
        <v>-6879152.9663698804</v>
      </c>
      <c r="P11" s="224">
        <f>O11/$D11</f>
        <v>-1.2082246439929353E-2</v>
      </c>
      <c r="Q11" s="155"/>
      <c r="R11" s="336">
        <f>SUM(I11,L11,O11)</f>
        <v>-21856457.462108806</v>
      </c>
      <c r="S11" s="224">
        <f>R11/$D11</f>
        <v>-3.8387735619779879E-2</v>
      </c>
      <c r="T11" s="155"/>
      <c r="U11" s="336">
        <f>SUM(D11,F11,I11,L11,O11)</f>
        <v>612279957.28485382</v>
      </c>
      <c r="V11" s="339">
        <f>U11-D11</f>
        <v>42919532.419185877</v>
      </c>
      <c r="W11" s="224">
        <f>V11/$D11</f>
        <v>7.5382008556903302E-2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983.59000000000015</v>
      </c>
      <c r="G12" s="224">
        <f>F12/$D12</f>
        <v>0.11717603372745655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63.933343157894242</v>
      </c>
      <c r="M12" s="224">
        <f t="shared" ref="M12:M27" si="1">L12/$D12</f>
        <v>7.6164413771779588E-3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-330.97308162947411</v>
      </c>
      <c r="S12" s="224">
        <f t="shared" ref="S12:S23" si="4">R12/$D12</f>
        <v>-3.9429145249438774E-2</v>
      </c>
      <c r="T12" s="155"/>
      <c r="U12" s="336">
        <f t="shared" ref="U12:U23" si="5">SUM(D12,F12,I12,L12,O12)</f>
        <v>9046.7395790484188</v>
      </c>
      <c r="V12" s="339">
        <f t="shared" ref="V12:V23" si="6">U12-D12</f>
        <v>652.61691837052604</v>
      </c>
      <c r="W12" s="224">
        <f t="shared" ref="W12:W26" si="7">V12/$D12</f>
        <v>7.7746888478017778E-2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179211324.93804225</v>
      </c>
      <c r="E13" s="8"/>
      <c r="F13" s="317">
        <f>'Base Rate Impacts'!Q12</f>
        <v>28552242.289999995</v>
      </c>
      <c r="G13" s="224">
        <f t="shared" ref="G13:G27" si="8">F13/$D13</f>
        <v>0.15932164052618442</v>
      </c>
      <c r="H13" s="9"/>
      <c r="I13" s="317">
        <f>'Sch. 141 Impacts'!Q12</f>
        <v>-6110887.9022791656</v>
      </c>
      <c r="J13" s="224">
        <f t="shared" si="0"/>
        <v>-3.4098782007174207E-2</v>
      </c>
      <c r="K13" s="155"/>
      <c r="L13" s="317">
        <f>'Sch. 141X Impacts'!Q12</f>
        <v>1275527.7649596378</v>
      </c>
      <c r="M13" s="224">
        <f t="shared" si="1"/>
        <v>7.1174506711594206E-3</v>
      </c>
      <c r="N13" s="155"/>
      <c r="O13" s="317">
        <f>'Sch. 149 Impacts'!Q12</f>
        <v>-2526828.0251846407</v>
      </c>
      <c r="P13" s="224">
        <f t="shared" si="2"/>
        <v>-1.4099711756822439E-2</v>
      </c>
      <c r="Q13" s="155"/>
      <c r="R13" s="336">
        <f t="shared" si="3"/>
        <v>-7362188.1625041682</v>
      </c>
      <c r="S13" s="224">
        <f t="shared" si="4"/>
        <v>-4.1081043092837222E-2</v>
      </c>
      <c r="T13" s="155"/>
      <c r="U13" s="336">
        <f t="shared" si="5"/>
        <v>200401379.06553808</v>
      </c>
      <c r="V13" s="339">
        <f t="shared" si="6"/>
        <v>21190054.127495825</v>
      </c>
      <c r="W13" s="224">
        <f t="shared" si="7"/>
        <v>0.11824059743334718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37596250.87256778</v>
      </c>
      <c r="E14" s="8"/>
      <c r="F14" s="317">
        <f>'Base Rate Impacts'!Q13</f>
        <v>1585484.4512178223</v>
      </c>
      <c r="G14" s="224">
        <f t="shared" si="8"/>
        <v>4.2171344600072234E-2</v>
      </c>
      <c r="H14" s="9"/>
      <c r="I14" s="317">
        <f>'Sch. 141 Impacts'!Q13</f>
        <v>-1231564.7640418469</v>
      </c>
      <c r="J14" s="224">
        <f t="shared" si="0"/>
        <v>-3.2757648314887214E-2</v>
      </c>
      <c r="K14" s="155"/>
      <c r="L14" s="317">
        <f>'Sch. 141X Impacts'!Q13</f>
        <v>212630.16343783514</v>
      </c>
      <c r="M14" s="224">
        <f t="shared" si="1"/>
        <v>5.655621464984462E-3</v>
      </c>
      <c r="N14" s="155"/>
      <c r="O14" s="317">
        <f>'Sch. 149 Impacts'!Q13</f>
        <v>-407396.71755076008</v>
      </c>
      <c r="P14" s="224">
        <f t="shared" si="2"/>
        <v>-1.0836099560342554E-2</v>
      </c>
      <c r="Q14" s="155"/>
      <c r="R14" s="336">
        <f t="shared" si="3"/>
        <v>-1426331.3181547718</v>
      </c>
      <c r="S14" s="224">
        <f t="shared" si="4"/>
        <v>-3.7938126410245306E-2</v>
      </c>
      <c r="T14" s="155"/>
      <c r="U14" s="336">
        <f t="shared" si="5"/>
        <v>37755404.005630828</v>
      </c>
      <c r="V14" s="339">
        <f t="shared" si="6"/>
        <v>159153.13306304812</v>
      </c>
      <c r="W14" s="224">
        <f t="shared" si="7"/>
        <v>4.2332181898268664E-3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6334641.3946324075</v>
      </c>
      <c r="E15" s="8"/>
      <c r="F15" s="317">
        <f>'Base Rate Impacts'!Q14</f>
        <v>350365.95080162003</v>
      </c>
      <c r="G15" s="224">
        <f t="shared" si="8"/>
        <v>5.5309516194318273E-2</v>
      </c>
      <c r="H15" s="9"/>
      <c r="I15" s="317">
        <f>'Sch. 141 Impacts'!Q14</f>
        <v>-152845.92818257306</v>
      </c>
      <c r="J15" s="224">
        <f t="shared" si="0"/>
        <v>-2.4128584186641641E-2</v>
      </c>
      <c r="K15" s="155"/>
      <c r="L15" s="317">
        <f>'Sch. 141X Impacts'!Q14</f>
        <v>21392.139480227721</v>
      </c>
      <c r="M15" s="224">
        <f t="shared" si="1"/>
        <v>3.3770087598572079E-3</v>
      </c>
      <c r="N15" s="155"/>
      <c r="O15" s="317">
        <f>'Sch. 149 Impacts'!Q14</f>
        <v>-52258.275213740002</v>
      </c>
      <c r="P15" s="224">
        <f t="shared" si="2"/>
        <v>-8.2496027727821351E-3</v>
      </c>
      <c r="Q15" s="155"/>
      <c r="R15" s="336">
        <f t="shared" si="3"/>
        <v>-183712.06391608535</v>
      </c>
      <c r="S15" s="224">
        <f t="shared" si="4"/>
        <v>-2.9001178199566571E-2</v>
      </c>
      <c r="T15" s="155"/>
      <c r="U15" s="336">
        <f t="shared" si="5"/>
        <v>6501295.2815179424</v>
      </c>
      <c r="V15" s="339">
        <f t="shared" si="6"/>
        <v>166653.88688553497</v>
      </c>
      <c r="W15" s="224">
        <f t="shared" si="7"/>
        <v>2.6308337994751747E-2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4634610.5169545421</v>
      </c>
      <c r="E16" s="8"/>
      <c r="F16" s="317">
        <f>'Base Rate Impacts'!Q15</f>
        <v>-281.22000000000116</v>
      </c>
      <c r="G16" s="224">
        <f t="shared" si="8"/>
        <v>-6.0678238003221505E-5</v>
      </c>
      <c r="H16" s="9"/>
      <c r="I16" s="317">
        <f>'Sch. 141 Impacts'!Q15</f>
        <v>-152181.0190152016</v>
      </c>
      <c r="J16" s="224">
        <f t="shared" si="0"/>
        <v>-3.2835773029575216E-2</v>
      </c>
      <c r="K16" s="155"/>
      <c r="L16" s="317">
        <f>'Sch. 141X Impacts'!Q15</f>
        <v>26020.314480684341</v>
      </c>
      <c r="M16" s="224">
        <f t="shared" si="1"/>
        <v>5.614347610332227E-3</v>
      </c>
      <c r="N16" s="155"/>
      <c r="O16" s="317">
        <f>'Sch. 149 Impacts'!Q15</f>
        <v>-36323.442690949996</v>
      </c>
      <c r="P16" s="224">
        <f t="shared" si="2"/>
        <v>-7.8374315507354787E-3</v>
      </c>
      <c r="Q16" s="155"/>
      <c r="R16" s="336">
        <f t="shared" si="3"/>
        <v>-162484.14722546726</v>
      </c>
      <c r="S16" s="224">
        <f t="shared" si="4"/>
        <v>-3.5058856969978465E-2</v>
      </c>
      <c r="T16" s="155"/>
      <c r="U16" s="336">
        <f t="shared" si="5"/>
        <v>4471845.1497290758</v>
      </c>
      <c r="V16" s="339">
        <f t="shared" si="6"/>
        <v>-162765.3672254663</v>
      </c>
      <c r="W16" s="224">
        <f t="shared" si="7"/>
        <v>-3.511953520798148E-2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7709847.8877991261</v>
      </c>
      <c r="E17" s="8"/>
      <c r="F17" s="317">
        <f>'Base Rate Impacts'!Q16</f>
        <v>352242.26000000024</v>
      </c>
      <c r="G17" s="224">
        <f t="shared" si="8"/>
        <v>4.5687316420006861E-2</v>
      </c>
      <c r="H17" s="9"/>
      <c r="I17" s="317">
        <f>'Sch. 141 Impacts'!Q16</f>
        <v>-106551.53823372703</v>
      </c>
      <c r="J17" s="224">
        <f t="shared" si="0"/>
        <v>-1.3820186829152023E-2</v>
      </c>
      <c r="K17" s="155"/>
      <c r="L17" s="317">
        <f>'Sch. 141X Impacts'!Q16</f>
        <v>14969.602689134326</v>
      </c>
      <c r="M17" s="224">
        <f t="shared" si="1"/>
        <v>1.9416210160026373E-3</v>
      </c>
      <c r="N17" s="155"/>
      <c r="O17" s="317">
        <f>'Sch. 149 Impacts'!Q16</f>
        <v>-46221.081791180004</v>
      </c>
      <c r="P17" s="224">
        <f t="shared" si="2"/>
        <v>-5.9950705206940728E-3</v>
      </c>
      <c r="Q17" s="155"/>
      <c r="R17" s="336">
        <f t="shared" si="3"/>
        <v>-137803.01733577272</v>
      </c>
      <c r="S17" s="224">
        <f t="shared" si="4"/>
        <v>-1.7873636333843462E-2</v>
      </c>
      <c r="T17" s="155"/>
      <c r="U17" s="336">
        <f t="shared" si="5"/>
        <v>7924287.1304633534</v>
      </c>
      <c r="V17" s="339">
        <f t="shared" si="6"/>
        <v>214439.24266422726</v>
      </c>
      <c r="W17" s="224">
        <f t="shared" si="7"/>
        <v>2.7813680086163368E-2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21454.119753599993</v>
      </c>
      <c r="E18" s="8"/>
      <c r="F18" s="317">
        <f>'Base Rate Impacts'!Q17</f>
        <v>3924.909999999998</v>
      </c>
      <c r="G18" s="224">
        <f t="shared" si="8"/>
        <v>0.18294435031954176</v>
      </c>
      <c r="H18" s="9"/>
      <c r="I18" s="317">
        <f>'Sch. 141 Impacts'!Q17</f>
        <v>-866.53242810000165</v>
      </c>
      <c r="J18" s="224">
        <f t="shared" si="0"/>
        <v>-4.0390024762241662E-2</v>
      </c>
      <c r="K18" s="208"/>
      <c r="L18" s="317">
        <f>'Sch. 141X Impacts'!Q17</f>
        <v>278.53775050000007</v>
      </c>
      <c r="M18" s="224">
        <f t="shared" si="1"/>
        <v>1.2982949368186572E-2</v>
      </c>
      <c r="N18" s="155"/>
      <c r="O18" s="317">
        <f>'Sch. 149 Impacts'!Q17</f>
        <v>-342.70052480000004</v>
      </c>
      <c r="P18" s="224">
        <f t="shared" si="2"/>
        <v>-1.5973646494748171E-2</v>
      </c>
      <c r="Q18" s="155"/>
      <c r="R18" s="336">
        <f t="shared" si="3"/>
        <v>-930.69520240000156</v>
      </c>
      <c r="S18" s="224">
        <f t="shared" si="4"/>
        <v>-4.3380721888803257E-2</v>
      </c>
      <c r="T18" s="155"/>
      <c r="U18" s="336">
        <f t="shared" si="5"/>
        <v>24448.334551199991</v>
      </c>
      <c r="V18" s="339">
        <f t="shared" si="6"/>
        <v>2994.2147975999978</v>
      </c>
      <c r="W18" s="224">
        <f t="shared" si="7"/>
        <v>0.13956362843073858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4507727.2843604945</v>
      </c>
      <c r="F19" s="317">
        <f>'Base Rate Impacts'!Q18</f>
        <v>410046.28575402207</v>
      </c>
      <c r="G19" s="224">
        <f t="shared" si="8"/>
        <v>9.09651937411282E-2</v>
      </c>
      <c r="H19" s="9"/>
      <c r="I19" s="317">
        <f>'Sch. 141 Impacts'!Q18</f>
        <v>-176127.76092043327</v>
      </c>
      <c r="J19" s="224">
        <f t="shared" si="0"/>
        <v>-3.9072408291314878E-2</v>
      </c>
      <c r="K19" s="208"/>
      <c r="L19" s="317">
        <f>'Sch. 141X Impacts'!Q18</f>
        <v>56536.053717578929</v>
      </c>
      <c r="M19" s="224">
        <f t="shared" si="1"/>
        <v>1.2542030640081109E-2</v>
      </c>
      <c r="N19" s="155"/>
      <c r="O19" s="317">
        <f>'Sch. 149 Impacts'!Q18</f>
        <v>-128237.8296924</v>
      </c>
      <c r="P19" s="224">
        <f t="shared" si="2"/>
        <v>-2.8448444549278661E-2</v>
      </c>
      <c r="Q19" s="155"/>
      <c r="R19" s="336">
        <f t="shared" si="3"/>
        <v>-247829.53689525434</v>
      </c>
      <c r="S19" s="224">
        <f t="shared" si="4"/>
        <v>-5.4978822200512423E-2</v>
      </c>
      <c r="T19" s="155"/>
      <c r="U19" s="336">
        <f t="shared" si="5"/>
        <v>4669944.033219262</v>
      </c>
      <c r="V19" s="339">
        <f t="shared" si="6"/>
        <v>162216.74885876756</v>
      </c>
      <c r="W19" s="224">
        <f t="shared" si="7"/>
        <v>3.5986371540615736E-2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7705038.1222654162</v>
      </c>
      <c r="F20" s="317">
        <f>'Base Rate Impacts'!Q19</f>
        <v>1391907.53</v>
      </c>
      <c r="G20" s="224">
        <f t="shared" si="8"/>
        <v>0.18064901275151055</v>
      </c>
      <c r="H20" s="9"/>
      <c r="I20" s="317">
        <f>'Sch. 141 Impacts'!Q19</f>
        <v>-298624.84595378366</v>
      </c>
      <c r="J20" s="224">
        <f t="shared" si="0"/>
        <v>-3.8757088701591356E-2</v>
      </c>
      <c r="K20" s="208"/>
      <c r="L20" s="317">
        <f>'Sch. 141X Impacts'!Q19</f>
        <v>95474.419652263314</v>
      </c>
      <c r="M20" s="224">
        <f t="shared" si="1"/>
        <v>1.2391167718738315E-2</v>
      </c>
      <c r="N20" s="155"/>
      <c r="O20" s="317">
        <f>'Sch. 149 Impacts'!Q19</f>
        <v>-247694.44367510002</v>
      </c>
      <c r="P20" s="224">
        <f t="shared" si="2"/>
        <v>-3.2147075685366434E-2</v>
      </c>
      <c r="Q20" s="155"/>
      <c r="R20" s="336">
        <f t="shared" si="3"/>
        <v>-450844.86997662036</v>
      </c>
      <c r="S20" s="224">
        <f t="shared" si="4"/>
        <v>-5.8512996668219477E-2</v>
      </c>
      <c r="T20" s="155"/>
      <c r="U20" s="336">
        <f t="shared" si="5"/>
        <v>8646100.7822887953</v>
      </c>
      <c r="V20" s="339">
        <f t="shared" si="6"/>
        <v>941062.66002337914</v>
      </c>
      <c r="W20" s="224">
        <f t="shared" si="7"/>
        <v>0.122136016083291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302.34999999999582</v>
      </c>
      <c r="G21" s="224">
        <f t="shared" si="8"/>
        <v>3.9483393181995296E-3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1085.8368811878063</v>
      </c>
      <c r="M21" s="224">
        <f t="shared" si="1"/>
        <v>1.4179766664941378E-2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-3754.4252210760237</v>
      </c>
      <c r="S21" s="224">
        <f t="shared" si="4"/>
        <v>-4.9028426385363422E-2</v>
      </c>
      <c r="T21" s="155"/>
      <c r="U21" s="336">
        <f t="shared" si="5"/>
        <v>73124.423309923965</v>
      </c>
      <c r="V21" s="339">
        <f t="shared" si="6"/>
        <v>-3452.0752210760402</v>
      </c>
      <c r="W21" s="224">
        <f t="shared" si="7"/>
        <v>-4.508008706716405E-2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4076997.0327608585</v>
      </c>
      <c r="F22" s="317">
        <f>'Base Rate Impacts'!Q21</f>
        <v>1064195.83</v>
      </c>
      <c r="G22" s="224">
        <f t="shared" si="8"/>
        <v>0.26102443083686733</v>
      </c>
      <c r="H22" s="9"/>
      <c r="I22" s="317">
        <f>'Sch. 141 Impacts'!Q21</f>
        <v>-152750.99738961991</v>
      </c>
      <c r="J22" s="224">
        <f t="shared" si="0"/>
        <v>-3.7466546127501124E-2</v>
      </c>
      <c r="K22" s="155"/>
      <c r="L22" s="317">
        <f>'Sch. 141X Impacts'!Q21</f>
        <v>48580.80638737644</v>
      </c>
      <c r="M22" s="224">
        <f t="shared" si="1"/>
        <v>1.1915830695240541E-2</v>
      </c>
      <c r="N22" s="155"/>
      <c r="O22" s="317">
        <f>'Sch. 149 Impacts'!Q21</f>
        <v>-202459.16161459999</v>
      </c>
      <c r="P22" s="224">
        <f t="shared" si="2"/>
        <v>-4.96588935404495E-2</v>
      </c>
      <c r="Q22" s="155"/>
      <c r="R22" s="336">
        <f t="shared" si="3"/>
        <v>-306629.35261684342</v>
      </c>
      <c r="S22" s="224">
        <f t="shared" si="4"/>
        <v>-7.5209608972710076E-2</v>
      </c>
      <c r="T22" s="155"/>
      <c r="U22" s="336">
        <f t="shared" si="5"/>
        <v>4834563.5101440148</v>
      </c>
      <c r="V22" s="339">
        <f t="shared" si="6"/>
        <v>757566.47738315631</v>
      </c>
      <c r="W22" s="224">
        <f t="shared" si="7"/>
        <v>0.18581482186415718</v>
      </c>
      <c r="X22" s="224"/>
    </row>
    <row r="23" spans="2:27" x14ac:dyDescent="0.25">
      <c r="B23" t="s">
        <v>13</v>
      </c>
      <c r="D23" s="331">
        <f>'Base Rate Impacts'!P22</f>
        <v>1897125.6151234768</v>
      </c>
      <c r="F23" s="317">
        <f>'Base Rate Impacts'!Q22</f>
        <v>38602.938156811055</v>
      </c>
      <c r="G23" s="224">
        <f t="shared" si="8"/>
        <v>2.0348119201531383E-2</v>
      </c>
      <c r="H23" s="325"/>
      <c r="I23" s="317">
        <f>'Sch. 141 Impacts'!Q22</f>
        <v>-35274.722042470239</v>
      </c>
      <c r="J23" s="224">
        <f t="shared" si="0"/>
        <v>-1.8593772474140749E-2</v>
      </c>
      <c r="K23" s="326"/>
      <c r="L23" s="317">
        <f>'Sch. 141X Impacts'!Q22</f>
        <v>11662.625379653648</v>
      </c>
      <c r="M23" s="224">
        <f t="shared" si="1"/>
        <v>6.1475240683493545E-3</v>
      </c>
      <c r="N23" s="326"/>
      <c r="O23" s="317">
        <f>'Sch. 149 Impacts'!Q22</f>
        <v>-91614.440872499996</v>
      </c>
      <c r="P23" s="224">
        <f t="shared" si="2"/>
        <v>-4.8291183326064129E-2</v>
      </c>
      <c r="Q23" s="326"/>
      <c r="R23" s="336">
        <f t="shared" si="3"/>
        <v>-115226.53753531659</v>
      </c>
      <c r="S23" s="224">
        <f t="shared" si="4"/>
        <v>-6.0737431731855522E-2</v>
      </c>
      <c r="T23" s="326"/>
      <c r="U23" s="336">
        <f t="shared" si="5"/>
        <v>1820502.0157449713</v>
      </c>
      <c r="V23" s="339">
        <f t="shared" si="6"/>
        <v>-76623.599378505489</v>
      </c>
      <c r="W23" s="224">
        <f t="shared" si="7"/>
        <v>-4.0389312530324115E-2</v>
      </c>
      <c r="X23" s="327"/>
      <c r="Y23" s="308"/>
    </row>
    <row r="24" spans="2:27" x14ac:dyDescent="0.25">
      <c r="B24" t="s">
        <v>6</v>
      </c>
      <c r="D24" s="16">
        <f>SUM(D11:D23)</f>
        <v>823140413.27111971</v>
      </c>
      <c r="F24" s="318">
        <f>SUM(F11:F23)</f>
        <v>98526007.047224894</v>
      </c>
      <c r="G24" s="225">
        <f t="shared" si="8"/>
        <v>0.11969526153586284</v>
      </c>
      <c r="H24" s="325"/>
      <c r="I24" s="318">
        <f>SUM(I11:I23)</f>
        <v>-27748296.343576133</v>
      </c>
      <c r="J24" s="225">
        <f t="shared" si="0"/>
        <v>-3.3710283077106808E-2</v>
      </c>
      <c r="K24" s="307"/>
      <c r="L24" s="318">
        <f>SUM(L11:L23)</f>
        <v>6113865.4602108132</v>
      </c>
      <c r="M24" s="225">
        <f t="shared" si="1"/>
        <v>7.4274879007757751E-3</v>
      </c>
      <c r="N24" s="307"/>
      <c r="O24" s="318">
        <f>SUM(O11:O23)</f>
        <v>-10620091.678408891</v>
      </c>
      <c r="P24" s="225">
        <f t="shared" si="2"/>
        <v>-1.2901919899917399E-2</v>
      </c>
      <c r="Q24" s="307"/>
      <c r="R24" s="318">
        <f>SUM(R11:R23)</f>
        <v>-32254522.561774209</v>
      </c>
      <c r="S24" s="225">
        <f>R24/$D24</f>
        <v>-3.9184715076248433E-2</v>
      </c>
      <c r="T24" s="307"/>
      <c r="U24" s="318">
        <f>SUM(U11:U23)</f>
        <v>889411897.75657034</v>
      </c>
      <c r="V24" s="318">
        <f>SUM(V11:V23)</f>
        <v>66271484.485450737</v>
      </c>
      <c r="W24" s="225">
        <f t="shared" si="7"/>
        <v>8.0510546459614474E-2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-644531.05999999982</v>
      </c>
      <c r="G26" s="224">
        <f t="shared" si="8"/>
        <v>-0.11463065658755632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73243.629999999961</v>
      </c>
      <c r="M26" s="224">
        <f t="shared" si="1"/>
        <v>1.3026471366261288E-2</v>
      </c>
      <c r="N26" s="326"/>
      <c r="O26" s="317"/>
      <c r="P26" s="224">
        <f>O26/$D26</f>
        <v>0</v>
      </c>
      <c r="Q26" s="229"/>
      <c r="R26" s="336">
        <f t="shared" ref="R26" si="9">SUM(I26,L26,O26)</f>
        <v>-154143.41999999993</v>
      </c>
      <c r="S26" s="224">
        <f>R26/$D26</f>
        <v>-2.7414600381324459E-2</v>
      </c>
      <c r="T26" s="229"/>
      <c r="U26" s="336">
        <f>SUM(D26,F26,I26,L26,O26)</f>
        <v>4824001.68</v>
      </c>
      <c r="V26" s="339">
        <f>U26-D26</f>
        <v>-798674.47999999952</v>
      </c>
      <c r="W26" s="224">
        <f t="shared" si="7"/>
        <v>-0.14204525696888073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828763089.43111968</v>
      </c>
      <c r="E27" s="197"/>
      <c r="F27" s="320">
        <f>F24+F26</f>
        <v>97881475.987224892</v>
      </c>
      <c r="G27" s="225">
        <f t="shared" si="8"/>
        <v>0.11810549629377533</v>
      </c>
      <c r="H27" s="38"/>
      <c r="I27" s="320">
        <f>I24+I26</f>
        <v>-27975683.393576134</v>
      </c>
      <c r="J27" s="225">
        <f t="shared" si="0"/>
        <v>-3.3755947568537621E-2</v>
      </c>
      <c r="K27" s="19"/>
      <c r="L27" s="320">
        <f>L24+L26</f>
        <v>6187109.0902108131</v>
      </c>
      <c r="M27" s="225">
        <f t="shared" si="1"/>
        <v>7.4654737513199024E-3</v>
      </c>
      <c r="N27" s="19"/>
      <c r="O27" s="320">
        <f>O24+O26</f>
        <v>-10620091.678408891</v>
      </c>
      <c r="P27" s="225">
        <f t="shared" si="2"/>
        <v>-1.2814387867706251E-2</v>
      </c>
      <c r="Q27" s="19"/>
      <c r="R27" s="320">
        <f>R24+R26</f>
        <v>-32408665.981774211</v>
      </c>
      <c r="S27" s="225">
        <f t="shared" ref="S27" si="10">R27/$D27</f>
        <v>-3.9104861684923969E-2</v>
      </c>
      <c r="T27" s="19"/>
      <c r="U27" s="320">
        <f>U24+U26</f>
        <v>894235899.43657029</v>
      </c>
      <c r="V27" s="320">
        <f>V24+V26</f>
        <v>65472810.00545074</v>
      </c>
      <c r="W27" s="225">
        <f>V27/$D27</f>
        <v>7.9000634608851428E-2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569368818.98832858</v>
      </c>
      <c r="E31" s="197"/>
      <c r="F31" s="35">
        <f>F11+F12</f>
        <v>64776973.471294619</v>
      </c>
      <c r="G31" s="224">
        <f t="shared" ref="G31:G38" si="11">F31/$D31</f>
        <v>0.11376979439512032</v>
      </c>
      <c r="H31" s="38"/>
      <c r="I31" s="35">
        <f>I11+I12</f>
        <v>-19327237.916809451</v>
      </c>
      <c r="J31" s="224">
        <f t="shared" ref="J31:J38" si="12">I31/$D31</f>
        <v>-3.3945023457994522E-2</v>
      </c>
      <c r="K31" s="39"/>
      <c r="L31" s="35">
        <f>L11+L12</f>
        <v>4349707.1953947339</v>
      </c>
      <c r="M31" s="224">
        <f t="shared" ref="M31:M38" si="13">L31/$D31</f>
        <v>7.6395247690651952E-3</v>
      </c>
      <c r="N31" s="195"/>
      <c r="O31" s="35">
        <f>O11+O12</f>
        <v>-6879257.7137757204</v>
      </c>
      <c r="P31" s="224">
        <f t="shared" ref="P31:P38" si="14">O31/$D31</f>
        <v>-1.2082252284203041E-2</v>
      </c>
      <c r="Q31" s="39"/>
      <c r="R31" s="35">
        <f>R11+R12</f>
        <v>-21856788.435190435</v>
      </c>
      <c r="S31" s="224">
        <f t="shared" ref="S31:S32" si="15">R31/$D31</f>
        <v>-3.8387750973132365E-2</v>
      </c>
      <c r="T31" s="39"/>
      <c r="U31" s="35">
        <f>U11+U12</f>
        <v>612289004.0244329</v>
      </c>
      <c r="V31" s="35">
        <f>V11+V12</f>
        <v>42920185.036104247</v>
      </c>
      <c r="W31" s="224">
        <f t="shared" ref="W31:W38" si="16">V31/$D31</f>
        <v>7.5382043421988065E-2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179232779.05779585</v>
      </c>
      <c r="E32" s="37"/>
      <c r="F32" s="35">
        <f>F13+F18</f>
        <v>28556167.199999996</v>
      </c>
      <c r="G32" s="224">
        <f t="shared" si="11"/>
        <v>0.15932446815876075</v>
      </c>
      <c r="H32" s="38"/>
      <c r="I32" s="35">
        <f>I13+I18</f>
        <v>-6111754.4347072653</v>
      </c>
      <c r="J32" s="224">
        <f t="shared" si="12"/>
        <v>-3.4099535067391072E-2</v>
      </c>
      <c r="K32" s="39"/>
      <c r="L32" s="35">
        <f>L13+L18</f>
        <v>1275806.3027101378</v>
      </c>
      <c r="M32" s="224">
        <f t="shared" si="13"/>
        <v>7.1181527699168134E-3</v>
      </c>
      <c r="N32" s="195"/>
      <c r="O32" s="35">
        <f>O13+O18</f>
        <v>-2527170.7257094407</v>
      </c>
      <c r="P32" s="224">
        <f t="shared" si="14"/>
        <v>-1.4099936066351584E-2</v>
      </c>
      <c r="Q32" s="39"/>
      <c r="R32" s="35">
        <f>R13+R18</f>
        <v>-7363118.8577065682</v>
      </c>
      <c r="S32" s="224">
        <f t="shared" si="15"/>
        <v>-4.1081318363825843E-2</v>
      </c>
      <c r="T32" s="39"/>
      <c r="U32" s="35">
        <f t="shared" ref="U32:V36" si="17">U13+U18</f>
        <v>200425827.40008926</v>
      </c>
      <c r="V32" s="35">
        <f t="shared" si="17"/>
        <v>21193048.342293426</v>
      </c>
      <c r="W32" s="224">
        <f t="shared" si="16"/>
        <v>0.1182431497949349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42103978.156928271</v>
      </c>
      <c r="E33" s="197"/>
      <c r="F33" s="35">
        <f>F14+F19</f>
        <v>1995530.7369718445</v>
      </c>
      <c r="G33" s="224">
        <f t="shared" si="11"/>
        <v>4.7395301449525307E-2</v>
      </c>
      <c r="H33" s="38"/>
      <c r="I33" s="35">
        <f>I14+I19</f>
        <v>-1407692.5249622802</v>
      </c>
      <c r="J33" s="224">
        <f t="shared" si="12"/>
        <v>-3.3433717823897417E-2</v>
      </c>
      <c r="K33" s="39"/>
      <c r="L33" s="35">
        <f>L14+L19</f>
        <v>269166.21715541405</v>
      </c>
      <c r="M33" s="224">
        <f t="shared" si="13"/>
        <v>6.3928927606837632E-3</v>
      </c>
      <c r="N33" s="195"/>
      <c r="O33" s="35">
        <f>O14+O19</f>
        <v>-535634.54724316008</v>
      </c>
      <c r="P33" s="224">
        <f>O33/$D33</f>
        <v>-1.2721708747965913E-2</v>
      </c>
      <c r="Q33" s="39"/>
      <c r="R33" s="35">
        <f>R14+R19</f>
        <v>-1674160.8550500262</v>
      </c>
      <c r="S33" s="224">
        <f>R33/$D33</f>
        <v>-3.9762533811179564E-2</v>
      </c>
      <c r="T33" s="39"/>
      <c r="U33" s="35">
        <f t="shared" si="17"/>
        <v>42425348.038850091</v>
      </c>
      <c r="V33" s="35">
        <f t="shared" si="17"/>
        <v>321369.88192181569</v>
      </c>
      <c r="W33" s="224">
        <f t="shared" si="16"/>
        <v>7.6327676383456848E-3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14039679.516897824</v>
      </c>
      <c r="E34" s="197"/>
      <c r="F34" s="35">
        <f>F15+F20</f>
        <v>1742273.4808016201</v>
      </c>
      <c r="G34" s="224">
        <f t="shared" si="11"/>
        <v>0.12409638544132444</v>
      </c>
      <c r="H34" s="38"/>
      <c r="I34" s="35">
        <f>I15+I20</f>
        <v>-451470.77413635672</v>
      </c>
      <c r="J34" s="224">
        <f t="shared" si="12"/>
        <v>-3.2156772068263902E-2</v>
      </c>
      <c r="K34" s="39"/>
      <c r="L34" s="35">
        <f>L15+L20</f>
        <v>116866.55913249103</v>
      </c>
      <c r="M34" s="224">
        <f t="shared" si="13"/>
        <v>8.3240190056926323E-3</v>
      </c>
      <c r="N34" s="195"/>
      <c r="O34" s="35">
        <f>O15+O20</f>
        <v>-299952.71888884</v>
      </c>
      <c r="P34" s="224">
        <f t="shared" si="14"/>
        <v>-2.1364641445541833E-2</v>
      </c>
      <c r="Q34" s="39"/>
      <c r="R34" s="35">
        <f>R15+R20</f>
        <v>-634556.93389270571</v>
      </c>
      <c r="S34" s="224">
        <f t="shared" ref="S34:S38" si="18">R34/$D34</f>
        <v>-4.5197394508113102E-2</v>
      </c>
      <c r="T34" s="39"/>
      <c r="U34" s="35">
        <f t="shared" si="17"/>
        <v>15147396.063806739</v>
      </c>
      <c r="V34" s="35">
        <f t="shared" si="17"/>
        <v>1107716.5469089141</v>
      </c>
      <c r="W34" s="224">
        <f t="shared" si="16"/>
        <v>7.8898990933211316E-2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4711187.0154855419</v>
      </c>
      <c r="E35" s="197"/>
      <c r="F35" s="35">
        <f>F16+F21</f>
        <v>21.129999999994652</v>
      </c>
      <c r="G35" s="224">
        <f t="shared" si="11"/>
        <v>4.485069246994637E-6</v>
      </c>
      <c r="H35" s="38"/>
      <c r="I35" s="35">
        <f>I16+I21</f>
        <v>-155563.43529496543</v>
      </c>
      <c r="J35" s="224">
        <f t="shared" si="12"/>
        <v>-3.3020008499690778E-2</v>
      </c>
      <c r="K35" s="39"/>
      <c r="L35" s="35">
        <f>L16+L21</f>
        <v>27106.151361872147</v>
      </c>
      <c r="M35" s="224">
        <f t="shared" si="13"/>
        <v>5.7535715039065474E-3</v>
      </c>
      <c r="N35" s="195"/>
      <c r="O35" s="35">
        <f>O16+O21</f>
        <v>-37781.288513449996</v>
      </c>
      <c r="P35" s="224">
        <f t="shared" si="14"/>
        <v>-8.0194839197136394E-3</v>
      </c>
      <c r="Q35" s="39"/>
      <c r="R35" s="35">
        <f>R16+R21</f>
        <v>-166238.57244654329</v>
      </c>
      <c r="S35" s="224">
        <f t="shared" si="18"/>
        <v>-3.528592091549787E-2</v>
      </c>
      <c r="T35" s="39"/>
      <c r="U35" s="35">
        <f t="shared" si="17"/>
        <v>4544969.5730389999</v>
      </c>
      <c r="V35" s="35">
        <f t="shared" si="17"/>
        <v>-166217.44244654232</v>
      </c>
      <c r="W35" s="224">
        <f t="shared" si="16"/>
        <v>-3.5281435846250674E-2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11786844.920559984</v>
      </c>
      <c r="E36" s="17"/>
      <c r="F36" s="35">
        <f>F17+F22</f>
        <v>1416438.0900000003</v>
      </c>
      <c r="G36" s="224">
        <f t="shared" si="11"/>
        <v>0.12017109748591707</v>
      </c>
      <c r="H36" s="38"/>
      <c r="I36" s="35">
        <f>I17+I22</f>
        <v>-259302.53562334692</v>
      </c>
      <c r="J36" s="224">
        <f t="shared" si="12"/>
        <v>-2.199931681217264E-2</v>
      </c>
      <c r="K36" s="38"/>
      <c r="L36" s="35">
        <f>L17+L22</f>
        <v>63550.409076510769</v>
      </c>
      <c r="M36" s="224">
        <f t="shared" si="13"/>
        <v>5.3916386874369379E-3</v>
      </c>
      <c r="N36" s="195"/>
      <c r="O36" s="35">
        <f>O17+O22</f>
        <v>-248680.24340578</v>
      </c>
      <c r="P36" s="224">
        <f t="shared" si="14"/>
        <v>-2.109811786630051E-2</v>
      </c>
      <c r="Q36" s="38"/>
      <c r="R36" s="35">
        <f>R17+R22</f>
        <v>-444432.36995261617</v>
      </c>
      <c r="S36" s="224">
        <f t="shared" si="18"/>
        <v>-3.7705795991036212E-2</v>
      </c>
      <c r="T36" s="38"/>
      <c r="U36" s="35">
        <f t="shared" si="17"/>
        <v>12758850.640607368</v>
      </c>
      <c r="V36" s="35">
        <f t="shared" si="17"/>
        <v>972005.72004738357</v>
      </c>
      <c r="W36" s="224">
        <f t="shared" si="16"/>
        <v>8.2465301494880822E-2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1897125.6151234768</v>
      </c>
      <c r="E37" s="17"/>
      <c r="F37" s="35">
        <f>F23</f>
        <v>38602.938156811055</v>
      </c>
      <c r="G37" s="224">
        <f t="shared" si="11"/>
        <v>2.0348119201531383E-2</v>
      </c>
      <c r="H37" s="38"/>
      <c r="I37" s="35">
        <f>I23</f>
        <v>-35274.722042470239</v>
      </c>
      <c r="J37" s="224">
        <f t="shared" si="12"/>
        <v>-1.8593772474140749E-2</v>
      </c>
      <c r="K37" s="38"/>
      <c r="L37" s="35">
        <f>L23</f>
        <v>11662.625379653648</v>
      </c>
      <c r="M37" s="224">
        <f t="shared" si="13"/>
        <v>6.1475240683493545E-3</v>
      </c>
      <c r="N37" s="195"/>
      <c r="O37" s="35">
        <f>O23</f>
        <v>-91614.440872499996</v>
      </c>
      <c r="P37" s="224">
        <f t="shared" si="14"/>
        <v>-4.8291183326064129E-2</v>
      </c>
      <c r="Q37" s="38"/>
      <c r="R37" s="35">
        <f>R23</f>
        <v>-115226.53753531659</v>
      </c>
      <c r="S37" s="224">
        <f t="shared" si="18"/>
        <v>-6.0737431731855522E-2</v>
      </c>
      <c r="T37" s="38"/>
      <c r="U37" s="35">
        <f>U23</f>
        <v>1820502.0157449713</v>
      </c>
      <c r="V37" s="35">
        <f>V23</f>
        <v>-76623.599378505489</v>
      </c>
      <c r="W37" s="224">
        <f t="shared" si="16"/>
        <v>-4.0389312530324115E-2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823140413.27111959</v>
      </c>
      <c r="E38" s="17"/>
      <c r="F38" s="324">
        <f>SUM(F31:F37)</f>
        <v>98526007.047224894</v>
      </c>
      <c r="G38" s="225">
        <f t="shared" si="11"/>
        <v>0.11969526153586285</v>
      </c>
      <c r="H38" s="38"/>
      <c r="I38" s="324">
        <f>SUM(I31:I37)</f>
        <v>-27748296.343576137</v>
      </c>
      <c r="J38" s="225">
        <f t="shared" si="12"/>
        <v>-3.3710283077106822E-2</v>
      </c>
      <c r="K38" s="38"/>
      <c r="L38" s="324">
        <f>SUM(L31:L37)</f>
        <v>6113865.4602108141</v>
      </c>
      <c r="M38" s="225">
        <f t="shared" si="13"/>
        <v>7.4274879007757777E-3</v>
      </c>
      <c r="N38" s="195"/>
      <c r="O38" s="324">
        <f>SUM(O31:O37)</f>
        <v>-10620091.678408889</v>
      </c>
      <c r="P38" s="225">
        <f t="shared" si="14"/>
        <v>-1.2901919899917399E-2</v>
      </c>
      <c r="Q38" s="38"/>
      <c r="R38" s="324">
        <f>SUM(R31:R37)</f>
        <v>-32254522.561774213</v>
      </c>
      <c r="S38" s="225">
        <f t="shared" si="18"/>
        <v>-3.918471507624844E-2</v>
      </c>
      <c r="T38" s="38"/>
      <c r="U38" s="324">
        <f>SUM(U31:U37)</f>
        <v>889411897.75657034</v>
      </c>
      <c r="V38" s="324">
        <f>SUM(V31:V37)</f>
        <v>66271484.485450737</v>
      </c>
      <c r="W38" s="225">
        <f t="shared" si="16"/>
        <v>8.0510546459614474E-2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-644531.05999999982</v>
      </c>
      <c r="G40" s="224">
        <f t="shared" ref="G40:G41" si="19">F40/$D40</f>
        <v>-0.11463065658755632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73243.629999999961</v>
      </c>
      <c r="M40" s="224">
        <f t="shared" ref="M40:M41" si="21">L40/$D40</f>
        <v>1.3026471366261288E-2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-154143.41999999993</v>
      </c>
      <c r="S40" s="224">
        <f t="shared" ref="S40:S41" si="23">R40/$D40</f>
        <v>-2.7414600381324459E-2</v>
      </c>
      <c r="T40" s="38"/>
      <c r="U40" s="323">
        <f>U26</f>
        <v>4824001.68</v>
      </c>
      <c r="V40" s="323">
        <f>V26</f>
        <v>-798674.47999999952</v>
      </c>
      <c r="W40" s="224">
        <f t="shared" ref="W40:W41" si="24">V40/$D40</f>
        <v>-0.14204525696888073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828763089.43111956</v>
      </c>
      <c r="E41" s="197"/>
      <c r="F41" s="324">
        <f>F38+F40</f>
        <v>97881475.987224892</v>
      </c>
      <c r="G41" s="225">
        <f t="shared" si="19"/>
        <v>0.11810549629377534</v>
      </c>
      <c r="H41" s="38"/>
      <c r="I41" s="324">
        <f>I38+I40</f>
        <v>-27975683.393576138</v>
      </c>
      <c r="J41" s="225">
        <f t="shared" si="20"/>
        <v>-3.3755947568537635E-2</v>
      </c>
      <c r="K41" s="38"/>
      <c r="L41" s="324">
        <f>L38+L40</f>
        <v>6187109.090210814</v>
      </c>
      <c r="M41" s="225">
        <f t="shared" si="21"/>
        <v>7.465473751319905E-3</v>
      </c>
      <c r="N41" s="195"/>
      <c r="O41" s="324">
        <f>O38+O40</f>
        <v>-10620091.678408889</v>
      </c>
      <c r="P41" s="225">
        <f t="shared" si="22"/>
        <v>-1.2814387867706251E-2</v>
      </c>
      <c r="Q41" s="38"/>
      <c r="R41" s="324">
        <f>R38+R40</f>
        <v>-32408665.981774211</v>
      </c>
      <c r="S41" s="225">
        <f t="shared" si="23"/>
        <v>-3.9104861684923976E-2</v>
      </c>
      <c r="T41" s="38"/>
      <c r="U41" s="324">
        <f>U38+U40</f>
        <v>894235899.43657029</v>
      </c>
      <c r="V41" s="324">
        <f>V38+V40</f>
        <v>65472810.00545074</v>
      </c>
      <c r="W41" s="225">
        <f t="shared" si="24"/>
        <v>7.9000634608851428E-2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369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8" t="s">
        <v>390</v>
      </c>
      <c r="B3" s="399"/>
      <c r="C3" s="399"/>
      <c r="D3" s="399"/>
      <c r="E3" s="399"/>
      <c r="F3" s="399"/>
      <c r="G3" s="399"/>
      <c r="H3" s="399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337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7" t="s">
        <v>390</v>
      </c>
      <c r="B3" s="397"/>
      <c r="C3" s="397"/>
      <c r="D3" s="397"/>
      <c r="E3" s="397"/>
      <c r="F3" s="397"/>
      <c r="G3" s="397"/>
      <c r="H3" s="39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397"/>
      <c r="J1" s="74"/>
    </row>
    <row r="2" spans="1:10" ht="15" customHeight="1" x14ac:dyDescent="0.2">
      <c r="A2" s="397" t="s">
        <v>338</v>
      </c>
      <c r="B2" s="397"/>
      <c r="C2" s="397"/>
      <c r="D2" s="397"/>
      <c r="E2" s="397"/>
      <c r="F2" s="397"/>
      <c r="G2" s="397"/>
      <c r="H2" s="397"/>
      <c r="I2" s="397"/>
      <c r="J2" s="74"/>
    </row>
    <row r="3" spans="1:10" ht="15" customHeight="1" x14ac:dyDescent="0.2">
      <c r="A3" s="397" t="s">
        <v>356</v>
      </c>
      <c r="B3" s="397"/>
      <c r="C3" s="397"/>
      <c r="D3" s="397"/>
      <c r="E3" s="397"/>
      <c r="F3" s="397"/>
      <c r="G3" s="397"/>
      <c r="H3" s="397"/>
      <c r="I3" s="397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00" t="s">
        <v>117</v>
      </c>
      <c r="B7" s="40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11" x14ac:dyDescent="0.25">
      <c r="A2" s="397" t="s">
        <v>339</v>
      </c>
      <c r="B2" s="397"/>
      <c r="C2" s="397"/>
      <c r="D2" s="397"/>
      <c r="E2" s="397"/>
      <c r="F2" s="397"/>
      <c r="G2" s="397"/>
      <c r="H2" s="397"/>
    </row>
    <row r="3" spans="1:11" x14ac:dyDescent="0.25">
      <c r="A3" s="397" t="s">
        <v>368</v>
      </c>
      <c r="B3" s="397"/>
      <c r="C3" s="397"/>
      <c r="D3" s="397"/>
      <c r="E3" s="397"/>
      <c r="F3" s="397"/>
      <c r="G3" s="397"/>
      <c r="H3" s="397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341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348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9" sqref="G9:G139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366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v>0</v>
      </c>
      <c r="G9" s="192">
        <f>ROUND(E9*D9,2)</f>
        <v>-1410201.23</v>
      </c>
      <c r="H9" s="192">
        <f>(F9-E9)*D9</f>
        <v>1410201.2275552643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0">
        <v>0</v>
      </c>
      <c r="G10" s="192">
        <f t="shared" ref="G10:G73" si="0">ROUND(E10*D10,2)</f>
        <v>-2939441.5</v>
      </c>
      <c r="H10" s="192">
        <f t="shared" ref="H10:H73" si="1">(F10-E10)*D10</f>
        <v>2939441.50282851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0">
        <v>0</v>
      </c>
      <c r="G14" s="192">
        <f t="shared" si="0"/>
        <v>-0.31</v>
      </c>
      <c r="H14" s="192">
        <f t="shared" si="1"/>
        <v>0.30884962000000105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v>0</v>
      </c>
      <c r="G17" s="192">
        <f t="shared" si="0"/>
        <v>-63.93</v>
      </c>
      <c r="H17" s="192">
        <f t="shared" si="1"/>
        <v>63.933343157894242</v>
      </c>
    </row>
    <row r="18" spans="1:8" x14ac:dyDescent="0.25">
      <c r="B18" s="191"/>
      <c r="C18" s="191"/>
      <c r="D18" s="209"/>
      <c r="E18" s="212"/>
      <c r="F18" s="310"/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0">
        <v>0</v>
      </c>
      <c r="G21" s="192">
        <f t="shared" si="0"/>
        <v>-942915.6</v>
      </c>
      <c r="H21" s="192">
        <f t="shared" si="1"/>
        <v>942915.60498618195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0">
        <v>0</v>
      </c>
      <c r="G22" s="192">
        <f t="shared" si="0"/>
        <v>-27869.43</v>
      </c>
      <c r="H22" s="192">
        <f>(F22-E22)*D22</f>
        <v>27869.426748360078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0">
        <v>0</v>
      </c>
      <c r="G26" s="192">
        <f t="shared" si="0"/>
        <v>-127.57</v>
      </c>
      <c r="H26" s="192">
        <f t="shared" si="1"/>
        <v>127.56775049999993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0"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135"/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0">
        <v>0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0">
        <v>0</v>
      </c>
      <c r="G38" s="192">
        <f t="shared" si="0"/>
        <v>-48793.9</v>
      </c>
      <c r="H38" s="192">
        <f t="shared" si="1"/>
        <v>48793.904506050385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0">
        <v>0</v>
      </c>
      <c r="G39" s="192">
        <f t="shared" si="0"/>
        <v>-23890.22</v>
      </c>
      <c r="H39" s="192">
        <f t="shared" si="1"/>
        <v>23890.224224919813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0">
        <v>0</v>
      </c>
      <c r="G41" s="192">
        <f t="shared" ref="G41" si="2">ROUND(E41*D41,2)</f>
        <v>-5239.83</v>
      </c>
      <c r="H41" s="192">
        <f t="shared" ref="H41" si="3">(F41-E41)*D41</f>
        <v>5239.8291646400148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310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310">
        <v>0</v>
      </c>
      <c r="G51" s="192">
        <f t="shared" si="0"/>
        <v>-17951.53</v>
      </c>
      <c r="H51" s="192">
        <f t="shared" si="1"/>
        <v>17951.52658160001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0">
        <v>0</v>
      </c>
      <c r="G56" s="192">
        <f t="shared" si="0"/>
        <v>-1578.8</v>
      </c>
      <c r="H56" s="192">
        <f t="shared" si="1"/>
        <v>1578.7998554000044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0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0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0">
        <v>0</v>
      </c>
      <c r="G61" s="192">
        <f t="shared" si="0"/>
        <v>-2655.42</v>
      </c>
      <c r="H61" s="192">
        <f t="shared" si="1"/>
        <v>2655.4208371200066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0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0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0">
        <v>0</v>
      </c>
      <c r="G70" s="192">
        <f t="shared" si="0"/>
        <v>-17625.400000000001</v>
      </c>
      <c r="H70" s="192">
        <f t="shared" si="1"/>
        <v>17625.397740299963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0">
        <v>0</v>
      </c>
      <c r="G75" s="192">
        <f t="shared" si="4"/>
        <v>-1137.8399999999999</v>
      </c>
      <c r="H75" s="192">
        <f t="shared" si="5"/>
        <v>1137.8427830899991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0">
        <v>0</v>
      </c>
      <c r="G78" s="192">
        <f t="shared" si="4"/>
        <v>-5464.31</v>
      </c>
      <c r="H78" s="192">
        <f t="shared" si="5"/>
        <v>5464.3083702199901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0">
        <v>0</v>
      </c>
      <c r="G79" s="192">
        <f t="shared" si="4"/>
        <v>-12659.95</v>
      </c>
      <c r="H79" s="192">
        <f t="shared" si="5"/>
        <v>12659.948644140017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v>0</v>
      </c>
      <c r="G83" s="192">
        <f t="shared" si="4"/>
        <v>-195</v>
      </c>
      <c r="H83" s="192">
        <f t="shared" si="5"/>
        <v>195.00000000000017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0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0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v>0</v>
      </c>
      <c r="G91" s="192">
        <f t="shared" si="4"/>
        <v>-479</v>
      </c>
      <c r="H91" s="192">
        <f t="shared" si="5"/>
        <v>478.99950938436984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v>0</v>
      </c>
      <c r="G92" s="192">
        <f t="shared" si="4"/>
        <v>0</v>
      </c>
      <c r="H92" s="192">
        <f t="shared" si="5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0">
        <v>0</v>
      </c>
      <c r="G93" s="192">
        <f t="shared" si="4"/>
        <v>-2059.36</v>
      </c>
      <c r="H93" s="192">
        <f t="shared" si="5"/>
        <v>2059.3551293099958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0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0">
        <v>0</v>
      </c>
      <c r="G97" s="192">
        <f t="shared" si="4"/>
        <v>-1765.01</v>
      </c>
      <c r="H97" s="192">
        <f t="shared" si="5"/>
        <v>1765.0072835999893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0">
        <v>0</v>
      </c>
      <c r="G98" s="192">
        <f t="shared" si="4"/>
        <v>-2004.66</v>
      </c>
      <c r="H98" s="192">
        <f t="shared" si="5"/>
        <v>2004.6643932699997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0">
        <v>0</v>
      </c>
      <c r="G99" s="192">
        <f t="shared" si="4"/>
        <v>-1566.59</v>
      </c>
      <c r="H99" s="192">
        <f t="shared" si="5"/>
        <v>1566.5870992099915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0">
        <v>0</v>
      </c>
      <c r="G100" s="192">
        <f t="shared" si="4"/>
        <v>-1308.7</v>
      </c>
      <c r="H100" s="192">
        <f t="shared" si="5"/>
        <v>1308.6978596999986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0">
        <v>0</v>
      </c>
      <c r="G101" s="192">
        <f t="shared" si="4"/>
        <v>-2800.05</v>
      </c>
      <c r="H101" s="192">
        <f t="shared" si="5"/>
        <v>2800.0472984999942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0">
        <v>0</v>
      </c>
      <c r="G109" s="192">
        <f t="shared" si="4"/>
        <v>-5670</v>
      </c>
      <c r="H109" s="192">
        <f t="shared" si="5"/>
        <v>5670.0000000000073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0">
        <v>0</v>
      </c>
      <c r="G110" s="192">
        <f t="shared" si="4"/>
        <v>-3420</v>
      </c>
      <c r="H110" s="192">
        <f t="shared" si="5"/>
        <v>3420.0000000000059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0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0">
        <v>0</v>
      </c>
      <c r="G112" s="192">
        <f t="shared" si="4"/>
        <v>-5516.63</v>
      </c>
      <c r="H112" s="192">
        <f t="shared" si="5"/>
        <v>5516.6310394999782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0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0">
        <v>0</v>
      </c>
      <c r="G114" s="192">
        <f t="shared" si="4"/>
        <v>-13065.63</v>
      </c>
      <c r="H114" s="192">
        <f t="shared" si="5"/>
        <v>13065.632421399989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389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344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3.7109375" style="190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395" t="s">
        <v>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</row>
    <row r="2" spans="2:20" x14ac:dyDescent="0.25">
      <c r="B2" s="395" t="s">
        <v>395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</row>
    <row r="3" spans="2:20" x14ac:dyDescent="0.25">
      <c r="B3" s="393" t="s">
        <v>400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</row>
    <row r="4" spans="2:20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f>'[65]Rate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f>'[65]Rate Design Res'!$H$12</f>
        <v>11.52</v>
      </c>
      <c r="T11" s="46">
        <f>S11</f>
        <v>11.52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0</v>
      </c>
      <c r="N13" s="297">
        <f>M13</f>
        <v>0</v>
      </c>
      <c r="P13" s="56">
        <f>$D$13</f>
        <v>-0.15</v>
      </c>
      <c r="Q13" s="297">
        <f>P13</f>
        <v>-0.15</v>
      </c>
      <c r="S13" s="390">
        <f>'Schedule 141X Revenue'!$F$9</f>
        <v>0</v>
      </c>
      <c r="T13" s="297">
        <f>S13</f>
        <v>0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12.04</v>
      </c>
      <c r="H14" s="300">
        <f>SUM(H11:H13)</f>
        <v>12.04</v>
      </c>
      <c r="J14" s="300">
        <f>SUM(J11:J13)</f>
        <v>10.85</v>
      </c>
      <c r="K14" s="300">
        <f>SUM(K11:K13)</f>
        <v>10.85</v>
      </c>
      <c r="M14" s="300">
        <f>SUM(M11:M13)</f>
        <v>11.67</v>
      </c>
      <c r="N14" s="300">
        <f>SUM(N11:N13)</f>
        <v>11.67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f>'[65]Rate Design Res'!$H$13</f>
        <v>0.44362000000000001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f>'[65]Rate Design Res'!$H$13</f>
        <v>0.44362000000000001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0</v>
      </c>
      <c r="N21" s="46"/>
      <c r="P21" s="52">
        <f>$D$21</f>
        <v>-4.79E-3</v>
      </c>
      <c r="Q21" s="46"/>
      <c r="S21" s="312">
        <f>'Schedule 141X Revenue'!$F$10</f>
        <v>0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0.50795999999999997</v>
      </c>
      <c r="H25" s="46">
        <f>ROUND(G25*G$8,2)</f>
        <v>32.51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0.48031000000000001</v>
      </c>
      <c r="T25" s="46">
        <f>ROUND(S25*S$8,2)</f>
        <v>30.74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0.84890999999999994</v>
      </c>
      <c r="H34" s="54">
        <f>SUM(H25,H27,H29,H33)</f>
        <v>54.33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0.82125999999999999</v>
      </c>
      <c r="T34" s="54">
        <f>SUM(T25,T27,T29,T33)</f>
        <v>52.56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66.37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64.08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6.7700000000000102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4.480000000000004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0.11359060402684582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7.5167785234899406E-2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0.52610999999999997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0.49846000000000001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9" activePane="bottomLeft" state="frozen"/>
      <selection pane="bottomLeft" activeCell="J35" sqref="J35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343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336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G17" sqref="G17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5" customHeight="1" x14ac:dyDescent="0.2">
      <c r="A2" s="397" t="s">
        <v>342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5" customHeight="1" x14ac:dyDescent="0.2">
      <c r="A3" s="397" t="s">
        <v>260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27" sqref="S27"/>
    </sheetView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01" t="s">
        <v>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2:18" x14ac:dyDescent="0.25">
      <c r="B2" s="402" t="s">
        <v>392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</row>
    <row r="3" spans="2:18" x14ac:dyDescent="0.25">
      <c r="B3" s="402" t="s">
        <v>408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Q30" sqref="Q30"/>
    </sheetView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P14" sqref="P14"/>
    </sheetView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W26" sqref="W26"/>
    </sheetView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zoomScaleNormal="100" workbookViewId="0">
      <selection activeCell="R18" sqref="R18"/>
    </sheetView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workbookViewId="0">
      <selection activeCell="Q10" sqref="Q10"/>
    </sheetView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zoomScaleNormal="100" workbookViewId="0">
      <pane ySplit="6" topLeftCell="A208" activePane="bottomLeft" state="frozen"/>
      <selection activeCell="R41" sqref="R41"/>
      <selection pane="bottomLeft" activeCell="P231" sqref="P231"/>
    </sheetView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03" t="s">
        <v>0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241"/>
    </row>
    <row r="2" spans="2:19" ht="15" x14ac:dyDescent="0.25">
      <c r="B2" s="403" t="s">
        <v>410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241"/>
    </row>
    <row r="3" spans="2:19" x14ac:dyDescent="0.2">
      <c r="B3" s="403" t="s">
        <v>411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ht="15" x14ac:dyDescent="0.25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ht="15" x14ac:dyDescent="0.25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ht="15" x14ac:dyDescent="0.25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ht="15" x14ac:dyDescent="0.25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ht="15" x14ac:dyDescent="0.25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ht="15" x14ac:dyDescent="0.25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ht="15" x14ac:dyDescent="0.25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ht="15" x14ac:dyDescent="0.25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ht="15" x14ac:dyDescent="0.25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ht="15" x14ac:dyDescent="0.25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ht="15" x14ac:dyDescent="0.25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ht="15" x14ac:dyDescent="0.25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ht="15" x14ac:dyDescent="0.25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ht="15" x14ac:dyDescent="0.25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ht="15" x14ac:dyDescent="0.25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ht="15" x14ac:dyDescent="0.25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f>[66]SystemWeatherAdj!Q21</f>
        <v>628.70833333333326</v>
      </c>
      <c r="E82" s="272">
        <f>[66]SystemWeatherAdj!Q22</f>
        <v>672.58333333333303</v>
      </c>
      <c r="F82" s="272">
        <f>[66]SystemWeatherAdj!Q23</f>
        <v>589.02083333333303</v>
      </c>
      <c r="G82" s="272">
        <f>[66]SystemWeatherAdj!Q24</f>
        <v>419.04166666666703</v>
      </c>
      <c r="H82" s="272">
        <f>[66]SystemWeatherAdj!Q25</f>
        <v>172.458333333333</v>
      </c>
      <c r="I82" s="272">
        <f>[66]SystemWeatherAdj!Q26</f>
        <v>124.833333333333</v>
      </c>
      <c r="J82" s="272">
        <f>[66]SystemWeatherAdj!Q27</f>
        <v>16.5833333333333</v>
      </c>
      <c r="K82" s="272">
        <f>[66]SystemWeatherAdj!Q28</f>
        <v>25.0833333333333</v>
      </c>
      <c r="L82" s="272">
        <f>[66]SystemWeatherAdj!Q29</f>
        <v>116.666666666667</v>
      </c>
      <c r="M82" s="272">
        <f>[66]SystemWeatherAdj!Q30</f>
        <v>366.375</v>
      </c>
      <c r="N82" s="272">
        <f>[66]SystemWeatherAdj!Q31</f>
        <v>493.60416666666703</v>
      </c>
      <c r="O82" s="272">
        <f>[66]SystemWeatherAdj!Q32</f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ht="15" x14ac:dyDescent="0.25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ht="15" x14ac:dyDescent="0.25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ht="15" x14ac:dyDescent="0.25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ht="15" x14ac:dyDescent="0.25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ht="15" x14ac:dyDescent="0.25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ht="15" x14ac:dyDescent="0.25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ht="15" x14ac:dyDescent="0.25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ht="15" x14ac:dyDescent="0.25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ht="15" x14ac:dyDescent="0.25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ht="15" x14ac:dyDescent="0.25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ht="15" x14ac:dyDescent="0.25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ht="15" x14ac:dyDescent="0.25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ht="15" x14ac:dyDescent="0.25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ht="15" x14ac:dyDescent="0.25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ht="15" x14ac:dyDescent="0.25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ht="15" x14ac:dyDescent="0.25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ht="15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ht="15" x14ac:dyDescent="0.25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ht="15" x14ac:dyDescent="0.25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ht="15" x14ac:dyDescent="0.25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ht="15" x14ac:dyDescent="0.25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ht="15" x14ac:dyDescent="0.25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ht="15" x14ac:dyDescent="0.25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ht="15" x14ac:dyDescent="0.25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ht="15" x14ac:dyDescent="0.25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ht="15" x14ac:dyDescent="0.25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ht="15" x14ac:dyDescent="0.25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ht="15" x14ac:dyDescent="0.25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ht="15" x14ac:dyDescent="0.25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ht="15" x14ac:dyDescent="0.25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ht="15" x14ac:dyDescent="0.25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ht="15" x14ac:dyDescent="0.25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f>[66]SystemWeatherAdj!$AV21</f>
        <v>16245071.132224679</v>
      </c>
      <c r="E149" s="272">
        <f>[66]SystemWeatherAdj!AV22</f>
        <v>-10094133.903440788</v>
      </c>
      <c r="F149" s="272">
        <f>[66]SystemWeatherAdj!$AV23</f>
        <v>630373.3332798481</v>
      </c>
      <c r="G149" s="272">
        <f>[66]SystemWeatherAdj!$AV24</f>
        <v>3139156.0031094402</v>
      </c>
      <c r="H149" s="272">
        <f>[66]SystemWeatherAdj!$AV25</f>
        <v>8688222.5962853134</v>
      </c>
      <c r="I149" s="272">
        <f>[66]SystemWeatherAdj!$AV26</f>
        <v>1709352.0919530019</v>
      </c>
      <c r="J149" s="272">
        <f>[66]SystemWeatherAdj!$AV27</f>
        <v>0</v>
      </c>
      <c r="K149" s="272">
        <f>[66]SystemWeatherAdj!$AV28</f>
        <v>0</v>
      </c>
      <c r="L149" s="272">
        <f>[66]SystemWeatherAdj!$AV29</f>
        <v>1067915.4227778688</v>
      </c>
      <c r="M149" s="272">
        <f>[66]SystemWeatherAdj!$AV30</f>
        <v>2175033.5573171079</v>
      </c>
      <c r="N149" s="272">
        <f>[66]SystemWeatherAdj!$AV31</f>
        <v>14656763.599435285</v>
      </c>
      <c r="O149" s="272">
        <f>[66]SystemWeatherAdj!$AV32</f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f>[66]SystemWeatherAdj!AW21</f>
        <v>236312.47551807761</v>
      </c>
      <c r="E150" s="272">
        <f>[66]SystemWeatherAdj!$AW22</f>
        <v>-142539.83520227671</v>
      </c>
      <c r="F150" s="272">
        <f>[66]SystemWeatherAdj!$AW23</f>
        <v>5630.268187135458</v>
      </c>
      <c r="G150" s="272">
        <f>[66]SystemWeatherAdj!$AW24</f>
        <v>22930.327251821756</v>
      </c>
      <c r="H150" s="272">
        <f>[66]SystemWeatherAdj!$AW25</f>
        <v>0</v>
      </c>
      <c r="I150" s="272">
        <f>[66]SystemWeatherAdj!$AW26</f>
        <v>0</v>
      </c>
      <c r="J150" s="272">
        <f>[66]SystemWeatherAdj!$AW27</f>
        <v>0</v>
      </c>
      <c r="K150" s="272">
        <f>[66]SystemWeatherAdj!$AW28</f>
        <v>0</v>
      </c>
      <c r="L150" s="272">
        <f>[66]SystemWeatherAdj!$AW29</f>
        <v>0</v>
      </c>
      <c r="M150" s="272">
        <f>[66]SystemWeatherAdj!$AW30</f>
        <v>24555.848958472256</v>
      </c>
      <c r="N150" s="272">
        <f>[66]SystemWeatherAdj!$AW31</f>
        <v>48593.865574755706</v>
      </c>
      <c r="O150" s="272">
        <f>[66]SystemWeatherAdj!$AW32</f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f>[66]SystemWeatherAdj!AX21</f>
        <v>728746.42588699982</v>
      </c>
      <c r="E151" s="272">
        <f>[66]SystemWeatherAdj!$AX22</f>
        <v>-409771.28147083148</v>
      </c>
      <c r="F151" s="272">
        <f>[66]SystemWeatherAdj!$AX23</f>
        <v>12863.452807337046</v>
      </c>
      <c r="G151" s="272">
        <f>[66]SystemWeatherAdj!$AX24</f>
        <v>180403.77861916646</v>
      </c>
      <c r="H151" s="272">
        <f>[66]SystemWeatherAdj!$AX25</f>
        <v>488124.25953488797</v>
      </c>
      <c r="I151" s="272">
        <f>[66]SystemWeatherAdj!$AX26</f>
        <v>130561.97256299853</v>
      </c>
      <c r="J151" s="272">
        <f>[66]SystemWeatherAdj!$AX27</f>
        <v>0</v>
      </c>
      <c r="K151" s="272">
        <f>[66]SystemWeatherAdj!$AX28</f>
        <v>0</v>
      </c>
      <c r="L151" s="272">
        <f>[66]SystemWeatherAdj!$AX29</f>
        <v>76403.046457555145</v>
      </c>
      <c r="M151" s="272">
        <f>[66]SystemWeatherAdj!$AX30</f>
        <v>79407.407077778131</v>
      </c>
      <c r="N151" s="272">
        <f>[66]SystemWeatherAdj!$AX31</f>
        <v>703675.8156241551</v>
      </c>
      <c r="O151" s="272">
        <f>[66]SystemWeatherAdj!$AX32</f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ht="15" x14ac:dyDescent="0.25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ht="15" x14ac:dyDescent="0.25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ht="15" x14ac:dyDescent="0.25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ht="15" x14ac:dyDescent="0.25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ht="15" x14ac:dyDescent="0.25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ht="15" x14ac:dyDescent="0.25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ht="15" x14ac:dyDescent="0.25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ht="15" x14ac:dyDescent="0.25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ht="15" x14ac:dyDescent="0.25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ht="15" x14ac:dyDescent="0.25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ht="15" x14ac:dyDescent="0.25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ht="15" x14ac:dyDescent="0.25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ht="15" x14ac:dyDescent="0.25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ht="15" x14ac:dyDescent="0.25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ht="15" x14ac:dyDescent="0.25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ht="15" x14ac:dyDescent="0.25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ht="15" x14ac:dyDescent="0.25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ht="15" x14ac:dyDescent="0.25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ht="15" x14ac:dyDescent="0.25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ht="15" x14ac:dyDescent="0.25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ht="15" x14ac:dyDescent="0.25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ht="15" x14ac:dyDescent="0.25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ht="15" x14ac:dyDescent="0.25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ht="15" x14ac:dyDescent="0.25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ht="15" x14ac:dyDescent="0.25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ht="15" x14ac:dyDescent="0.25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ht="15" x14ac:dyDescent="0.25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ht="15" x14ac:dyDescent="0.25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ht="15" x14ac:dyDescent="0.25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ht="15" x14ac:dyDescent="0.25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ht="15" x14ac:dyDescent="0.25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ht="15" x14ac:dyDescent="0.25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ht="15" x14ac:dyDescent="0.25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ht="15" x14ac:dyDescent="0.25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ht="15" x14ac:dyDescent="0.25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ht="15" x14ac:dyDescent="0.25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ht="15" x14ac:dyDescent="0.25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ht="15" x14ac:dyDescent="0.25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ht="15" x14ac:dyDescent="0.25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ht="15" x14ac:dyDescent="0.25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ht="15" x14ac:dyDescent="0.25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ht="15" x14ac:dyDescent="0.25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ht="15" x14ac:dyDescent="0.25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ht="15" x14ac:dyDescent="0.25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ht="15" x14ac:dyDescent="0.25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2:1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</row>
    <row r="3" spans="2:1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2:14" x14ac:dyDescent="0.25">
      <c r="B4" s="394" t="s">
        <v>431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396" t="s">
        <v>23</v>
      </c>
      <c r="E6" s="396"/>
      <c r="F6" s="396"/>
      <c r="G6" s="341"/>
      <c r="H6" s="396" t="s">
        <v>260</v>
      </c>
      <c r="I6" s="396"/>
      <c r="J6" s="396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569360424.86566794</v>
      </c>
      <c r="F11" s="344">
        <f>E11/D11</f>
        <v>0.92780759403758251</v>
      </c>
      <c r="G11" s="9"/>
      <c r="H11" s="357">
        <f>'Base Rate Impacts'!$D$10</f>
        <v>613662173.62800002</v>
      </c>
      <c r="I11" s="358">
        <f>'Combined Impacts'!U11</f>
        <v>612279957.28485382</v>
      </c>
      <c r="J11" s="344">
        <f>I11/H11</f>
        <v>0.99774759403048341</v>
      </c>
      <c r="K11" s="317"/>
      <c r="L11" s="224">
        <f>(I11-E11)/E11</f>
        <v>7.5382008556903302E-2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9046.7395790484188</v>
      </c>
      <c r="J12" s="344">
        <f t="shared" ref="J12:J23" si="1">I12/H12</f>
        <v>0.96817625093303961</v>
      </c>
      <c r="K12" s="317"/>
      <c r="L12" s="224">
        <f t="shared" ref="L12:L23" si="2">(I12-E12)/E12</f>
        <v>7.7746888478017778E-2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179211324.93804225</v>
      </c>
      <c r="F13" s="344">
        <f t="shared" si="0"/>
        <v>0.771646980282096</v>
      </c>
      <c r="G13" s="9"/>
      <c r="H13" s="357">
        <f>'Base Rate Impacts'!$D$12</f>
        <v>232245222.90300003</v>
      </c>
      <c r="I13" s="358">
        <f>'Combined Impacts'!U13</f>
        <v>200401379.06553808</v>
      </c>
      <c r="J13" s="344">
        <f t="shared" si="1"/>
        <v>0.86288698023828936</v>
      </c>
      <c r="K13" s="317"/>
      <c r="L13" s="224">
        <f t="shared" si="2"/>
        <v>0.11824059743334718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37596250.87256778</v>
      </c>
      <c r="F14" s="344">
        <f t="shared" si="0"/>
        <v>0.57400727682160313</v>
      </c>
      <c r="G14" s="9"/>
      <c r="H14" s="357">
        <f>'Base Rate Impacts'!$D$13</f>
        <v>65497864.558000013</v>
      </c>
      <c r="I14" s="358">
        <f>'Combined Impacts'!U14</f>
        <v>37755404.005630828</v>
      </c>
      <c r="J14" s="344">
        <f t="shared" si="1"/>
        <v>0.57643717486693735</v>
      </c>
      <c r="K14" s="317"/>
      <c r="L14" s="224">
        <f t="shared" si="2"/>
        <v>4.2332181898268664E-3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6334641.3946324075</v>
      </c>
      <c r="F15" s="344">
        <f t="shared" si="0"/>
        <v>0.40123144000589495</v>
      </c>
      <c r="G15" s="9"/>
      <c r="H15" s="357">
        <f>'Base Rate Impacts'!$D$14</f>
        <v>15787998.554000001</v>
      </c>
      <c r="I15" s="358">
        <f>'Combined Impacts'!U15</f>
        <v>6501295.2815179424</v>
      </c>
      <c r="J15" s="344">
        <f t="shared" si="1"/>
        <v>0.411787172343691</v>
      </c>
      <c r="K15" s="317"/>
      <c r="L15" s="224">
        <f t="shared" si="2"/>
        <v>2.6308337994751747E-2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4634610.5169545421</v>
      </c>
      <c r="F16" s="344">
        <f t="shared" si="0"/>
        <v>0.52951020664551207</v>
      </c>
      <c r="G16" s="9"/>
      <c r="H16" s="357">
        <f>'Base Rate Impacts'!$D$15</f>
        <v>8752636.7929999996</v>
      </c>
      <c r="I16" s="358">
        <f>'Combined Impacts'!U16</f>
        <v>4471845.1497290758</v>
      </c>
      <c r="J16" s="344">
        <f t="shared" si="1"/>
        <v>0.51091405430023951</v>
      </c>
      <c r="K16" s="317"/>
      <c r="L16" s="224">
        <f t="shared" si="2"/>
        <v>-3.511953520798148E-2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7709847.8877991261</v>
      </c>
      <c r="F17" s="344">
        <f t="shared" si="0"/>
        <v>0.33694349266239104</v>
      </c>
      <c r="G17" s="9"/>
      <c r="H17" s="357">
        <f>'Base Rate Impacts'!$D$16</f>
        <v>22881723.659000002</v>
      </c>
      <c r="I17" s="358">
        <f>'Combined Impacts'!U17</f>
        <v>7924287.1304633534</v>
      </c>
      <c r="J17" s="344">
        <f t="shared" si="1"/>
        <v>0.34631513117441731</v>
      </c>
      <c r="K17" s="317"/>
      <c r="L17" s="224">
        <f t="shared" si="2"/>
        <v>2.7813680086163368E-2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21454.119753599993</v>
      </c>
      <c r="F18" s="344">
        <f t="shared" si="0"/>
        <v>0.68112187180160377</v>
      </c>
      <c r="G18" s="9"/>
      <c r="H18" s="357">
        <f>'Base Rate Impacts'!$D$17</f>
        <v>31498.21</v>
      </c>
      <c r="I18" s="358">
        <f>'Combined Impacts'!U18</f>
        <v>24448.334551199991</v>
      </c>
      <c r="J18" s="344">
        <f t="shared" si="1"/>
        <v>0.77618171163377192</v>
      </c>
      <c r="K18" s="317"/>
      <c r="L18" s="224">
        <f t="shared" si="2"/>
        <v>0.13956362843073858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4507727.2843604945</v>
      </c>
      <c r="F19" s="344">
        <f t="shared" si="0"/>
        <v>0.21864112778558623</v>
      </c>
      <c r="G19" s="9"/>
      <c r="H19" s="357">
        <f>'Base Rate Impacts'!$D$18</f>
        <v>20617014.420000002</v>
      </c>
      <c r="I19" s="358">
        <f>'Combined Impacts'!U19</f>
        <v>4669944.033219262</v>
      </c>
      <c r="J19" s="344">
        <f t="shared" si="1"/>
        <v>0.22650922864413758</v>
      </c>
      <c r="K19" s="317"/>
      <c r="L19" s="224">
        <f t="shared" si="2"/>
        <v>3.5986371540615736E-2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7705038.1222654162</v>
      </c>
      <c r="F20" s="344">
        <f t="shared" si="0"/>
        <v>0.1029642643827393</v>
      </c>
      <c r="G20" s="9"/>
      <c r="H20" s="357">
        <f>'Base Rate Impacts'!$D$19</f>
        <v>74832158.210000008</v>
      </c>
      <c r="I20" s="358">
        <f>'Combined Impacts'!U20</f>
        <v>8646100.7822887953</v>
      </c>
      <c r="J20" s="344">
        <f t="shared" si="1"/>
        <v>0.11553990943339378</v>
      </c>
      <c r="K20" s="317"/>
      <c r="L20" s="224">
        <f t="shared" si="2"/>
        <v>0.122136016083291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73124.423309923965</v>
      </c>
      <c r="J21" s="344">
        <f t="shared" si="1"/>
        <v>0.20816080277664922</v>
      </c>
      <c r="K21" s="317"/>
      <c r="L21" s="224">
        <f t="shared" si="2"/>
        <v>-4.508008706716405E-2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4076997.0327608585</v>
      </c>
      <c r="F22" s="344">
        <f t="shared" si="0"/>
        <v>4.0677507209350428E-2</v>
      </c>
      <c r="G22" s="9"/>
      <c r="H22" s="357">
        <f>'Base Rate Impacts'!$D$21</f>
        <v>100227307.72999999</v>
      </c>
      <c r="I22" s="358">
        <f>'Combined Impacts'!U22</f>
        <v>4834563.5101440148</v>
      </c>
      <c r="J22" s="344">
        <f t="shared" si="1"/>
        <v>4.8235990965333847E-2</v>
      </c>
      <c r="K22" s="317"/>
      <c r="L22" s="224">
        <f t="shared" si="2"/>
        <v>0.18581482186415718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1897125.6151234768</v>
      </c>
      <c r="F23" s="344">
        <f t="shared" si="0"/>
        <v>5.1148052913146787E-2</v>
      </c>
      <c r="G23" s="325"/>
      <c r="H23" s="357">
        <f>'Base Rate Impacts'!$D$22</f>
        <v>37090866.75</v>
      </c>
      <c r="I23" s="358">
        <f>'Combined Impacts'!U23</f>
        <v>1820502.0157449713</v>
      </c>
      <c r="J23" s="344">
        <f t="shared" si="1"/>
        <v>4.908221821872015E-2</v>
      </c>
      <c r="K23" s="317"/>
      <c r="L23" s="224">
        <f t="shared" si="2"/>
        <v>-4.0389312530324115E-2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823140413.27111971</v>
      </c>
      <c r="F24" s="345">
        <f>E24/D24</f>
        <v>0.69056151268819832</v>
      </c>
      <c r="G24" s="325"/>
      <c r="H24" s="343">
        <f>SUM(H11:H23)</f>
        <v>1191987097.6689999</v>
      </c>
      <c r="I24" s="16">
        <f>SUM(I11:I23)</f>
        <v>889411897.75657034</v>
      </c>
      <c r="J24" s="345">
        <f>I24/H24</f>
        <v>0.74615899743870306</v>
      </c>
      <c r="K24" s="318"/>
      <c r="L24" s="225">
        <f>(I24-E24)/E24</f>
        <v>8.0510546459614335E-2</v>
      </c>
      <c r="M24" s="307"/>
      <c r="N24" s="352">
        <f>L24-'Combined Impacts'!W24</f>
        <v>-1.3877787807814457E-16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4824001.68</v>
      </c>
      <c r="J29" s="355">
        <f>I29/H29</f>
        <v>13.726036153182964</v>
      </c>
      <c r="K29" s="317"/>
      <c r="L29" s="224">
        <f t="shared" ref="L29" si="3">(J29-F29)/F29</f>
        <v>-0.14204525696888085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828763089.43111968</v>
      </c>
      <c r="F30" s="320"/>
      <c r="G30" s="38"/>
      <c r="H30" s="40"/>
      <c r="I30" s="333">
        <f>I24+I29</f>
        <v>894235899.43657029</v>
      </c>
      <c r="J30" s="320"/>
      <c r="K30" s="320"/>
      <c r="L30" s="225">
        <f>(I30-E30)/E30</f>
        <v>7.9000634608851261E-2</v>
      </c>
      <c r="M30" s="328"/>
      <c r="N30" s="352">
        <f>L30-'Combined Impacts'!W27</f>
        <v>-1.6653345369377348E-16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569368818.98832858</v>
      </c>
      <c r="F34" s="349">
        <f>E34/D34</f>
        <v>0.92780714525027197</v>
      </c>
      <c r="G34" s="38"/>
      <c r="H34" s="346">
        <f>H11+H12</f>
        <v>613671517.73199999</v>
      </c>
      <c r="I34" s="35">
        <f>I11+I12</f>
        <v>612289004.0244329</v>
      </c>
      <c r="J34" s="349">
        <f>I34/H34</f>
        <v>0.9977471437607589</v>
      </c>
      <c r="K34" s="35"/>
      <c r="L34" s="224">
        <f>(I34-E34)/E34</f>
        <v>7.538204342198819E-2</v>
      </c>
      <c r="M34" s="36"/>
      <c r="N34" s="352">
        <f>L34-'Combined Impacts'!W31</f>
        <v>1.2490009027033011E-16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179232779.05779585</v>
      </c>
      <c r="F35" s="349">
        <f t="shared" ref="F35:F40" si="5">E35/D35</f>
        <v>0.77163470449800742</v>
      </c>
      <c r="G35" s="38"/>
      <c r="H35" s="346">
        <f t="shared" ref="H35:I39" si="6">H13+H18</f>
        <v>232276721.11300004</v>
      </c>
      <c r="I35" s="35">
        <f t="shared" si="6"/>
        <v>200425827.40008926</v>
      </c>
      <c r="J35" s="349">
        <f t="shared" ref="J35:J40" si="7">I35/H35</f>
        <v>0.86287522244893555</v>
      </c>
      <c r="K35" s="35"/>
      <c r="L35" s="224">
        <f t="shared" ref="L35:L41" si="8">(I35-E35)/E35</f>
        <v>0.11824314979493482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42103978.156928271</v>
      </c>
      <c r="F36" s="349">
        <f t="shared" si="5"/>
        <v>0.48892803028480919</v>
      </c>
      <c r="G36" s="38"/>
      <c r="H36" s="346">
        <f t="shared" si="6"/>
        <v>86114878.978000015</v>
      </c>
      <c r="I36" s="35">
        <f t="shared" si="6"/>
        <v>42425348.038850091</v>
      </c>
      <c r="J36" s="349">
        <f t="shared" si="7"/>
        <v>0.49265990433184725</v>
      </c>
      <c r="K36" s="35"/>
      <c r="L36" s="224">
        <f t="shared" si="8"/>
        <v>7.632767638345795E-3</v>
      </c>
      <c r="M36" s="39"/>
      <c r="N36" s="352">
        <f>L36-'Combined Impacts'!W33</f>
        <v>1.1015494072452725E-16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14039679.516897824</v>
      </c>
      <c r="F37" s="349">
        <f t="shared" si="5"/>
        <v>0.15492888136864558</v>
      </c>
      <c r="G37" s="38"/>
      <c r="H37" s="346">
        <f t="shared" si="6"/>
        <v>90620156.764000013</v>
      </c>
      <c r="I37" s="35">
        <f t="shared" si="6"/>
        <v>15147396.063806739</v>
      </c>
      <c r="J37" s="349">
        <f t="shared" si="7"/>
        <v>0.16715261377504292</v>
      </c>
      <c r="K37" s="35"/>
      <c r="L37" s="224">
        <f t="shared" si="8"/>
        <v>7.8898990933211385E-2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4711187.0154855419</v>
      </c>
      <c r="F38" s="349">
        <f t="shared" si="5"/>
        <v>0.51748965912861233</v>
      </c>
      <c r="G38" s="38"/>
      <c r="H38" s="346">
        <f t="shared" si="6"/>
        <v>9103924.943</v>
      </c>
      <c r="I38" s="35">
        <f t="shared" si="6"/>
        <v>4544969.5730389999</v>
      </c>
      <c r="J38" s="349">
        <f t="shared" si="7"/>
        <v>0.49923188091896814</v>
      </c>
      <c r="K38" s="35"/>
      <c r="L38" s="224">
        <f t="shared" si="8"/>
        <v>-3.5281435846250597E-2</v>
      </c>
      <c r="M38" s="39"/>
      <c r="N38" s="352">
        <f>L38-'Combined Impacts'!W35</f>
        <v>7.6327832942979512E-17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11786844.920559984</v>
      </c>
      <c r="F39" s="349">
        <f t="shared" si="5"/>
        <v>9.5743137506426337E-2</v>
      </c>
      <c r="G39" s="38"/>
      <c r="H39" s="346">
        <f t="shared" si="6"/>
        <v>123109031.389</v>
      </c>
      <c r="I39" s="35">
        <f t="shared" si="6"/>
        <v>12758850.640607368</v>
      </c>
      <c r="J39" s="349">
        <f t="shared" si="7"/>
        <v>0.10363862420695963</v>
      </c>
      <c r="K39" s="35"/>
      <c r="L39" s="224">
        <f t="shared" si="8"/>
        <v>8.2465301494880891E-2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1897125.6151234768</v>
      </c>
      <c r="F40" s="349">
        <f t="shared" si="5"/>
        <v>5.1148052913146787E-2</v>
      </c>
      <c r="G40" s="38"/>
      <c r="H40" s="346">
        <f>H23</f>
        <v>37090866.75</v>
      </c>
      <c r="I40" s="35">
        <f>I23</f>
        <v>1820502.0157449713</v>
      </c>
      <c r="J40" s="349">
        <f t="shared" si="7"/>
        <v>4.908221821872015E-2</v>
      </c>
      <c r="K40" s="35"/>
      <c r="L40" s="224">
        <f t="shared" si="8"/>
        <v>-4.0389312530324115E-2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823140413.27111959</v>
      </c>
      <c r="F41" s="350">
        <f>E41/D41</f>
        <v>0.69056151268819799</v>
      </c>
      <c r="G41" s="38"/>
      <c r="H41" s="347">
        <f>SUM(H34:H40)</f>
        <v>1191987097.6690001</v>
      </c>
      <c r="I41" s="334">
        <f>SUM(I34:I40)</f>
        <v>889411897.75657034</v>
      </c>
      <c r="J41" s="350">
        <f>I41/H41</f>
        <v>0.74615899743870284</v>
      </c>
      <c r="K41" s="324"/>
      <c r="L41" s="225">
        <f t="shared" si="8"/>
        <v>8.0510546459614488E-2</v>
      </c>
      <c r="M41" s="39"/>
      <c r="N41" s="352">
        <f>L41-'Combined Impacts'!W38</f>
        <v>0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4824001.68</v>
      </c>
      <c r="J43" s="351">
        <f>I43/H43</f>
        <v>13.726036153182964</v>
      </c>
      <c r="K43" s="323"/>
      <c r="L43" s="224">
        <f t="shared" ref="L43" si="9">(J43-F43)/F43</f>
        <v>-0.14204525696888085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828763089.43111956</v>
      </c>
      <c r="F44" s="324"/>
      <c r="G44" s="38"/>
      <c r="H44" s="197"/>
      <c r="I44" s="334">
        <f>I41+I43</f>
        <v>894235899.43657029</v>
      </c>
      <c r="J44" s="324"/>
      <c r="K44" s="324"/>
      <c r="L44" s="225">
        <f>(I44-E44)/E44</f>
        <v>7.9000634608851414E-2</v>
      </c>
      <c r="M44" s="38"/>
      <c r="N44" s="352">
        <f>L44-'Combined Impacts'!W41</f>
        <v>0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418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SUM('[65]Rate Design Res'!$K$14,'[65]Rate Design Res'!$K$25)</f>
        <v>64775989.881294616</v>
      </c>
      <c r="R10" s="224">
        <f>Q10/P10</f>
        <v>0.11376974417668305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'[65]Rate Design Res'!$K$35</f>
        <v>983.59000000000015</v>
      </c>
      <c r="R11" s="224">
        <f t="shared" ref="R11:R23" si="1">Q11/P11</f>
        <v>0.11717603372745655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179211324.93804225</v>
      </c>
      <c r="Q12" s="155">
        <f>'[65]Rate Design C&amp;I'!$K$15</f>
        <v>28552242.289999995</v>
      </c>
      <c r="R12" s="224">
        <f t="shared" si="1"/>
        <v>0.15932164052618442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'[65]Rate Design C&amp;I'!$K$57</f>
        <v>1585484.4512178223</v>
      </c>
      <c r="R13" s="224">
        <f t="shared" si="1"/>
        <v>4.2171344600072234E-2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'[65]Rate Design Int &amp; Trans'!$K$21</f>
        <v>350365.95080162003</v>
      </c>
      <c r="R14" s="224">
        <f t="shared" si="1"/>
        <v>5.5309516194318273E-2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'[65]Rate Design Int &amp; Trans'!$K$80</f>
        <v>-281.22000000000116</v>
      </c>
      <c r="R15" s="224">
        <f t="shared" si="1"/>
        <v>-6.0678238003221505E-5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'[65]Rate Design Int &amp; Trans'!$K$141</f>
        <v>352242.26000000024</v>
      </c>
      <c r="R16" s="224">
        <f t="shared" si="1"/>
        <v>4.5687316420006861E-2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'[65]Rate Design C&amp;I'!$K$27</f>
        <v>3924.909999999998</v>
      </c>
      <c r="R17" s="224">
        <f t="shared" si="1"/>
        <v>0.18294435031954176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'[65]Rate Design C&amp;I'!$K$79</f>
        <v>410046.28575402207</v>
      </c>
      <c r="R18" s="224">
        <f t="shared" si="1"/>
        <v>9.09651937411282E-2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'[65]Rate Design Int &amp; Trans'!$K$42</f>
        <v>1391907.53</v>
      </c>
      <c r="R19" s="224">
        <f t="shared" si="1"/>
        <v>0.18064901275151055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'[65]Rate Design Int &amp; Trans'!$K$99</f>
        <v>302.34999999999582</v>
      </c>
      <c r="R20" s="224">
        <f t="shared" si="1"/>
        <v>3.9483393181995296E-3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'[65]Rate Design Int &amp; Trans'!$K$164</f>
        <v>1064195.83</v>
      </c>
      <c r="R21" s="224">
        <f t="shared" si="1"/>
        <v>0.26102443083686733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387">
        <f>'[65]Rate Design Int &amp; Trans'!$K$217</f>
        <v>38602.938156811055</v>
      </c>
      <c r="R22" s="224">
        <f t="shared" si="1"/>
        <v>2.0348119201531383E-2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98526007.047224894</v>
      </c>
      <c r="R23" s="225">
        <f t="shared" si="1"/>
        <v>0.11969526153586284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'[65]Rate Design Rental'!$J$29</f>
        <v>-644531.05999999982</v>
      </c>
      <c r="R25" s="224">
        <f>Q25/P25</f>
        <v>-0.11463065658755632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97881475.987224892</v>
      </c>
      <c r="R26" s="225">
        <f>Q26/P26</f>
        <v>0.11810549629377533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64776973.471294619</v>
      </c>
      <c r="R30" s="224">
        <f t="shared" ref="R30:R37" si="6">Q30/P30</f>
        <v>0.11376979439512032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28556167.199999996</v>
      </c>
      <c r="R31" s="224">
        <f t="shared" si="6"/>
        <v>0.15932446815876075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1995530.7369718445</v>
      </c>
      <c r="R32" s="224">
        <f t="shared" si="6"/>
        <v>4.7395301449525307E-2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1742273.4808016201</v>
      </c>
      <c r="R33" s="224">
        <f t="shared" si="6"/>
        <v>0.12409638544132444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21.129999999994652</v>
      </c>
      <c r="R34" s="224">
        <f t="shared" si="6"/>
        <v>4.485069246994637E-6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1416438.0900000003</v>
      </c>
      <c r="R35" s="224">
        <f t="shared" si="6"/>
        <v>0.12017109748591707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38602.938156811055</v>
      </c>
      <c r="R36" s="224">
        <f t="shared" si="6"/>
        <v>2.0348119201531383E-2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98526007.047224894</v>
      </c>
      <c r="R37" s="225">
        <f t="shared" si="6"/>
        <v>0.11969526153586285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-644531.05999999982</v>
      </c>
      <c r="R39" s="224">
        <f>Q39/P39</f>
        <v>-0.11463065658755632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97881475.987224892</v>
      </c>
      <c r="R40" s="225">
        <f>Q40/P40</f>
        <v>0.11810549629377534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424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 Revenue'!$H$9:$H$14)</f>
        <v>-19326947.757790502</v>
      </c>
      <c r="R10" s="224">
        <f>Q10/P10</f>
        <v>-3.3945014289235867E-2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 Revenue'!$H$20:$H$22)</f>
        <v>-6110887.9022791656</v>
      </c>
      <c r="R12" s="224">
        <f t="shared" si="1"/>
        <v>-3.4098782007174207E-2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 Revenue'!$H$32:$H$41)</f>
        <v>-1231564.7640418469</v>
      </c>
      <c r="R13" s="224">
        <f t="shared" si="1"/>
        <v>-3.2757648314887214E-2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 Revenue'!$H$54:$H$61)</f>
        <v>-152845.92818257306</v>
      </c>
      <c r="R14" s="224">
        <f t="shared" si="1"/>
        <v>-2.4128584186641641E-2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 Revenue'!$H$73:$H$79)</f>
        <v>-152181.0190152016</v>
      </c>
      <c r="R15" s="224">
        <f t="shared" si="1"/>
        <v>-3.2835773029575216E-2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 Revenue'!$H$91:$H$101)</f>
        <v>-106551.53823372703</v>
      </c>
      <c r="R16" s="224">
        <f t="shared" si="1"/>
        <v>-1.3820186829152023E-2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 Revenue'!$H$25:$H$26)</f>
        <v>-866.53242810000165</v>
      </c>
      <c r="R17" s="224">
        <f t="shared" si="1"/>
        <v>-4.0390024762241662E-2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 Revenue'!$H$44:$H$51)</f>
        <v>-176127.76092043327</v>
      </c>
      <c r="R18" s="224">
        <f t="shared" si="1"/>
        <v>-3.9072408291314878E-2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 Revenue'!$H$64:$H$70)</f>
        <v>-298624.84595378366</v>
      </c>
      <c r="R19" s="224">
        <f t="shared" si="1"/>
        <v>-3.8757088701591356E-2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 Revenue'!$H$104:$H$114)</f>
        <v>-152750.99738961991</v>
      </c>
      <c r="R21" s="224">
        <f t="shared" si="1"/>
        <v>-3.7466546127501124E-2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 Revenue'!$H$139</f>
        <v>-35274.722042470239</v>
      </c>
      <c r="R22" s="224">
        <f t="shared" si="1"/>
        <v>-1.8593772474140749E-2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-27748296.343576133</v>
      </c>
      <c r="R23" s="225">
        <f t="shared" si="1"/>
        <v>-3.3710283077106808E-2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-27975683.393576134</v>
      </c>
      <c r="R26" s="225">
        <f>Q26/P26</f>
        <v>-3.3755947568537621E-2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-19327237.916809451</v>
      </c>
      <c r="R30" s="224">
        <f t="shared" ref="R30:R37" si="6">Q30/P30</f>
        <v>-3.3945023457994522E-2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-6111754.4347072653</v>
      </c>
      <c r="R31" s="224">
        <f t="shared" si="6"/>
        <v>-3.4099535067391072E-2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-1407692.5249622802</v>
      </c>
      <c r="R32" s="224">
        <f t="shared" si="6"/>
        <v>-3.3433717823897417E-2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-451470.77413635672</v>
      </c>
      <c r="R33" s="224">
        <f t="shared" si="6"/>
        <v>-3.2156772068263902E-2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-155563.43529496543</v>
      </c>
      <c r="R34" s="224">
        <f t="shared" si="6"/>
        <v>-3.3020008499690778E-2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-259302.53562334692</v>
      </c>
      <c r="R35" s="224">
        <f t="shared" si="6"/>
        <v>-2.199931681217264E-2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-35274.722042470239</v>
      </c>
      <c r="R36" s="224">
        <f t="shared" si="6"/>
        <v>-1.8593772474140749E-2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-27748296.343576137</v>
      </c>
      <c r="R37" s="225">
        <f t="shared" si="6"/>
        <v>-3.3710283077106822E-2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-27975683.393576138</v>
      </c>
      <c r="R40" s="225">
        <f>Q40/P40</f>
        <v>-3.3755947568537635E-2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141X Revenue'!$H$9:$H$14)</f>
        <v>4349643.2620515758</v>
      </c>
      <c r="R10" s="224">
        <f>Q10/P10</f>
        <v>7.6395251093853405E-3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63.933343157894242</v>
      </c>
      <c r="R11" s="224">
        <f t="shared" ref="R11:R23" si="1">Q11/P11</f>
        <v>7.6164413771779588E-3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141X Revenue'!$H$20:$H$22)</f>
        <v>1275527.7649596378</v>
      </c>
      <c r="R12" s="224">
        <f t="shared" si="1"/>
        <v>7.1174506711594206E-3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141X Revenue'!$H$32:$H$41)</f>
        <v>212630.16343783514</v>
      </c>
      <c r="R13" s="224">
        <f t="shared" si="1"/>
        <v>5.655621464984462E-3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141X Revenue'!$H$54:$H$61)</f>
        <v>21392.139480227721</v>
      </c>
      <c r="R14" s="224">
        <f t="shared" si="1"/>
        <v>3.3770087598572079E-3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141X Revenue'!$H$73:$H$79)</f>
        <v>26020.314480684341</v>
      </c>
      <c r="R15" s="224">
        <f t="shared" si="1"/>
        <v>5.614347610332227E-3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141X Revenue'!$H$91:$H$101)</f>
        <v>14969.602689134326</v>
      </c>
      <c r="R16" s="224">
        <f t="shared" si="1"/>
        <v>1.9416210160026373E-3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141X Revenue'!$H$25:$H$26)</f>
        <v>278.53775050000007</v>
      </c>
      <c r="R17" s="224">
        <f t="shared" si="1"/>
        <v>1.2982949368186572E-2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141X Revenue'!$H$44:$H$51)</f>
        <v>56536.053717578929</v>
      </c>
      <c r="R18" s="224">
        <f t="shared" si="1"/>
        <v>1.2542030640081109E-2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141X Revenue'!$H$64:$H$70)</f>
        <v>95474.419652263314</v>
      </c>
      <c r="R19" s="224">
        <f t="shared" si="1"/>
        <v>1.2391167718738315E-2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141X Revenue'!$H$104:$H$114)</f>
        <v>48580.80638737644</v>
      </c>
      <c r="R21" s="224">
        <f t="shared" si="1"/>
        <v>1.1915830695240541E-2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141X Revenue'!$H$139</f>
        <v>11662.625379653648</v>
      </c>
      <c r="R22" s="224">
        <f t="shared" si="1"/>
        <v>6.1475240683493545E-3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6113865.4602108132</v>
      </c>
      <c r="R23" s="225">
        <f t="shared" si="1"/>
        <v>7.4274879007757751E-3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6187109.0902108131</v>
      </c>
      <c r="R26" s="225">
        <f>Q26/P26</f>
        <v>7.4654737513199024E-3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4349707.1953947339</v>
      </c>
      <c r="R30" s="224">
        <f t="shared" ref="R30:R37" si="6">Q30/P30</f>
        <v>7.6395247690651952E-3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1275806.3027101378</v>
      </c>
      <c r="R31" s="224">
        <f t="shared" si="6"/>
        <v>7.1181527699168134E-3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269166.21715541405</v>
      </c>
      <c r="R32" s="224">
        <f t="shared" si="6"/>
        <v>6.3928927606837632E-3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116866.55913249103</v>
      </c>
      <c r="R33" s="224">
        <f t="shared" si="6"/>
        <v>8.3240190056926323E-3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27106.151361872147</v>
      </c>
      <c r="R34" s="224">
        <f t="shared" si="6"/>
        <v>5.7535715039065474E-3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63550.409076510769</v>
      </c>
      <c r="R35" s="224">
        <f t="shared" si="6"/>
        <v>5.3916386874369379E-3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11662.625379653648</v>
      </c>
      <c r="R36" s="224">
        <f t="shared" si="6"/>
        <v>6.1475240683493545E-3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6113865.4602108141</v>
      </c>
      <c r="R37" s="225">
        <f t="shared" si="6"/>
        <v>7.4274879007757777E-3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6187109.090210814</v>
      </c>
      <c r="R40" s="225">
        <f>Q40/P40</f>
        <v>7.465473751319905E-3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N33" sqref="N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569360424.86566794</v>
      </c>
      <c r="Q10" s="155">
        <f>'Schedule 149 Revenue'!$G$8</f>
        <v>-6879152.9663698804</v>
      </c>
      <c r="R10" s="224">
        <f>Q10/P10</f>
        <v>-1.2082246439929353E-2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179211324.93804225</v>
      </c>
      <c r="Q12" s="155">
        <f>'Schedule 149 Revenue'!$G$10</f>
        <v>-2526828.0251846407</v>
      </c>
      <c r="R12" s="224">
        <f t="shared" si="1"/>
        <v>-1.4099711756822439E-2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37596250.87256778</v>
      </c>
      <c r="Q13" s="155">
        <f>'Schedule 149 Revenue'!$G$11</f>
        <v>-407396.71755076008</v>
      </c>
      <c r="R13" s="224">
        <f t="shared" si="1"/>
        <v>-1.0836099560342554E-2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6334641.3946324075</v>
      </c>
      <c r="Q14" s="155">
        <f>'Schedule 149 Revenue'!$G$12</f>
        <v>-52258.275213740002</v>
      </c>
      <c r="R14" s="224">
        <f t="shared" si="1"/>
        <v>-8.2496027727821351E-3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4634610.5169545421</v>
      </c>
      <c r="Q15" s="155">
        <f>'Schedule 149 Revenue'!$G$13</f>
        <v>-36323.442690949996</v>
      </c>
      <c r="R15" s="224">
        <f t="shared" si="1"/>
        <v>-7.8374315507354787E-3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7709847.8877991261</v>
      </c>
      <c r="Q16" s="155">
        <f>'Schedule 149 Revenue'!$G$14</f>
        <v>-46221.081791180004</v>
      </c>
      <c r="R16" s="224">
        <f t="shared" si="1"/>
        <v>-5.9950705206940728E-3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21454.119753599993</v>
      </c>
      <c r="Q17" s="155">
        <f>'Schedule 149 Revenue'!$G$15</f>
        <v>-342.70052480000004</v>
      </c>
      <c r="R17" s="224">
        <f t="shared" si="1"/>
        <v>-1.5973646494748171E-2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4507727.2843604945</v>
      </c>
      <c r="Q18" s="155">
        <f>'Schedule 149 Revenue'!$G$16</f>
        <v>-128237.8296924</v>
      </c>
      <c r="R18" s="224">
        <f t="shared" si="1"/>
        <v>-2.8448444549278661E-2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7705038.1222654162</v>
      </c>
      <c r="Q19" s="155">
        <f>'Schedule 149 Revenue'!$G$17</f>
        <v>-247694.44367510002</v>
      </c>
      <c r="R19" s="224">
        <f t="shared" si="1"/>
        <v>-3.2147075685366434E-2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4076997.0327608585</v>
      </c>
      <c r="Q21" s="155">
        <f>'Schedule 149 Revenue'!$G$19</f>
        <v>-202459.16161459999</v>
      </c>
      <c r="R21" s="224">
        <f t="shared" si="1"/>
        <v>-4.96588935404495E-2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1897125.6151234768</v>
      </c>
      <c r="Q22" s="155">
        <f>'Schedule 149 Revenue'!$G$20</f>
        <v>-91614.440872499996</v>
      </c>
      <c r="R22" s="224">
        <f t="shared" si="1"/>
        <v>-4.8291183326064129E-2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-10620091.678408891</v>
      </c>
      <c r="R23" s="225">
        <f t="shared" si="1"/>
        <v>-1.2901919899917399E-2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-10620091.678408891</v>
      </c>
      <c r="R26" s="225">
        <f>Q26/P26</f>
        <v>-1.2814387867706251E-2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-6879257.7137757204</v>
      </c>
      <c r="R30" s="224">
        <f t="shared" ref="R30:R37" si="6">Q30/P30</f>
        <v>-1.2082252284203041E-2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-2527170.7257094407</v>
      </c>
      <c r="R31" s="224">
        <f t="shared" si="6"/>
        <v>-1.4099936066351584E-2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-535634.54724316008</v>
      </c>
      <c r="R32" s="224">
        <f t="shared" si="6"/>
        <v>-1.2721708747965913E-2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-299952.71888884</v>
      </c>
      <c r="R33" s="224">
        <f t="shared" si="6"/>
        <v>-2.1364641445541833E-2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-37781.288513449996</v>
      </c>
      <c r="R34" s="224">
        <f t="shared" si="6"/>
        <v>-8.0194839197136394E-3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-248680.24340578</v>
      </c>
      <c r="R35" s="224">
        <f t="shared" si="6"/>
        <v>-2.109811786630051E-2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-91614.440872499996</v>
      </c>
      <c r="R36" s="224">
        <f t="shared" si="6"/>
        <v>-4.8291183326064129E-2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-10620091.678408889</v>
      </c>
      <c r="R37" s="225">
        <f t="shared" si="6"/>
        <v>-1.2901919899917399E-2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-10620091.678408889</v>
      </c>
      <c r="R40" s="225">
        <f>Q40/P40</f>
        <v>-1.2814387867706251E-2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B44A30A-6495-4B43-89FC-784EBD698095}"/>
</file>

<file path=customXml/itemProps2.xml><?xml version="1.0" encoding="utf-8"?>
<ds:datastoreItem xmlns:ds="http://schemas.openxmlformats.org/officeDocument/2006/customXml" ds:itemID="{68996FF9-7EC3-45CB-8050-756240AFAB69}"/>
</file>

<file path=customXml/itemProps3.xml><?xml version="1.0" encoding="utf-8"?>
<ds:datastoreItem xmlns:ds="http://schemas.openxmlformats.org/officeDocument/2006/customXml" ds:itemID="{4CB9D034-8D7C-4095-806D-DCB583C49EC3}"/>
</file>

<file path=customXml/itemProps4.xml><?xml version="1.0" encoding="utf-8"?>
<ds:datastoreItem xmlns:ds="http://schemas.openxmlformats.org/officeDocument/2006/customXml" ds:itemID="{6BB3F7AE-6F33-4903-95A3-CD721A39E5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2019-06-12T18:23:23Z</cp:lastPrinted>
  <dcterms:created xsi:type="dcterms:W3CDTF">2015-03-25T23:20:22Z</dcterms:created>
  <dcterms:modified xsi:type="dcterms:W3CDTF">2019-09-20T19:25:19Z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