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7.xml" ContentType="application/vnd.openxmlformats-officedocument.spreadsheetml.externalLink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2019 GRC Supplemental Filing WP\"/>
    </mc:Choice>
  </mc:AlternateContent>
  <bookViews>
    <workbookView xWindow="23220" yWindow="795" windowWidth="19830" windowHeight="6870" tabRatio="931"/>
  </bookViews>
  <sheets>
    <sheet name="JAP-12 Page 1" sheetId="120" r:id="rId1"/>
    <sheet name="JAP-12 Page 2" sheetId="189" r:id="rId2"/>
    <sheet name="JAP-12 Page 3" sheetId="185" r:id="rId3"/>
    <sheet name="Work Papers For Exhibits--&gt;" sheetId="36" r:id="rId4"/>
    <sheet name="2019 GRC PCA Costs" sheetId="316" r:id="rId5"/>
    <sheet name="Exhibit A-1" sheetId="3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4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4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4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>[36]Mthly!$B$11:$D$11,[36]Mthly!$B$32:$D$32</definedName>
    <definedName name="MTR_YR3">[37]Variables!$E$14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[38]Inputs!$N$18</definedName>
    <definedName name="NRG">[4]CLASSIFIERS!$A$5:$IV$5</definedName>
    <definedName name="Number_of_Payments" localSheetId="4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'[39]Dist Misc'!$F$120</definedName>
    <definedName name="OthRCF">[40]INPUTS!$F$41</definedName>
    <definedName name="OthUnc">[4]INPUTS!$F$36</definedName>
    <definedName name="outlookdata">'[41]pivoted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4">'2019 GRC PCA Costs'!$A$1:$P$30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[42]QTD!$B$11:$D$11,[42]QTD!$B$35:$D$35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4">[15]INPUTS!$F$44</definedName>
    <definedName name="ResRCF">[16]INPUTS!$F$44</definedName>
    <definedName name="ResUnc" localSheetId="4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4">[15]INPUTS!$F$30</definedName>
    <definedName name="ROD">[16]INPUTS!$F$30</definedName>
    <definedName name="ROR" localSheetId="4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[40]INPUTS!$F$40</definedName>
    <definedName name="SbUnc">[4]INPUTS!$F$35</definedName>
    <definedName name="Schedule">[38]Inputs!$N$14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4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 localSheetId="4">Scheduled_Payment+Extra_Payment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'[49]Input Tab'!$B$11</definedName>
    <definedName name="WinterPeak">'[50]Load Data'!$D$9:$H$12,'[50]Load Data'!$D$20:$H$22</definedName>
    <definedName name="x">'[51]Weather Present'!$K$7</definedName>
    <definedName name="y">'[52]DSM Output'!$B$21:$B$23</definedName>
    <definedName name="Years_evaluated">'[53]Revison Inputs'!$B$6</definedName>
    <definedName name="YEFactors">[7]Factors!$S$3:$AG$99</definedName>
    <definedName name="YTD_Format">[42]YTD!$B$13:$D$13,[42]YTD!$B$36:$D$36</definedName>
    <definedName name="z">'[52]DSM Output'!$G$21:$G$23</definedName>
  </definedNames>
  <calcPr calcId="162913" iterate="1" calcOnSave="0"/>
</workbook>
</file>

<file path=xl/calcChain.xml><?xml version="1.0" encoding="utf-8"?>
<calcChain xmlns="http://schemas.openxmlformats.org/spreadsheetml/2006/main">
  <c r="L35" i="317" l="1"/>
  <c r="K34" i="317"/>
  <c r="K29" i="317"/>
  <c r="K81" i="317"/>
  <c r="K77" i="317"/>
  <c r="K73" i="317"/>
  <c r="K69" i="317"/>
  <c r="K61" i="317"/>
  <c r="C30" i="317"/>
  <c r="C29" i="317"/>
  <c r="L13" i="317"/>
  <c r="C37" i="317"/>
  <c r="C10" i="317"/>
  <c r="D53" i="317"/>
  <c r="D52" i="317"/>
  <c r="D51" i="317"/>
  <c r="C23" i="317"/>
  <c r="C6" i="317"/>
  <c r="H13" i="189" l="1"/>
  <c r="G13" i="189"/>
  <c r="F13" i="189"/>
  <c r="E13" i="189"/>
  <c r="D13" i="189"/>
  <c r="C13" i="316"/>
  <c r="C12" i="316"/>
  <c r="P6" i="316"/>
  <c r="O6" i="316"/>
  <c r="N6" i="316"/>
  <c r="M6" i="316"/>
  <c r="L6" i="316"/>
  <c r="K6" i="316"/>
  <c r="J6" i="316"/>
  <c r="I6" i="316"/>
  <c r="H6" i="316"/>
  <c r="G6" i="316"/>
  <c r="F6" i="316"/>
  <c r="E6" i="316"/>
  <c r="C6" i="316"/>
  <c r="B6" i="316"/>
  <c r="A6" i="316"/>
  <c r="A4" i="316"/>
  <c r="A3" i="316"/>
  <c r="A2" i="316"/>
  <c r="A1" i="316"/>
  <c r="C39" i="317" l="1"/>
  <c r="G37" i="317"/>
  <c r="C34" i="317"/>
  <c r="K46" i="317" s="1"/>
  <c r="C33" i="317"/>
  <c r="C32" i="317"/>
  <c r="F32" i="317" s="1"/>
  <c r="C31" i="317"/>
  <c r="K47" i="317" s="1"/>
  <c r="K80" i="317"/>
  <c r="C28" i="317"/>
  <c r="C27" i="317"/>
  <c r="C26" i="317"/>
  <c r="G26" i="317" s="1"/>
  <c r="C25" i="317"/>
  <c r="L24" i="317"/>
  <c r="C24" i="317"/>
  <c r="K42" i="317" s="1"/>
  <c r="K23" i="317"/>
  <c r="K28" i="317" s="1"/>
  <c r="K22" i="317"/>
  <c r="K27" i="317" s="1"/>
  <c r="C22" i="317"/>
  <c r="K40" i="317" s="1"/>
  <c r="K21" i="317"/>
  <c r="K33" i="317" s="1"/>
  <c r="C21" i="317"/>
  <c r="K20" i="317"/>
  <c r="K25" i="317" s="1"/>
  <c r="C20" i="317"/>
  <c r="K65" i="317" s="1"/>
  <c r="K19" i="317"/>
  <c r="C19" i="317"/>
  <c r="K18" i="317"/>
  <c r="C18" i="317"/>
  <c r="K17" i="317"/>
  <c r="K16" i="317"/>
  <c r="C15" i="317"/>
  <c r="G15" i="317" s="1"/>
  <c r="L30" i="317"/>
  <c r="A9" i="317"/>
  <c r="A10" i="317" s="1"/>
  <c r="A11" i="317" s="1"/>
  <c r="A12" i="317" s="1"/>
  <c r="C8" i="317"/>
  <c r="C7" i="317"/>
  <c r="C14" i="317"/>
  <c r="K35" i="317" l="1"/>
  <c r="M35" i="317" s="1"/>
  <c r="D18" i="317"/>
  <c r="D28" i="317"/>
  <c r="D33" i="317"/>
  <c r="F28" i="317"/>
  <c r="K24" i="317"/>
  <c r="M24" i="317" s="1"/>
  <c r="D19" i="317"/>
  <c r="D21" i="317"/>
  <c r="D23" i="317"/>
  <c r="D25" i="317"/>
  <c r="D27" i="317"/>
  <c r="D29" i="317"/>
  <c r="D32" i="317"/>
  <c r="D54" i="317"/>
  <c r="D55" i="317" s="1"/>
  <c r="C17" i="317"/>
  <c r="F17" i="317" s="1"/>
  <c r="G30" i="317"/>
  <c r="F33" i="317"/>
  <c r="C16" i="317"/>
  <c r="G25" i="317"/>
  <c r="K26" i="317"/>
  <c r="F29" i="317"/>
  <c r="F34" i="317"/>
  <c r="K66" i="317"/>
  <c r="K76" i="317"/>
  <c r="K78" i="317" s="1"/>
  <c r="K44" i="317"/>
  <c r="K72" i="317"/>
  <c r="K74" i="317" s="1"/>
  <c r="D26" i="317"/>
  <c r="G27" i="317"/>
  <c r="K82" i="317"/>
  <c r="K45" i="317"/>
  <c r="D14" i="317"/>
  <c r="F14" i="317"/>
  <c r="D31" i="317"/>
  <c r="K58" i="317"/>
  <c r="K67" i="317"/>
  <c r="C9" i="317"/>
  <c r="D15" i="317"/>
  <c r="G18" i="317"/>
  <c r="G19" i="317"/>
  <c r="F20" i="317"/>
  <c r="F21" i="317"/>
  <c r="F22" i="317"/>
  <c r="G23" i="317"/>
  <c r="F24" i="317"/>
  <c r="G31" i="317"/>
  <c r="F37" i="317"/>
  <c r="K39" i="317"/>
  <c r="K43" i="317"/>
  <c r="K59" i="317"/>
  <c r="K64" i="317"/>
  <c r="K41" i="317"/>
  <c r="D20" i="317"/>
  <c r="D22" i="317"/>
  <c r="D24" i="317"/>
  <c r="K13" i="317"/>
  <c r="M13" i="317" s="1"/>
  <c r="D30" i="317"/>
  <c r="D34" i="317"/>
  <c r="D17" i="317" l="1"/>
  <c r="K52" i="317"/>
  <c r="K30" i="317"/>
  <c r="M30" i="317" s="1"/>
  <c r="C35" i="317"/>
  <c r="C36" i="317" s="1"/>
  <c r="C38" i="317" s="1"/>
  <c r="F16" i="317"/>
  <c r="G36" i="317"/>
  <c r="G38" i="317" s="1"/>
  <c r="C20" i="316" s="1"/>
  <c r="C46" i="317"/>
  <c r="D46" i="317" s="1"/>
  <c r="D16" i="317"/>
  <c r="K68" i="317"/>
  <c r="K70" i="317" s="1"/>
  <c r="K60" i="317"/>
  <c r="K62" i="317" s="1"/>
  <c r="K38" i="317" l="1"/>
  <c r="K48" i="317" s="1"/>
  <c r="K50" i="317"/>
  <c r="K54" i="317" s="1"/>
  <c r="K55" i="317" s="1"/>
  <c r="D35" i="317"/>
  <c r="C45" i="317" s="1"/>
  <c r="C47" i="317" s="1"/>
  <c r="F35" i="317"/>
  <c r="F36" i="317" s="1"/>
  <c r="F38" i="317" s="1"/>
  <c r="B42" i="185"/>
  <c r="D43" i="185"/>
  <c r="H38" i="317" l="1"/>
  <c r="C19" i="316"/>
  <c r="D36" i="317"/>
  <c r="C44" i="317" s="1"/>
  <c r="D44" i="317" s="1"/>
  <c r="D45" i="317"/>
  <c r="D47" i="317" s="1"/>
  <c r="H36" i="317"/>
  <c r="A2" i="185"/>
  <c r="A2" i="189"/>
  <c r="A10" i="316" l="1"/>
  <c r="A11" i="316" s="1"/>
  <c r="A12" i="316" s="1"/>
  <c r="A13" i="316" s="1"/>
  <c r="A14" i="316" s="1"/>
  <c r="A15" i="316" s="1"/>
  <c r="A16" i="316" s="1"/>
  <c r="A17" i="316" s="1"/>
  <c r="A18" i="316" s="1"/>
  <c r="A19" i="316" s="1"/>
  <c r="A20" i="316" s="1"/>
  <c r="A21" i="316" s="1"/>
  <c r="A22" i="316" s="1"/>
  <c r="A23" i="316" s="1"/>
  <c r="A24" i="316" s="1"/>
  <c r="A25" i="316" s="1"/>
  <c r="A26" i="316" s="1"/>
  <c r="A27" i="316" s="1"/>
  <c r="A28" i="316" s="1"/>
  <c r="A29" i="316" s="1"/>
  <c r="A30" i="316" s="1"/>
  <c r="C21" i="316" l="1"/>
  <c r="D26" i="185" l="1"/>
  <c r="D22" i="185"/>
  <c r="D18" i="185"/>
  <c r="D14" i="185"/>
  <c r="C26" i="185" l="1"/>
  <c r="C22" i="185"/>
  <c r="A11" i="120" l="1"/>
  <c r="A12" i="120" s="1"/>
  <c r="A13" i="120" s="1"/>
  <c r="A12" i="189" l="1"/>
  <c r="A13" i="189" s="1"/>
  <c r="A14" i="189" s="1"/>
  <c r="A15" i="189" s="1"/>
  <c r="C15" i="189" l="1"/>
  <c r="D47" i="185" l="1"/>
  <c r="B46" i="185"/>
  <c r="D39" i="185"/>
  <c r="B38" i="185"/>
  <c r="D35" i="185"/>
  <c r="B34" i="185"/>
  <c r="B30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G19" i="185"/>
  <c r="K19" i="185"/>
  <c r="O19" i="185"/>
  <c r="L19" i="185"/>
  <c r="Q22" i="185"/>
  <c r="P19" i="185"/>
  <c r="A12" i="185"/>
  <c r="A13" i="185" s="1"/>
  <c r="A14" i="185" s="1"/>
  <c r="A15" i="185" s="1"/>
  <c r="Q26" i="185"/>
  <c r="Q10" i="185"/>
  <c r="I15" i="185" l="1"/>
  <c r="P11" i="185"/>
  <c r="N23" i="185"/>
  <c r="N27" i="185"/>
  <c r="J15" i="185"/>
  <c r="F15" i="185"/>
  <c r="M15" i="185"/>
  <c r="J27" i="185"/>
  <c r="E15" i="185"/>
  <c r="N15" i="185"/>
  <c r="H11" i="185"/>
  <c r="L23" i="185"/>
  <c r="P23" i="185"/>
  <c r="H23" i="185"/>
  <c r="K23" i="185"/>
  <c r="G23" i="185"/>
  <c r="O23" i="185"/>
  <c r="L11" i="185"/>
  <c r="F23" i="185"/>
  <c r="K27" i="185"/>
  <c r="I23" i="185"/>
  <c r="I11" i="185"/>
  <c r="G27" i="185"/>
  <c r="E23" i="185"/>
  <c r="E11" i="185"/>
  <c r="Q19" i="185"/>
  <c r="G11" i="185"/>
  <c r="O11" i="185"/>
  <c r="K11" i="185"/>
  <c r="N11" i="185"/>
  <c r="J11" i="185"/>
  <c r="F11" i="185"/>
  <c r="M27" i="185"/>
  <c r="E27" i="185"/>
  <c r="I27" i="185"/>
  <c r="P27" i="185"/>
  <c r="L27" i="185"/>
  <c r="H27" i="185"/>
  <c r="A16" i="185"/>
  <c r="A17" i="185" s="1"/>
  <c r="A18" i="185" s="1"/>
  <c r="A19" i="185" s="1"/>
  <c r="J23" i="185"/>
  <c r="O27" i="185"/>
  <c r="M23" i="185"/>
  <c r="L15" i="185"/>
  <c r="P15" i="185"/>
  <c r="H15" i="185"/>
  <c r="K15" i="185"/>
  <c r="G15" i="185"/>
  <c r="O15" i="185"/>
  <c r="F27" i="185"/>
  <c r="M11" i="185"/>
  <c r="A20" i="185" l="1"/>
  <c r="A21" i="185" s="1"/>
  <c r="A22" i="185" s="1"/>
  <c r="Q27" i="185"/>
  <c r="Q15" i="185"/>
  <c r="Q11" i="185"/>
  <c r="Q23" i="185"/>
  <c r="A23" i="185" l="1"/>
  <c r="A24" i="185" l="1"/>
  <c r="A25" i="185" s="1"/>
  <c r="A26" i="185" s="1"/>
  <c r="A27" i="185" s="1"/>
  <c r="A28" i="185" s="1"/>
  <c r="A29" i="185" s="1"/>
  <c r="A30" i="185" s="1"/>
  <c r="A31" i="185" s="1"/>
  <c r="A32" i="185" l="1"/>
  <c r="A33" i="185" s="1"/>
  <c r="A34" i="185" s="1"/>
  <c r="A35" i="185" s="1"/>
  <c r="D32" i="185"/>
  <c r="A36" i="185" l="1"/>
  <c r="A37" i="185" s="1"/>
  <c r="A38" i="185" s="1"/>
  <c r="A39" i="185" s="1"/>
  <c r="D40" i="185" s="1"/>
  <c r="D36" i="185"/>
  <c r="A40" i="185" l="1"/>
  <c r="A41" i="185" s="1"/>
  <c r="A42" i="185" s="1"/>
  <c r="A43" i="185" s="1"/>
  <c r="A44" i="185" l="1"/>
  <c r="A45" i="185" s="1"/>
  <c r="A46" i="185" s="1"/>
  <c r="A47" i="185" s="1"/>
  <c r="A48" i="185" l="1"/>
  <c r="D48" i="185"/>
  <c r="D44" i="185"/>
  <c r="C13" i="120"/>
  <c r="N10" i="316" l="1"/>
  <c r="P10" i="316"/>
  <c r="H10" i="316"/>
  <c r="M9" i="316"/>
  <c r="M10" i="316"/>
  <c r="K9" i="316"/>
  <c r="I9" i="316"/>
  <c r="F9" i="316"/>
  <c r="O9" i="316"/>
  <c r="F10" i="316"/>
  <c r="J9" i="316"/>
  <c r="E9" i="316"/>
  <c r="E10" i="316"/>
  <c r="G9" i="316"/>
  <c r="N9" i="316"/>
  <c r="P9" i="316"/>
  <c r="L10" i="316"/>
  <c r="G10" i="316"/>
  <c r="I10" i="316"/>
  <c r="K10" i="316"/>
  <c r="H9" i="316"/>
  <c r="O10" i="316"/>
  <c r="L9" i="316"/>
  <c r="J10" i="316"/>
  <c r="L11" i="316" l="1"/>
  <c r="P11" i="316"/>
  <c r="J11" i="316"/>
  <c r="I11" i="316"/>
  <c r="M11" i="316"/>
  <c r="H11" i="316"/>
  <c r="G11" i="316"/>
  <c r="E11" i="316"/>
  <c r="O11" i="316"/>
  <c r="F11" i="316"/>
  <c r="N11" i="316"/>
  <c r="K11" i="316"/>
  <c r="C9" i="316"/>
  <c r="N28" i="316" s="1"/>
  <c r="C10" i="316"/>
  <c r="M29" i="316" s="1"/>
  <c r="O28" i="316"/>
  <c r="H28" i="316" l="1"/>
  <c r="F29" i="316"/>
  <c r="I29" i="316"/>
  <c r="N29" i="316"/>
  <c r="N30" i="316" s="1"/>
  <c r="L29" i="316"/>
  <c r="K28" i="316"/>
  <c r="O29" i="316"/>
  <c r="J28" i="316"/>
  <c r="E28" i="316"/>
  <c r="J29" i="316"/>
  <c r="N24" i="316"/>
  <c r="N23" i="316"/>
  <c r="N25" i="316" s="1"/>
  <c r="F24" i="316"/>
  <c r="E12" i="120" s="1"/>
  <c r="F23" i="316"/>
  <c r="E24" i="316"/>
  <c r="C11" i="316"/>
  <c r="E23" i="316"/>
  <c r="H23" i="316"/>
  <c r="H25" i="316" s="1"/>
  <c r="G11" i="120" s="1"/>
  <c r="G13" i="120" s="1"/>
  <c r="H24" i="316"/>
  <c r="G12" i="120" s="1"/>
  <c r="M24" i="316"/>
  <c r="M23" i="316"/>
  <c r="J24" i="316"/>
  <c r="K12" i="120" s="1"/>
  <c r="J23" i="316"/>
  <c r="O30" i="316"/>
  <c r="E29" i="316"/>
  <c r="G28" i="316"/>
  <c r="H29" i="316"/>
  <c r="H30" i="316" s="1"/>
  <c r="L28" i="316"/>
  <c r="M28" i="316"/>
  <c r="M30" i="316" s="1"/>
  <c r="P28" i="316"/>
  <c r="K24" i="316"/>
  <c r="L12" i="120" s="1"/>
  <c r="K23" i="316"/>
  <c r="O24" i="316"/>
  <c r="O23" i="316"/>
  <c r="G23" i="316"/>
  <c r="G24" i="316"/>
  <c r="J12" i="120" s="1"/>
  <c r="F12" i="120" s="1"/>
  <c r="I23" i="316"/>
  <c r="I24" i="316"/>
  <c r="H12" i="120" s="1"/>
  <c r="P24" i="316"/>
  <c r="P23" i="316"/>
  <c r="P25" i="316" s="1"/>
  <c r="L24" i="316"/>
  <c r="L23" i="316"/>
  <c r="P29" i="316"/>
  <c r="G29" i="316"/>
  <c r="I28" i="316"/>
  <c r="I30" i="316" s="1"/>
  <c r="F28" i="316"/>
  <c r="F30" i="316" s="1"/>
  <c r="K29" i="316"/>
  <c r="M25" i="316" l="1"/>
  <c r="K25" i="316"/>
  <c r="L11" i="120" s="1"/>
  <c r="L13" i="120" s="1"/>
  <c r="L30" i="316"/>
  <c r="L25" i="316"/>
  <c r="F25" i="316"/>
  <c r="E11" i="120" s="1"/>
  <c r="E13" i="120" s="1"/>
  <c r="Q35" i="185" s="1"/>
  <c r="O25" i="316"/>
  <c r="Q43" i="185"/>
  <c r="G11" i="189"/>
  <c r="G15" i="189" s="1"/>
  <c r="E11" i="189"/>
  <c r="E15" i="189" s="1"/>
  <c r="K30" i="316"/>
  <c r="G25" i="316"/>
  <c r="J11" i="120" s="1"/>
  <c r="C23" i="316"/>
  <c r="E25" i="316"/>
  <c r="C28" i="316"/>
  <c r="E30" i="316"/>
  <c r="P30" i="316"/>
  <c r="G30" i="316"/>
  <c r="J30" i="316"/>
  <c r="I25" i="316"/>
  <c r="H11" i="120" s="1"/>
  <c r="H13" i="120" s="1"/>
  <c r="C29" i="316"/>
  <c r="J25" i="316"/>
  <c r="K11" i="120" s="1"/>
  <c r="K13" i="120" s="1"/>
  <c r="C24" i="316"/>
  <c r="D12" i="120"/>
  <c r="H11" i="189" l="1"/>
  <c r="H15" i="189" s="1"/>
  <c r="Q47" i="185"/>
  <c r="C30" i="316"/>
  <c r="F11" i="120"/>
  <c r="F13" i="120" s="1"/>
  <c r="J13" i="120"/>
  <c r="J44" i="185"/>
  <c r="P44" i="185"/>
  <c r="M44" i="185"/>
  <c r="O44" i="185"/>
  <c r="L44" i="185"/>
  <c r="K44" i="185"/>
  <c r="G44" i="185"/>
  <c r="E44" i="185"/>
  <c r="F44" i="185"/>
  <c r="I44" i="185"/>
  <c r="H44" i="185"/>
  <c r="N44" i="185"/>
  <c r="C25" i="316"/>
  <c r="D11" i="120"/>
  <c r="D13" i="120" s="1"/>
  <c r="I36" i="185"/>
  <c r="G36" i="185"/>
  <c r="N36" i="185"/>
  <c r="P36" i="185"/>
  <c r="J36" i="185"/>
  <c r="H36" i="185"/>
  <c r="O36" i="185"/>
  <c r="E36" i="185"/>
  <c r="F36" i="185"/>
  <c r="L36" i="185"/>
  <c r="M36" i="185"/>
  <c r="K36" i="185"/>
  <c r="Q44" i="185" l="1"/>
  <c r="F11" i="189"/>
  <c r="F15" i="189" s="1"/>
  <c r="Q39" i="185"/>
  <c r="Q36" i="185"/>
  <c r="D11" i="189"/>
  <c r="D15" i="189" s="1"/>
  <c r="Q31" i="185"/>
  <c r="L48" i="185"/>
  <c r="M48" i="185"/>
  <c r="H48" i="185"/>
  <c r="E48" i="185"/>
  <c r="J48" i="185"/>
  <c r="N48" i="185"/>
  <c r="P48" i="185"/>
  <c r="F48" i="185"/>
  <c r="K48" i="185"/>
  <c r="I48" i="185"/>
  <c r="G48" i="185"/>
  <c r="O48" i="185"/>
  <c r="I40" i="185" l="1"/>
  <c r="J40" i="185"/>
  <c r="H40" i="185"/>
  <c r="K40" i="185"/>
  <c r="E40" i="185"/>
  <c r="F40" i="185"/>
  <c r="O40" i="185"/>
  <c r="N40" i="185"/>
  <c r="M40" i="185"/>
  <c r="P40" i="185"/>
  <c r="G40" i="185"/>
  <c r="L40" i="185"/>
  <c r="Q48" i="185"/>
  <c r="I32" i="185"/>
  <c r="K32" i="185"/>
  <c r="O32" i="185"/>
  <c r="H32" i="185"/>
  <c r="E32" i="185"/>
  <c r="J32" i="185"/>
  <c r="F32" i="185"/>
  <c r="G32" i="185"/>
  <c r="P32" i="185"/>
  <c r="L32" i="185"/>
  <c r="M32" i="185"/>
  <c r="N32" i="185"/>
  <c r="Q32" i="185" l="1"/>
  <c r="Q40" i="185"/>
  <c r="O17" i="316" l="1"/>
  <c r="N17" i="316"/>
  <c r="J17" i="316"/>
  <c r="P17" i="316"/>
  <c r="K17" i="316"/>
  <c r="M17" i="316"/>
  <c r="H17" i="316"/>
  <c r="F17" i="316"/>
  <c r="I17" i="316"/>
  <c r="L17" i="316"/>
  <c r="G17" i="316"/>
  <c r="E17" i="316"/>
  <c r="C17" i="316" l="1"/>
  <c r="H15" i="316" l="1"/>
  <c r="P15" i="316"/>
  <c r="J15" i="316"/>
  <c r="L15" i="316"/>
  <c r="G15" i="316"/>
  <c r="F15" i="316"/>
  <c r="E15" i="316"/>
  <c r="K15" i="316"/>
  <c r="I15" i="316"/>
  <c r="O15" i="316"/>
  <c r="N15" i="316"/>
  <c r="M15" i="316"/>
  <c r="C15" i="316" l="1"/>
</calcChain>
</file>

<file path=xl/sharedStrings.xml><?xml version="1.0" encoding="utf-8"?>
<sst xmlns="http://schemas.openxmlformats.org/spreadsheetml/2006/main" count="322" uniqueCount="215">
  <si>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</si>
  <si>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</si>
  <si>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</si>
  <si>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</si>
  <si>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</si>
  <si>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</si>
  <si>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</si>
  <si>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</si>
  <si>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</si>
  <si>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</si>
  <si>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</si>
  <si>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</si>
  <si>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</si>
  <si>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</si>
  <si>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</si>
  <si>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</si>
  <si>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</si>
  <si>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</si>
  <si>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</si>
  <si>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</si>
  <si>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</si>
  <si>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</si>
  <si>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</si>
  <si>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</si>
  <si>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</si>
  <si>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</si>
  <si>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</si>
  <si>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</si>
  <si>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</si>
  <si>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</si>
  <si>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</si>
  <si>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</si>
  <si>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% of Annual Total</t>
  </si>
  <si>
    <t>Sales</t>
  </si>
  <si>
    <t>Schedule 7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</si>
  <si>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</si>
  <si>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</si>
  <si>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</si>
  <si>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</si>
  <si>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</si>
  <si>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</si>
  <si>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>Total Allocated Power Costs</t>
  </si>
  <si>
    <t xml:space="preserve">   Allocated Variable Power Costs</t>
  </si>
  <si>
    <t>PC-3</t>
  </si>
  <si>
    <t>NRG</t>
  </si>
  <si>
    <t>DEM</t>
  </si>
  <si>
    <t>Power Cost Revenue: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</si>
  <si>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</si>
  <si>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</si>
  <si>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</si>
  <si>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</si>
  <si>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</si>
  <si>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</si>
  <si>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</si>
  <si>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</si>
  <si>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Peak Credit Allocation</t>
  </si>
  <si>
    <t>% Applicable to Energy</t>
  </si>
  <si>
    <t>% Applicable to Demand</t>
  </si>
  <si>
    <t>Total Allocation to Class</t>
  </si>
  <si>
    <t>Allocate Fixed PCA Costs on PC-3</t>
  </si>
  <si>
    <t>Allocate Variable PCA Costs on PC-3</t>
  </si>
  <si>
    <t>Volumetric Fixed Power Cost Revenue Per Unit ($/kWh)</t>
  </si>
  <si>
    <t>% of (C(o):R(2))</t>
  </si>
  <si>
    <t>% of (C(o):R(6))</t>
  </si>
  <si>
    <t>% of (C(o):R(10))</t>
  </si>
  <si>
    <t>% of (C(o):R(18))</t>
  </si>
  <si>
    <t>% of (C(o):R(22))</t>
  </si>
  <si>
    <t>Allowed Fixed Power Cost Revenue</t>
  </si>
  <si>
    <t>Total PCA Costs Net of Other Revenue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</si>
  <si>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</si>
  <si>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</si>
  <si>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</si>
  <si>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</si>
  <si>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</si>
  <si>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Development of Fixed Power Cost Allowed Revenue by Decoupling Group</t>
  </si>
  <si>
    <t>(e) = Σ (i thru k)</t>
  </si>
  <si>
    <t>Weather-Normalized kWh Sales</t>
  </si>
  <si>
    <t>Electric Decoupling Mechanism (Schedule 142)</t>
  </si>
  <si>
    <t>kWh</t>
  </si>
  <si>
    <t>Demand</t>
  </si>
  <si>
    <t>Total Revenue Requirement</t>
  </si>
  <si>
    <t>Revenues Other Than Rate Sch. Rev.</t>
  </si>
  <si>
    <t>Variable PCA Costs</t>
  </si>
  <si>
    <t>Fixed PCA Costs</t>
  </si>
  <si>
    <t>Total PCA Costs</t>
  </si>
  <si>
    <t>2019 General Rate Case (GRC)</t>
  </si>
  <si>
    <t>Note: Schedule 40 has been re-classed to the following customer classes: Schedule 8&amp;24, Schedule 7A, 11, 25, 29, 35, 43, Schedule 12&amp;26 , Schedule 10&amp;31 and Special contracts</t>
  </si>
  <si>
    <t>Exhibit A-1 Power Cost Baseline Rate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</si>
  <si>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</si>
  <si>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</si>
  <si>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</si>
  <si>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</si>
  <si>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</si>
  <si>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</si>
  <si>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</si>
  <si>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</si>
  <si>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</si>
  <si>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Variable</t>
  </si>
  <si>
    <t>Test Yr</t>
  </si>
  <si>
    <t>Prod Costs</t>
  </si>
  <si>
    <t>Reconciliation to Model</t>
  </si>
  <si>
    <t>$/MWh</t>
  </si>
  <si>
    <t>In Decoupling</t>
  </si>
  <si>
    <t>in PCA</t>
  </si>
  <si>
    <t>Main Items</t>
  </si>
  <si>
    <t>A-1</t>
  </si>
  <si>
    <t>In Model</t>
  </si>
  <si>
    <t>s/b zero</t>
  </si>
  <si>
    <t>9A</t>
  </si>
  <si>
    <t>(I)</t>
  </si>
  <si>
    <t>(II)</t>
  </si>
  <si>
    <t>(III)</t>
  </si>
  <si>
    <t>(IV)</t>
  </si>
  <si>
    <t>(V)</t>
  </si>
  <si>
    <t>PC Lines 10a, 13,14,15,16,17,20</t>
  </si>
  <si>
    <t>Regulatory Asset Recovery (on Row 3)</t>
  </si>
  <si>
    <t>F</t>
  </si>
  <si>
    <t>10a</t>
  </si>
  <si>
    <t>Equity Adder Centralia Coal Transition PPA</t>
  </si>
  <si>
    <t>V</t>
  </si>
  <si>
    <t>From Power Cost Bridge</t>
  </si>
  <si>
    <t>Pwr Cost Bridge</t>
  </si>
  <si>
    <t>Fixed Asset Recovery Other (on Row 4)</t>
  </si>
  <si>
    <t>Purchased Power</t>
  </si>
  <si>
    <t>Fixed Asset Recovery-Prod Factored (on Row 5)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</si>
  <si>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</si>
  <si>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</si>
  <si>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</si>
  <si>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</si>
  <si>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</si>
  <si>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557-Other Power Exp</t>
  </si>
  <si>
    <t>Sales of Non Core Gas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</si>
  <si>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</si>
  <si>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</si>
  <si>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</si>
  <si>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</si>
  <si>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</si>
  <si>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</si>
  <si>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</si>
  <si>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</si>
  <si>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Variable Transmission Inc</t>
  </si>
  <si>
    <t>15d</t>
  </si>
  <si>
    <t>Payroll Taxes on Production Wages</t>
  </si>
  <si>
    <t xml:space="preserve">    Subtotal</t>
  </si>
  <si>
    <t>15e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</si>
  <si>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</si>
  <si>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</si>
  <si>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</si>
  <si>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</si>
  <si>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</si>
  <si>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</si>
  <si>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</si>
  <si>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</si>
  <si>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</si>
  <si>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447-Sales to Others</t>
  </si>
  <si>
    <t>456-Purch/Sales Non-Core Gas</t>
  </si>
  <si>
    <t>Power Cost O&amp;M</t>
  </si>
  <si>
    <t>Depreciation-Production (FERC 403)</t>
  </si>
  <si>
    <t>Wages Increase and Incentive</t>
  </si>
  <si>
    <t>Depreciation-Transmission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</si>
  <si>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</si>
  <si>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</si>
  <si>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Subtotal &amp; Baseline Rate</t>
  </si>
  <si>
    <t>Revenue Sensitive Items</t>
  </si>
  <si>
    <t>Other Items in A-1</t>
  </si>
  <si>
    <t>Grossed up for RSI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</si>
  <si>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</si>
  <si>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</si>
  <si>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</si>
  <si>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</si>
  <si>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</si>
  <si>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</si>
  <si>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</si>
  <si>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</si>
  <si>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</si>
  <si>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</si>
  <si>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</si>
  <si>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</si>
  <si>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</si>
  <si>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</si>
  <si>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Total</t>
  </si>
  <si>
    <t>Rate Year</t>
  </si>
  <si>
    <t>NON POWER COST RELATED REG ASSETS &amp; LIAB</t>
  </si>
  <si>
    <t xml:space="preserve">FERC 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</si>
  <si>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</si>
  <si>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</si>
  <si>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</si>
  <si>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</si>
  <si>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</si>
  <si>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</si>
  <si>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</si>
  <si>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</si>
  <si>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</si>
  <si>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</si>
  <si>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</si>
  <si>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</si>
  <si>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</si>
  <si>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</si>
  <si>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</si>
  <si>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</si>
  <si>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</si>
  <si>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</si>
  <si>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</si>
  <si>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</si>
  <si>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</si>
  <si>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</si>
  <si>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</si>
  <si>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</si>
  <si>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</si>
  <si>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</si>
  <si>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</si>
  <si>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Exhibit A-1</t>
  </si>
  <si>
    <t>JAP-12 Page 1</t>
  </si>
  <si>
    <t>Exhibit JAP-6</t>
  </si>
  <si>
    <t>Exhibit JAP-3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</si>
</sst>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_);_(* \(#,##0.000\);_(* &quot;-&quot;??_);_(@_)"/>
    <numFmt numFmtId="173" formatCode="0.000"/>
    <numFmt numFmtId="174" formatCode="0.0000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8080"/>
      <name val="Arial"/>
      <family val="2"/>
    </font>
    <font>
      <b/>
      <sz val="8"/>
      <color rgb="FF008080"/>
      <name val="Arial"/>
      <family val="2"/>
    </font>
    <font>
      <b/>
      <u/>
      <sz val="8"/>
      <color theme="1"/>
      <name val="Arial"/>
      <family val="2"/>
    </font>
    <font>
      <b/>
      <i/>
      <u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02">
    <xf numFmtId="0" fontId="0" fillId="0" borderId="0" xfId="0"/>
    <xf numFmtId="0" fontId="4" fillId="2" borderId="0" xfId="0" applyNumberFormat="1" applyFont="1" applyFill="1" applyAlignment="1"/>
    <xf numFmtId="0" fontId="3" fillId="2" borderId="3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horizontal="center" wrapText="1"/>
    </xf>
    <xf numFmtId="165" fontId="5" fillId="0" borderId="0" xfId="0" quotePrefix="1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164" fontId="6" fillId="0" borderId="0" xfId="0" quotePrefix="1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left" wrapText="1"/>
    </xf>
    <xf numFmtId="0" fontId="3" fillId="2" borderId="0" xfId="0" quotePrefix="1" applyNumberFormat="1" applyFont="1" applyFill="1" applyAlignment="1">
      <alignment horizontal="left"/>
    </xf>
    <xf numFmtId="168" fontId="4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165" fontId="6" fillId="0" borderId="0" xfId="0" quotePrefix="1" applyNumberFormat="1" applyFont="1" applyFill="1" applyAlignment="1">
      <alignment horizontal="left"/>
    </xf>
    <xf numFmtId="165" fontId="7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168" fontId="4" fillId="0" borderId="0" xfId="0" applyNumberFormat="1" applyFont="1" applyFill="1" applyAlignment="1"/>
    <xf numFmtId="0" fontId="4" fillId="2" borderId="0" xfId="0" applyNumberFormat="1" applyFont="1" applyFill="1" applyAlignment="1">
      <alignment horizontal="center"/>
    </xf>
    <xf numFmtId="164" fontId="7" fillId="0" borderId="0" xfId="0" quotePrefix="1" applyNumberFormat="1" applyFont="1" applyFill="1" applyAlignment="1">
      <alignment horizontal="left"/>
    </xf>
    <xf numFmtId="168" fontId="7" fillId="0" borderId="0" xfId="0" quotePrefix="1" applyNumberFormat="1" applyFont="1" applyFill="1" applyAlignment="1">
      <alignment horizontal="left"/>
    </xf>
    <xf numFmtId="9" fontId="7" fillId="0" borderId="4" xfId="0" quotePrefix="1" applyNumberFormat="1" applyFont="1" applyBorder="1"/>
    <xf numFmtId="164" fontId="6" fillId="0" borderId="0" xfId="2" quotePrefix="1" applyNumberFormat="1" applyFont="1" applyFill="1" applyAlignment="1">
      <alignment horizontal="left"/>
    </xf>
    <xf numFmtId="168" fontId="6" fillId="0" borderId="0" xfId="2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65" fontId="7" fillId="0" borderId="3" xfId="0" quotePrefix="1" applyNumberFormat="1" applyFont="1" applyFill="1" applyBorder="1" applyAlignment="1">
      <alignment horizontal="left"/>
    </xf>
    <xf numFmtId="165" fontId="6" fillId="0" borderId="3" xfId="0" quotePrefix="1" applyNumberFormat="1" applyFont="1" applyFill="1" applyBorder="1" applyAlignment="1">
      <alignment horizontal="left"/>
    </xf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1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/>
    <xf numFmtId="166" fontId="3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3" fontId="6" fillId="0" borderId="0" xfId="0" applyNumberFormat="1" applyFont="1" applyFill="1"/>
    <xf numFmtId="164" fontId="7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quotePrefix="1" applyFont="1" applyFill="1" applyAlignment="1">
      <alignment horizontal="center"/>
    </xf>
    <xf numFmtId="10" fontId="6" fillId="0" borderId="0" xfId="0" applyNumberFormat="1" applyFont="1" applyFill="1"/>
    <xf numFmtId="44" fontId="6" fillId="0" borderId="0" xfId="0" applyNumberFormat="1" applyFont="1" applyFill="1"/>
    <xf numFmtId="44" fontId="7" fillId="0" borderId="0" xfId="0" applyNumberFormat="1" applyFont="1" applyFill="1" applyAlignment="1">
      <alignment horizontal="center"/>
    </xf>
    <xf numFmtId="4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0" applyNumberFormat="1" applyFont="1"/>
    <xf numFmtId="165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12" fillId="0" borderId="0" xfId="0" applyFont="1"/>
    <xf numFmtId="164" fontId="12" fillId="0" borderId="0" xfId="0" applyNumberFormat="1" applyFont="1"/>
    <xf numFmtId="3" fontId="12" fillId="0" borderId="0" xfId="0" applyNumberFormat="1" applyFont="1"/>
    <xf numFmtId="0" fontId="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/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0" xfId="0" applyNumberFormat="1" applyFont="1" applyFill="1"/>
    <xf numFmtId="165" fontId="6" fillId="0" borderId="2" xfId="0" applyNumberFormat="1" applyFont="1" applyFill="1" applyBorder="1"/>
    <xf numFmtId="3" fontId="13" fillId="0" borderId="0" xfId="0" applyNumberFormat="1" applyFont="1" applyFill="1"/>
    <xf numFmtId="167" fontId="13" fillId="0" borderId="0" xfId="0" applyNumberFormat="1" applyFont="1" applyFill="1"/>
    <xf numFmtId="0" fontId="3" fillId="0" borderId="0" xfId="0" applyFont="1" applyAlignment="1"/>
    <xf numFmtId="0" fontId="15" fillId="0" borderId="0" xfId="0" applyFont="1"/>
    <xf numFmtId="0" fontId="3" fillId="0" borderId="0" xfId="0" applyFont="1" applyFill="1" applyAlignment="1"/>
    <xf numFmtId="0" fontId="15" fillId="0" borderId="0" xfId="0" applyFont="1" applyFill="1"/>
    <xf numFmtId="0" fontId="6" fillId="0" borderId="3" xfId="0" applyFont="1" applyFill="1" applyBorder="1" applyAlignment="1"/>
    <xf numFmtId="165" fontId="7" fillId="0" borderId="0" xfId="0" applyNumberFormat="1" applyFont="1" applyFill="1"/>
    <xf numFmtId="164" fontId="6" fillId="0" borderId="0" xfId="0" applyNumberFormat="1" applyFont="1" applyFill="1" applyBorder="1"/>
    <xf numFmtId="167" fontId="6" fillId="0" borderId="1" xfId="0" applyNumberFormat="1" applyFont="1" applyFill="1" applyBorder="1"/>
    <xf numFmtId="167" fontId="6" fillId="0" borderId="0" xfId="0" applyNumberFormat="1" applyFont="1" applyFill="1" applyBorder="1"/>
    <xf numFmtId="0" fontId="16" fillId="0" borderId="0" xfId="0" applyFont="1" applyFill="1"/>
    <xf numFmtId="0" fontId="16" fillId="0" borderId="0" xfId="0" applyFont="1"/>
    <xf numFmtId="165" fontId="16" fillId="0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0" xfId="0" applyNumberFormat="1" applyFont="1" applyFill="1" applyAlignment="1">
      <alignment horizontal="center"/>
    </xf>
    <xf numFmtId="165" fontId="18" fillId="0" borderId="0" xfId="0" applyNumberFormat="1" applyFont="1" applyFill="1"/>
    <xf numFmtId="41" fontId="18" fillId="0" borderId="0" xfId="0" applyNumberFormat="1" applyFont="1" applyFill="1"/>
    <xf numFmtId="165" fontId="18" fillId="0" borderId="5" xfId="0" applyNumberFormat="1" applyFont="1" applyFill="1" applyBorder="1"/>
    <xf numFmtId="0" fontId="23" fillId="0" borderId="6" xfId="0" applyFont="1" applyBorder="1"/>
    <xf numFmtId="0" fontId="19" fillId="0" borderId="7" xfId="0" applyFont="1" applyBorder="1"/>
    <xf numFmtId="0" fontId="20" fillId="0" borderId="7" xfId="0" applyFont="1" applyBorder="1"/>
    <xf numFmtId="0" fontId="20" fillId="0" borderId="8" xfId="0" applyFont="1" applyBorder="1"/>
    <xf numFmtId="0" fontId="24" fillId="0" borderId="0" xfId="0" applyNumberFormat="1" applyFont="1" applyFill="1" applyBorder="1" applyAlignment="1">
      <alignment horizontal="left"/>
    </xf>
    <xf numFmtId="10" fontId="26" fillId="0" borderId="0" xfId="0" applyNumberFormat="1" applyFont="1" applyFill="1" applyBorder="1" applyAlignment="1"/>
    <xf numFmtId="43" fontId="24" fillId="0" borderId="0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8" fillId="0" borderId="9" xfId="0" applyFont="1" applyBorder="1"/>
    <xf numFmtId="0" fontId="19" fillId="0" borderId="0" xfId="0" applyFont="1" applyBorder="1"/>
    <xf numFmtId="0" fontId="20" fillId="0" borderId="0" xfId="0" applyFont="1" applyBorder="1"/>
    <xf numFmtId="0" fontId="20" fillId="0" borderId="10" xfId="0" applyFont="1" applyBorder="1"/>
    <xf numFmtId="10" fontId="29" fillId="0" borderId="0" xfId="0" applyNumberFormat="1" applyFont="1" applyFill="1" applyBorder="1" applyAlignment="1"/>
    <xf numFmtId="0" fontId="26" fillId="0" borderId="0" xfId="0" applyNumberFormat="1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/>
    </xf>
    <xf numFmtId="164" fontId="31" fillId="0" borderId="3" xfId="0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0" fontId="20" fillId="0" borderId="9" xfId="0" applyFont="1" applyBorder="1"/>
    <xf numFmtId="164" fontId="20" fillId="0" borderId="1" xfId="0" applyNumberFormat="1" applyFont="1" applyBorder="1"/>
    <xf numFmtId="41" fontId="20" fillId="0" borderId="1" xfId="0" applyNumberFormat="1" applyFont="1" applyBorder="1"/>
    <xf numFmtId="165" fontId="19" fillId="3" borderId="11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0" fontId="19" fillId="0" borderId="9" xfId="0" applyFont="1" applyBorder="1"/>
    <xf numFmtId="44" fontId="18" fillId="0" borderId="0" xfId="0" applyNumberFormat="1" applyFont="1"/>
    <xf numFmtId="164" fontId="1" fillId="0" borderId="0" xfId="0" applyNumberFormat="1" applyFont="1" applyFill="1" applyBorder="1" applyAlignment="1"/>
    <xf numFmtId="0" fontId="23" fillId="0" borderId="9" xfId="0" applyFont="1" applyBorder="1"/>
    <xf numFmtId="0" fontId="23" fillId="0" borderId="0" xfId="0" applyFont="1" applyBorder="1" applyAlignment="1">
      <alignment horizontal="center"/>
    </xf>
    <xf numFmtId="164" fontId="20" fillId="0" borderId="10" xfId="0" applyNumberFormat="1" applyFont="1" applyBorder="1"/>
    <xf numFmtId="41" fontId="18" fillId="0" borderId="0" xfId="0" applyNumberFormat="1" applyFont="1"/>
    <xf numFmtId="164" fontId="18" fillId="0" borderId="0" xfId="0" applyNumberFormat="1" applyFont="1"/>
    <xf numFmtId="43" fontId="18" fillId="0" borderId="0" xfId="0" applyNumberFormat="1" applyFont="1"/>
    <xf numFmtId="0" fontId="1" fillId="0" borderId="0" xfId="0" applyNumberFormat="1" applyFont="1" applyFill="1" applyBorder="1" applyAlignment="1"/>
    <xf numFmtId="170" fontId="33" fillId="0" borderId="9" xfId="0" applyNumberFormat="1" applyFont="1" applyBorder="1" applyAlignment="1">
      <alignment horizontal="left"/>
    </xf>
    <xf numFmtId="164" fontId="20" fillId="0" borderId="0" xfId="0" applyNumberFormat="1" applyFont="1" applyBorder="1"/>
    <xf numFmtId="0" fontId="1" fillId="0" borderId="0" xfId="0" applyNumberFormat="1" applyFont="1" applyFill="1" applyBorder="1" applyAlignment="1">
      <alignment horizontal="left" indent="1"/>
    </xf>
    <xf numFmtId="164" fontId="20" fillId="0" borderId="5" xfId="0" applyNumberFormat="1" applyFont="1" applyBorder="1"/>
    <xf numFmtId="5" fontId="20" fillId="0" borderId="1" xfId="0" applyNumberFormat="1" applyFont="1" applyBorder="1"/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5" fontId="1" fillId="0" borderId="12" xfId="0" applyNumberFormat="1" applyFont="1" applyFill="1" applyBorder="1" applyAlignment="1">
      <alignment vertical="center"/>
    </xf>
    <xf numFmtId="169" fontId="26" fillId="0" borderId="13" xfId="0" applyNumberFormat="1" applyFont="1" applyFill="1" applyBorder="1" applyAlignment="1">
      <alignment vertical="center"/>
    </xf>
    <xf numFmtId="169" fontId="26" fillId="0" borderId="5" xfId="0" applyNumberFormat="1" applyFont="1" applyFill="1" applyBorder="1" applyAlignment="1">
      <alignment vertical="center"/>
    </xf>
    <xf numFmtId="165" fontId="1" fillId="0" borderId="5" xfId="0" applyNumberFormat="1" applyFont="1" applyFill="1" applyBorder="1" applyAlignment="1">
      <alignment vertical="center"/>
    </xf>
    <xf numFmtId="165" fontId="32" fillId="0" borderId="0" xfId="0" applyNumberFormat="1" applyFont="1"/>
    <xf numFmtId="165" fontId="12" fillId="0" borderId="0" xfId="0" applyNumberFormat="1" applyFont="1"/>
    <xf numFmtId="171" fontId="1" fillId="0" borderId="3" xfId="0" applyNumberFormat="1" applyFont="1" applyFill="1" applyBorder="1" applyAlignment="1"/>
    <xf numFmtId="172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/>
    <xf numFmtId="165" fontId="1" fillId="0" borderId="5" xfId="0" applyNumberFormat="1" applyFont="1" applyFill="1" applyBorder="1" applyAlignment="1"/>
    <xf numFmtId="173" fontId="34" fillId="0" borderId="0" xfId="0" applyNumberFormat="1" applyFont="1" applyFill="1" applyBorder="1" applyAlignment="1"/>
    <xf numFmtId="43" fontId="1" fillId="0" borderId="0" xfId="0" applyNumberFormat="1" applyFont="1" applyFill="1" applyBorder="1" applyAlignment="1">
      <alignment horizontal="center"/>
    </xf>
    <xf numFmtId="172" fontId="35" fillId="0" borderId="0" xfId="0" applyNumberFormat="1" applyFont="1" applyFill="1" applyBorder="1" applyAlignment="1">
      <alignment horizontal="center"/>
    </xf>
    <xf numFmtId="172" fontId="36" fillId="0" borderId="0" xfId="0" applyNumberFormat="1" applyFont="1" applyFill="1" applyBorder="1" applyAlignment="1">
      <alignment horizontal="right"/>
    </xf>
    <xf numFmtId="172" fontId="37" fillId="0" borderId="0" xfId="0" applyNumberFormat="1" applyFont="1" applyFill="1" applyBorder="1" applyAlignment="1">
      <alignment horizontal="left"/>
    </xf>
    <xf numFmtId="0" fontId="35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right"/>
    </xf>
    <xf numFmtId="0" fontId="37" fillId="0" borderId="0" xfId="0" applyNumberFormat="1" applyFont="1" applyFill="1" applyBorder="1" applyAlignment="1"/>
    <xf numFmtId="172" fontId="35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164" fontId="19" fillId="0" borderId="0" xfId="0" applyNumberFormat="1" applyFont="1" applyBorder="1"/>
    <xf numFmtId="169" fontId="38" fillId="0" borderId="0" xfId="0" applyNumberFormat="1" applyFont="1" applyFill="1" applyBorder="1" applyAlignment="1"/>
    <xf numFmtId="0" fontId="39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174" fontId="1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174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5" fontId="19" fillId="0" borderId="0" xfId="0" applyNumberFormat="1" applyFont="1" applyBorder="1"/>
    <xf numFmtId="174" fontId="4" fillId="0" borderId="1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41" fontId="4" fillId="0" borderId="12" xfId="0" applyNumberFormat="1" applyFont="1" applyFill="1" applyBorder="1" applyAlignment="1"/>
    <xf numFmtId="174" fontId="4" fillId="0" borderId="9" xfId="0" applyNumberFormat="1" applyFont="1" applyFill="1" applyBorder="1" applyAlignment="1">
      <alignment horizontal="left"/>
    </xf>
    <xf numFmtId="41" fontId="4" fillId="0" borderId="10" xfId="0" applyNumberFormat="1" applyFont="1" applyFill="1" applyBorder="1" applyAlignment="1"/>
    <xf numFmtId="0" fontId="19" fillId="0" borderId="5" xfId="0" applyFont="1" applyBorder="1"/>
    <xf numFmtId="0" fontId="4" fillId="0" borderId="0" xfId="0" applyNumberFormat="1" applyFont="1" applyFill="1" applyBorder="1" applyAlignment="1"/>
    <xf numFmtId="41" fontId="4" fillId="0" borderId="15" xfId="0" applyNumberFormat="1" applyFont="1" applyFill="1" applyBorder="1" applyAlignment="1"/>
    <xf numFmtId="5" fontId="19" fillId="0" borderId="5" xfId="0" applyNumberFormat="1" applyFont="1" applyBorder="1"/>
    <xf numFmtId="0" fontId="4" fillId="0" borderId="16" xfId="0" applyNumberFormat="1" applyFont="1" applyBorder="1" applyAlignment="1"/>
    <xf numFmtId="0" fontId="32" fillId="0" borderId="17" xfId="0" applyNumberFormat="1" applyFont="1" applyBorder="1" applyAlignment="1">
      <alignment horizontal="right"/>
    </xf>
    <xf numFmtId="41" fontId="32" fillId="0" borderId="18" xfId="0" applyNumberFormat="1" applyFont="1" applyBorder="1" applyAlignment="1"/>
    <xf numFmtId="0" fontId="19" fillId="0" borderId="9" xfId="0" applyFont="1" applyBorder="1" applyAlignment="1">
      <alignment horizontal="right"/>
    </xf>
    <xf numFmtId="165" fontId="19" fillId="3" borderId="2" xfId="0" applyNumberFormat="1" applyFont="1" applyFill="1" applyBorder="1"/>
    <xf numFmtId="164" fontId="19" fillId="0" borderId="5" xfId="0" applyNumberFormat="1" applyFont="1" applyBorder="1"/>
    <xf numFmtId="42" fontId="19" fillId="0" borderId="0" xfId="0" applyNumberFormat="1" applyFont="1" applyBorder="1"/>
    <xf numFmtId="164" fontId="19" fillId="3" borderId="1" xfId="0" applyNumberFormat="1" applyFont="1" applyFill="1" applyBorder="1"/>
    <xf numFmtId="41" fontId="19" fillId="0" borderId="0" xfId="0" applyNumberFormat="1" applyFont="1" applyBorder="1"/>
    <xf numFmtId="0" fontId="40" fillId="0" borderId="0" xfId="0" applyFont="1"/>
    <xf numFmtId="0" fontId="19" fillId="0" borderId="16" xfId="0" applyFont="1" applyBorder="1"/>
    <xf numFmtId="0" fontId="19" fillId="0" borderId="17" xfId="0" applyFont="1" applyBorder="1"/>
    <xf numFmtId="0" fontId="20" fillId="0" borderId="17" xfId="0" applyFont="1" applyBorder="1"/>
    <xf numFmtId="0" fontId="20" fillId="0" borderId="18" xfId="0" applyFont="1" applyBorder="1"/>
    <xf numFmtId="0" fontId="12" fillId="0" borderId="0" xfId="0" applyNumberFormat="1" applyFont="1" applyFill="1" applyAlignment="1"/>
    <xf numFmtId="165" fontId="12" fillId="0" borderId="0" xfId="0" quotePrefix="1" applyNumberFormat="1" applyFont="1" applyFill="1" applyAlignment="1">
      <alignment horizontal="left"/>
    </xf>
    <xf numFmtId="164" fontId="32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2" borderId="0" xfId="0" applyNumberFormat="1" applyFont="1" applyFill="1" applyAlignment="1">
      <alignment horizontal="center"/>
    </xf>
  </cellXfs>
  <cellStyles count="3">
    <cellStyle name="Comma" xfId="2" builtinId="3"/>
    <cellStyle name="Comma 10 2 2 3" xfId="1"/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4.00E-ELECTRIC-MODEL-SUPPLEMENTAL-19GRC-09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  <sheetName val="NEW-PSE-WP-JAP06-ELEC-RATE-SP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10623030235.689331</v>
          </cell>
        </row>
      </sheetData>
      <sheetData sheetId="8">
        <row r="25">
          <cell r="C25">
            <v>2700129196.7702866</v>
          </cell>
        </row>
        <row r="39">
          <cell r="C39">
            <v>2990164373.5601029</v>
          </cell>
        </row>
        <row r="71">
          <cell r="C71">
            <v>1930452063.9308119</v>
          </cell>
        </row>
        <row r="94">
          <cell r="C94">
            <v>10849300</v>
          </cell>
        </row>
        <row r="128">
          <cell r="C128">
            <v>16009313.796828577</v>
          </cell>
        </row>
      </sheetData>
      <sheetData sheetId="9">
        <row r="21">
          <cell r="C21">
            <v>1407978352.242965</v>
          </cell>
        </row>
        <row r="43">
          <cell r="C43">
            <v>4443660</v>
          </cell>
        </row>
        <row r="66">
          <cell r="C66">
            <v>122500713.32397975</v>
          </cell>
        </row>
      </sheetData>
      <sheetData sheetId="10"/>
      <sheetData sheetId="11"/>
      <sheetData sheetId="12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Puget Sound Energy</v>
          </cell>
        </row>
        <row r="2">
          <cell r="A2" t="str">
            <v>ELECTRIC COST OF SERVICE SUMMARY</v>
          </cell>
        </row>
        <row r="3">
          <cell r="A3" t="str">
            <v>Adjusted Test Year Twelve Months ended December 2018 @ Proforma Rev Requirement</v>
          </cell>
        </row>
        <row r="4">
          <cell r="A4" t="str">
            <v>Delivery Costs</v>
          </cell>
        </row>
        <row r="6">
          <cell r="A6" t="str">
            <v>Line No.</v>
          </cell>
          <cell r="B6" t="str">
            <v>Description</v>
          </cell>
          <cell r="C6" t="str">
            <v>Total Company</v>
          </cell>
          <cell r="E6" t="str">
            <v>Residential Sch 7</v>
          </cell>
          <cell r="F6" t="str">
            <v>Sec Volt Sch 24 (kW&lt; 50)</v>
          </cell>
          <cell r="G6" t="str">
            <v>Sec Volt Sch 25 (kW &gt; 50 &amp; &lt; 350)</v>
          </cell>
          <cell r="H6" t="str">
            <v>Sec Volt Sch 26 (kW &gt; 350)</v>
          </cell>
          <cell r="I6" t="str">
            <v>Pri Volt Sch 31 (General Service)</v>
          </cell>
          <cell r="J6" t="str">
            <v>Pri Volt Sch 35 (Irrigation)</v>
          </cell>
          <cell r="K6" t="str">
            <v>Pri Svc 43</v>
          </cell>
          <cell r="L6" t="str">
            <v>Special Contract</v>
          </cell>
          <cell r="M6" t="str">
            <v>High Volt 46/49</v>
          </cell>
          <cell r="N6" t="str">
            <v>Choice/Retail Wheeling</v>
          </cell>
          <cell r="O6" t="str">
            <v>Lighting 50-59</v>
          </cell>
          <cell r="P6" t="str">
            <v>Firm Resale</v>
          </cell>
        </row>
        <row r="9">
          <cell r="E9">
            <v>11476152247.161776</v>
          </cell>
          <cell r="F9">
            <v>2915955626.4103169</v>
          </cell>
          <cell r="G9">
            <v>3242765959.9604325</v>
          </cell>
          <cell r="H9">
            <v>2092770306.5275679</v>
          </cell>
          <cell r="I9">
            <v>1456029850.0547175</v>
          </cell>
          <cell r="J9">
            <v>4597572.0317007378</v>
          </cell>
          <cell r="K9">
            <v>126890757.18193617</v>
          </cell>
          <cell r="L9">
            <v>0</v>
          </cell>
          <cell r="M9">
            <v>630228919.26662493</v>
          </cell>
          <cell r="N9">
            <v>0</v>
          </cell>
          <cell r="O9">
            <v>75887375.026475519</v>
          </cell>
          <cell r="P9">
            <v>7427003.1359829875</v>
          </cell>
        </row>
        <row r="10">
          <cell r="E10">
            <v>2236474.2253660602</v>
          </cell>
          <cell r="F10">
            <v>515625.82524854271</v>
          </cell>
          <cell r="G10">
            <v>551893.91878041346</v>
          </cell>
          <cell r="H10">
            <v>289974.91765494185</v>
          </cell>
          <cell r="I10">
            <v>204844.84270926949</v>
          </cell>
          <cell r="J10">
            <v>7.0004300675974864</v>
          </cell>
          <cell r="K10">
            <v>0</v>
          </cell>
          <cell r="L10">
            <v>0</v>
          </cell>
          <cell r="M10">
            <v>69577.130407689765</v>
          </cell>
          <cell r="N10">
            <v>0</v>
          </cell>
          <cell r="O10">
            <v>8059.2720272472116</v>
          </cell>
          <cell r="P10">
            <v>1428.4140277629981</v>
          </cell>
        </row>
        <row r="11">
          <cell r="E11">
            <v>0.52709731139948457</v>
          </cell>
          <cell r="F11">
            <v>0.1324361696054952</v>
          </cell>
          <cell r="G11">
            <v>0.14666868464792659</v>
          </cell>
          <cell r="H11">
            <v>9.2777169236386001E-2</v>
          </cell>
          <cell r="I11">
            <v>6.4636892642454535E-2</v>
          </cell>
          <cell r="J11">
            <v>1.8594889359473013E-4</v>
          </cell>
          <cell r="K11">
            <v>5.1266186882089771E-3</v>
          </cell>
          <cell r="L11">
            <v>0</v>
          </cell>
          <cell r="M11">
            <v>2.7436024162419342E-2</v>
          </cell>
          <cell r="N11">
            <v>0</v>
          </cell>
          <cell r="O11">
            <v>3.2945978575228446E-3</v>
          </cell>
          <cell r="P11">
            <v>3.4058286650739451E-4</v>
          </cell>
        </row>
        <row r="12">
          <cell r="C12">
            <v>0.89</v>
          </cell>
        </row>
        <row r="13">
          <cell r="C13">
            <v>0.11</v>
          </cell>
        </row>
        <row r="15">
          <cell r="E15">
            <v>1245933372.3745434</v>
          </cell>
          <cell r="F15">
            <v>274903603.36808145</v>
          </cell>
          <cell r="G15">
            <v>276446081.55238307</v>
          </cell>
          <cell r="H15">
            <v>164288055.09765455</v>
          </cell>
          <cell r="I15">
            <v>120505066.16918504</v>
          </cell>
          <cell r="J15">
            <v>527754.80993304367</v>
          </cell>
          <cell r="K15">
            <v>13134928.706649601</v>
          </cell>
          <cell r="L15">
            <v>6942176.7569742277</v>
          </cell>
          <cell r="M15">
            <v>44292579.739311591</v>
          </cell>
          <cell r="N15">
            <v>13098445.152860822</v>
          </cell>
          <cell r="O15">
            <v>18767175.880790923</v>
          </cell>
          <cell r="P15">
            <v>705121.30515993293</v>
          </cell>
        </row>
        <row r="17">
          <cell r="E17">
            <v>44774403.145353243</v>
          </cell>
          <cell r="F17">
            <v>11637354.159992099</v>
          </cell>
          <cell r="G17">
            <v>8972754.1885492373</v>
          </cell>
          <cell r="H17">
            <v>5323116.7144631036</v>
          </cell>
          <cell r="I17">
            <v>4242331.592676946</v>
          </cell>
          <cell r="J17">
            <v>17150.614727296965</v>
          </cell>
          <cell r="K17">
            <v>370120.97276047437</v>
          </cell>
          <cell r="L17">
            <v>1110812.9075238416</v>
          </cell>
          <cell r="M17">
            <v>4461904.9807481915</v>
          </cell>
          <cell r="N17">
            <v>1077072.9172933849</v>
          </cell>
          <cell r="O17">
            <v>286414.50666749151</v>
          </cell>
          <cell r="P17">
            <v>27230.30505731501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/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14">
          <cell r="G14">
            <v>1693438871.8557312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/>
      <sheetData sheetId="1"/>
      <sheetData sheetId="2">
        <row r="13">
          <cell r="J13">
            <v>37464673.568808615</v>
          </cell>
        </row>
        <row r="14">
          <cell r="J14">
            <v>143207932.26523876</v>
          </cell>
        </row>
        <row r="15">
          <cell r="J15">
            <v>433447888.18948001</v>
          </cell>
        </row>
        <row r="16">
          <cell r="J16">
            <v>7832796.3799999999</v>
          </cell>
        </row>
        <row r="17">
          <cell r="J17">
            <v>426253.88751197996</v>
          </cell>
        </row>
        <row r="18">
          <cell r="J18">
            <v>112334321.32462588</v>
          </cell>
        </row>
        <row r="19">
          <cell r="J19">
            <v>-5469488.0226492053</v>
          </cell>
        </row>
        <row r="20">
          <cell r="J20">
            <v>-21415123.754653782</v>
          </cell>
        </row>
        <row r="24">
          <cell r="J24">
            <v>108520132.47835678</v>
          </cell>
        </row>
        <row r="25">
          <cell r="J25">
            <v>876514.03</v>
          </cell>
        </row>
        <row r="26">
          <cell r="J26">
            <v>-8666881.7085096519</v>
          </cell>
        </row>
        <row r="27">
          <cell r="J27">
            <v>4733258.1026060628</v>
          </cell>
        </row>
        <row r="28">
          <cell r="J28">
            <v>813292276.7408154</v>
          </cell>
        </row>
      </sheetData>
      <sheetData sheetId="3">
        <row r="42">
          <cell r="D42">
            <v>20503307194.246826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8">
          <cell r="H18">
            <v>7.0199999999999999E-2</v>
          </cell>
          <cell r="M18">
            <v>0.95111500000000004</v>
          </cell>
        </row>
      </sheetData>
      <sheetData sheetId="2">
        <row r="16">
          <cell r="G16">
            <v>5469488.0226491988</v>
          </cell>
          <cell r="I16">
            <v>5469488.0226491988</v>
          </cell>
        </row>
        <row r="23">
          <cell r="G23">
            <v>180672605.83404732</v>
          </cell>
        </row>
        <row r="24">
          <cell r="G24">
            <v>446679558.91286945</v>
          </cell>
        </row>
        <row r="25">
          <cell r="G25">
            <v>112334321.32462588</v>
          </cell>
        </row>
        <row r="27">
          <cell r="I27">
            <v>739686486.07154262</v>
          </cell>
        </row>
        <row r="29">
          <cell r="G29">
            <v>109175792.16812748</v>
          </cell>
        </row>
      </sheetData>
      <sheetData sheetId="3">
        <row r="24">
          <cell r="K24">
            <v>-12929.322150284017</v>
          </cell>
          <cell r="R24">
            <v>6341.1377968182787</v>
          </cell>
          <cell r="AN24">
            <v>245950.53762489464</v>
          </cell>
        </row>
        <row r="29">
          <cell r="K29">
            <v>-43337.161375397118</v>
          </cell>
          <cell r="R29">
            <v>7381.9615589678288</v>
          </cell>
          <cell r="AN29">
            <v>691614.88958714157</v>
          </cell>
          <cell r="BK29">
            <v>109175792.16812748</v>
          </cell>
        </row>
      </sheetData>
      <sheetData sheetId="4"/>
      <sheetData sheetId="5"/>
      <sheetData sheetId="6">
        <row r="19">
          <cell r="O19">
            <v>777635.66528346541</v>
          </cell>
        </row>
        <row r="31">
          <cell r="AU31">
            <v>148923662.89445901</v>
          </cell>
        </row>
        <row r="37">
          <cell r="AU37">
            <v>2885052</v>
          </cell>
        </row>
        <row r="41">
          <cell r="AU41">
            <v>687420</v>
          </cell>
        </row>
        <row r="47">
          <cell r="AU47">
            <v>4459451.03318753</v>
          </cell>
        </row>
        <row r="49">
          <cell r="AU49">
            <v>8031923.03318753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B11" sqref="B11"/>
    </sheetView>
  </sheetViews>
  <sheetFormatPr defaultColWidth="8.85546875" defaultRowHeight="11.25" x14ac:dyDescent="0.2"/>
  <cols>
    <col min="1" max="1" width="4.28515625" style="59" bestFit="1" customWidth="1"/>
    <col min="2" max="2" width="28.85546875" style="59" bestFit="1" customWidth="1"/>
    <col min="3" max="3" width="7.85546875" style="59" bestFit="1" customWidth="1"/>
    <col min="4" max="5" width="11.5703125" style="59" customWidth="1"/>
    <col min="6" max="6" width="16.85546875" style="59" customWidth="1"/>
    <col min="7" max="8" width="11.5703125" style="59" customWidth="1"/>
    <col min="9" max="9" width="1.140625" style="59" customWidth="1"/>
    <col min="10" max="10" width="11.85546875" style="59" bestFit="1" customWidth="1"/>
    <col min="11" max="12" width="11.5703125" style="59" customWidth="1"/>
    <col min="13" max="13" width="8" style="83" bestFit="1" customWidth="1"/>
    <col min="14" max="16384" width="8.85546875" style="59"/>
  </cols>
  <sheetData>
    <row r="1" spans="1:14" ht="15" customHeight="1" x14ac:dyDescent="0.2">
      <c r="A1" s="198" t="s">
        <v>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82"/>
      <c r="N1" s="58"/>
    </row>
    <row r="2" spans="1:14" ht="15" customHeight="1" x14ac:dyDescent="0.2">
      <c r="A2" s="199" t="s">
        <v>85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82"/>
      <c r="N2" s="58"/>
    </row>
    <row r="3" spans="1:14" ht="15" customHeight="1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82"/>
      <c r="N3" s="58"/>
    </row>
    <row r="4" spans="1:14" ht="15" customHeight="1" x14ac:dyDescent="0.2">
      <c r="A4" s="198" t="s">
        <v>74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82"/>
      <c r="N4" s="58"/>
    </row>
    <row r="5" spans="1:14" ht="15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82"/>
      <c r="N5" s="58"/>
    </row>
    <row r="6" spans="1:14" ht="15" customHeight="1" x14ac:dyDescent="0.2">
      <c r="A6" s="60"/>
      <c r="B6" s="57"/>
      <c r="C6" s="57"/>
      <c r="D6" s="57"/>
      <c r="E6" s="57"/>
      <c r="F6" s="57"/>
      <c r="G6" s="57"/>
      <c r="I6" s="57"/>
      <c r="J6" s="57"/>
      <c r="K6" s="57"/>
      <c r="L6" s="57"/>
      <c r="M6" s="82"/>
      <c r="N6" s="58"/>
    </row>
    <row r="7" spans="1:14" ht="15" customHeight="1" x14ac:dyDescent="0.2">
      <c r="A7" s="61" t="s">
        <v>48</v>
      </c>
      <c r="B7" s="57"/>
      <c r="C7" s="57"/>
      <c r="D7" s="57" t="s">
        <v>50</v>
      </c>
      <c r="E7" s="57" t="s">
        <v>51</v>
      </c>
      <c r="F7" s="57" t="s">
        <v>51</v>
      </c>
      <c r="G7" s="57" t="s">
        <v>51</v>
      </c>
      <c r="H7" s="57" t="s">
        <v>51</v>
      </c>
      <c r="I7" s="57"/>
      <c r="J7" s="57" t="s">
        <v>51</v>
      </c>
      <c r="K7" s="57" t="s">
        <v>31</v>
      </c>
      <c r="L7" s="57" t="s">
        <v>31</v>
      </c>
      <c r="M7" s="82"/>
      <c r="N7" s="58"/>
    </row>
    <row r="8" spans="1:14" ht="15" customHeight="1" x14ac:dyDescent="0.2">
      <c r="A8" s="62" t="s">
        <v>49</v>
      </c>
      <c r="B8" s="31"/>
      <c r="C8" s="63" t="s">
        <v>14</v>
      </c>
      <c r="D8" s="64">
        <v>7</v>
      </c>
      <c r="E8" s="64" t="s">
        <v>38</v>
      </c>
      <c r="F8" s="64" t="s">
        <v>52</v>
      </c>
      <c r="G8" s="64" t="s">
        <v>39</v>
      </c>
      <c r="H8" s="64" t="s">
        <v>40</v>
      </c>
      <c r="I8" s="65"/>
      <c r="J8" s="64" t="s">
        <v>53</v>
      </c>
      <c r="K8" s="64">
        <v>35</v>
      </c>
      <c r="L8" s="64">
        <v>43</v>
      </c>
      <c r="N8" s="58"/>
    </row>
    <row r="9" spans="1:14" ht="15" customHeight="1" x14ac:dyDescent="0.2">
      <c r="A9" s="28"/>
      <c r="B9" s="29" t="s">
        <v>13</v>
      </c>
      <c r="C9" s="29" t="s">
        <v>12</v>
      </c>
      <c r="D9" s="29" t="s">
        <v>11</v>
      </c>
      <c r="E9" s="29" t="s">
        <v>10</v>
      </c>
      <c r="F9" s="29" t="s">
        <v>75</v>
      </c>
      <c r="G9" s="29" t="s">
        <v>7</v>
      </c>
      <c r="H9" s="29" t="s">
        <v>6</v>
      </c>
      <c r="I9" s="66"/>
      <c r="J9" s="29" t="s">
        <v>5</v>
      </c>
      <c r="K9" s="29" t="s">
        <v>4</v>
      </c>
      <c r="L9" s="29" t="s">
        <v>3</v>
      </c>
      <c r="N9" s="58"/>
    </row>
    <row r="10" spans="1:14" ht="15" customHeight="1" x14ac:dyDescent="0.2">
      <c r="A10" s="29">
        <v>1</v>
      </c>
      <c r="B10" s="34" t="s">
        <v>46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82"/>
      <c r="N10" s="58"/>
    </row>
    <row r="11" spans="1:14" ht="15" customHeight="1" x14ac:dyDescent="0.2">
      <c r="A11" s="29">
        <f t="shared" ref="A11:A13" si="0">A10+1</f>
        <v>2</v>
      </c>
      <c r="B11" s="28" t="s">
        <v>41</v>
      </c>
      <c r="C11" s="43" t="s">
        <v>211</v>
      </c>
      <c r="D11" s="67">
        <f>'2019 GRC PCA Costs'!$E$25</f>
        <v>653245437.42999434</v>
      </c>
      <c r="E11" s="67">
        <f>'2019 GRC PCA Costs'!$F$25</f>
        <v>164131597.09692881</v>
      </c>
      <c r="F11" s="68">
        <f>SUM(J11:L11)</f>
        <v>188354327.45875615</v>
      </c>
      <c r="G11" s="67">
        <f>'2019 GRC PCA Costs'!$H$25</f>
        <v>114981164.18090849</v>
      </c>
      <c r="H11" s="67">
        <f>'2019 GRC PCA Costs'!$I$25</f>
        <v>80106185.888576105</v>
      </c>
      <c r="I11" s="68"/>
      <c r="J11" s="67">
        <f>'2019 GRC PCA Costs'!$G$25</f>
        <v>181770323.97629184</v>
      </c>
      <c r="K11" s="67">
        <f>'2019 GRC PCA Costs'!$J$25</f>
        <v>230451.31080900395</v>
      </c>
      <c r="L11" s="67">
        <f>'2019 GRC PCA Costs'!$K$25</f>
        <v>6353552.1716552842</v>
      </c>
      <c r="M11" s="84"/>
      <c r="N11" s="58"/>
    </row>
    <row r="12" spans="1:14" ht="15" customHeight="1" x14ac:dyDescent="0.2">
      <c r="A12" s="29">
        <f t="shared" si="0"/>
        <v>3</v>
      </c>
      <c r="B12" s="28" t="s">
        <v>42</v>
      </c>
      <c r="C12" s="43" t="s">
        <v>211</v>
      </c>
      <c r="D12" s="67">
        <f>'2019 GRC PCA Costs'!E24</f>
        <v>390984295.27862471</v>
      </c>
      <c r="E12" s="67">
        <f>'2019 GRC PCA Costs'!F24</f>
        <v>98237007.328160673</v>
      </c>
      <c r="F12" s="69">
        <f>SUM(J12:L12)</f>
        <v>112734938.14801142</v>
      </c>
      <c r="G12" s="67">
        <f>'2019 GRC PCA Costs'!H24</f>
        <v>68819201.592060238</v>
      </c>
      <c r="H12" s="67">
        <f>'2019 GRC PCA Costs'!I24</f>
        <v>47945624.787406042</v>
      </c>
      <c r="I12" s="68"/>
      <c r="J12" s="67">
        <f>'2019 GRC PCA Costs'!G24</f>
        <v>108794241.72029366</v>
      </c>
      <c r="K12" s="67">
        <f>'2019 GRC PCA Costs'!J24</f>
        <v>137931.07182987354</v>
      </c>
      <c r="L12" s="67">
        <f>'2019 GRC PCA Costs'!K24</f>
        <v>3802765.3558878964</v>
      </c>
      <c r="M12" s="84"/>
      <c r="N12" s="58"/>
    </row>
    <row r="13" spans="1:14" ht="15" customHeight="1" thickBot="1" x14ac:dyDescent="0.25">
      <c r="A13" s="29">
        <f t="shared" si="0"/>
        <v>4</v>
      </c>
      <c r="B13" s="28" t="s">
        <v>69</v>
      </c>
      <c r="C13" s="29" t="str">
        <f>"("&amp;A11&amp;") - ("&amp;A12&amp;")"</f>
        <v>(2) - (3)</v>
      </c>
      <c r="D13" s="70">
        <f>D11-D12</f>
        <v>262261142.15136963</v>
      </c>
      <c r="E13" s="70">
        <f t="shared" ref="E13:L13" si="1">E11-E12</f>
        <v>65894589.768768132</v>
      </c>
      <c r="F13" s="70">
        <f t="shared" si="1"/>
        <v>75619389.310744733</v>
      </c>
      <c r="G13" s="70">
        <f t="shared" si="1"/>
        <v>46161962.588848248</v>
      </c>
      <c r="H13" s="70">
        <f t="shared" si="1"/>
        <v>32160561.101170063</v>
      </c>
      <c r="I13" s="69"/>
      <c r="J13" s="70">
        <f t="shared" si="1"/>
        <v>72976082.255998179</v>
      </c>
      <c r="K13" s="70">
        <f t="shared" si="1"/>
        <v>92520.238979130401</v>
      </c>
      <c r="L13" s="70">
        <f t="shared" si="1"/>
        <v>2550786.8157673879</v>
      </c>
      <c r="M13" s="82"/>
      <c r="N13" s="58"/>
    </row>
    <row r="14" spans="1:14" ht="12" thickTop="1" x14ac:dyDescent="0.2">
      <c r="A14" s="28"/>
      <c r="B14" s="58"/>
      <c r="C14" s="58"/>
      <c r="D14" s="58"/>
      <c r="E14" s="71"/>
      <c r="F14" s="71"/>
      <c r="G14" s="71"/>
      <c r="H14" s="71"/>
      <c r="I14" s="71"/>
      <c r="J14" s="71"/>
      <c r="K14" s="71"/>
      <c r="L14" s="71"/>
      <c r="M14" s="82"/>
      <c r="N14" s="58"/>
    </row>
    <row r="15" spans="1:14" x14ac:dyDescent="0.2">
      <c r="A15" s="58"/>
      <c r="B15" s="28"/>
      <c r="C15" s="58"/>
      <c r="D15" s="72"/>
      <c r="E15" s="58"/>
      <c r="F15" s="58"/>
      <c r="G15" s="58"/>
      <c r="H15" s="58"/>
      <c r="I15" s="58"/>
      <c r="J15" s="58"/>
      <c r="K15" s="58"/>
      <c r="L15" s="58"/>
      <c r="M15" s="82"/>
      <c r="N15" s="58"/>
    </row>
    <row r="16" spans="1:14" x14ac:dyDescent="0.2">
      <c r="A16" s="29"/>
      <c r="B16" s="28" t="s">
        <v>86</v>
      </c>
      <c r="C16" s="43"/>
      <c r="D16" s="36"/>
      <c r="E16" s="36"/>
      <c r="F16" s="36"/>
      <c r="G16" s="36"/>
      <c r="H16" s="36"/>
      <c r="I16" s="36"/>
      <c r="J16" s="36"/>
      <c r="K16" s="36"/>
      <c r="L16" s="36"/>
      <c r="M16" s="82"/>
      <c r="N16" s="58"/>
    </row>
    <row r="17" spans="1:14" x14ac:dyDescent="0.2">
      <c r="A17" s="58"/>
      <c r="B17" s="28"/>
      <c r="C17" s="58"/>
      <c r="D17" s="72"/>
      <c r="E17" s="58"/>
      <c r="F17" s="58"/>
      <c r="G17" s="58"/>
      <c r="H17" s="58"/>
      <c r="I17" s="58"/>
      <c r="J17" s="58"/>
      <c r="K17" s="58"/>
      <c r="L17" s="58"/>
      <c r="M17" s="82"/>
      <c r="N17" s="58"/>
    </row>
    <row r="18" spans="1:14" x14ac:dyDescent="0.2">
      <c r="A18" s="58"/>
      <c r="B18" s="58"/>
      <c r="C18" s="58"/>
      <c r="D18" s="58"/>
    </row>
    <row r="19" spans="1:14" x14ac:dyDescent="0.2">
      <c r="A19" s="58"/>
      <c r="B19" s="58"/>
      <c r="C19" s="58"/>
      <c r="D19" s="58"/>
    </row>
    <row r="20" spans="1:14" x14ac:dyDescent="0.2">
      <c r="A20" s="58"/>
      <c r="B20" s="58"/>
      <c r="C20" s="58"/>
      <c r="D20" s="58"/>
    </row>
  </sheetData>
  <mergeCells count="4">
    <mergeCell ref="A1:L1"/>
    <mergeCell ref="A3:L3"/>
    <mergeCell ref="A4:L4"/>
    <mergeCell ref="A2:L2"/>
  </mergeCells>
  <printOptions horizontalCentered="1"/>
  <pageMargins left="0.7" right="0.7" top="0.75" bottom="0.75" header="0.3" footer="0.3"/>
  <pageSetup scale="89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Normal="100" workbookViewId="0">
      <selection activeCell="E6" sqref="E6"/>
    </sheetView>
  </sheetViews>
  <sheetFormatPr defaultColWidth="9.140625" defaultRowHeight="11.25" x14ac:dyDescent="0.2"/>
  <cols>
    <col min="1" max="1" width="4.28515625" style="74" bestFit="1" customWidth="1"/>
    <col min="2" max="2" width="41.7109375" style="74" customWidth="1"/>
    <col min="3" max="5" width="13.28515625" style="74" customWidth="1"/>
    <col min="6" max="6" width="16.5703125" style="74" customWidth="1"/>
    <col min="7" max="8" width="13.28515625" style="74" customWidth="1"/>
    <col min="9" max="9" width="14.5703125" style="74" bestFit="1" customWidth="1"/>
    <col min="10" max="16384" width="9.140625" style="74"/>
  </cols>
  <sheetData>
    <row r="1" spans="1:16" ht="15" customHeight="1" x14ac:dyDescent="0.2">
      <c r="A1" s="198" t="s">
        <v>16</v>
      </c>
      <c r="B1" s="198"/>
      <c r="C1" s="198"/>
      <c r="D1" s="198"/>
      <c r="E1" s="198"/>
      <c r="F1" s="198"/>
      <c r="G1" s="198"/>
      <c r="H1" s="198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">
      <c r="A2" s="200" t="str">
        <f>'JAP-12 Page 1'!A2:L2</f>
        <v>2019 General Rate Case (GRC)</v>
      </c>
      <c r="B2" s="200"/>
      <c r="C2" s="200"/>
      <c r="D2" s="200"/>
      <c r="E2" s="200"/>
      <c r="F2" s="200"/>
      <c r="G2" s="200"/>
      <c r="H2" s="200"/>
      <c r="I2" s="73"/>
      <c r="J2" s="73"/>
      <c r="K2" s="73"/>
      <c r="L2" s="73"/>
      <c r="M2" s="73"/>
      <c r="N2" s="73"/>
      <c r="O2" s="73"/>
      <c r="P2" s="73"/>
    </row>
    <row r="3" spans="1:16" ht="15" customHeight="1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73"/>
      <c r="J3" s="73"/>
      <c r="K3" s="73"/>
      <c r="L3" s="73"/>
      <c r="M3" s="73"/>
      <c r="N3" s="73"/>
      <c r="O3" s="73"/>
      <c r="P3" s="73"/>
    </row>
    <row r="4" spans="1:16" ht="15" customHeight="1" x14ac:dyDescent="0.2">
      <c r="A4" s="198" t="s">
        <v>70</v>
      </c>
      <c r="B4" s="198"/>
      <c r="C4" s="198"/>
      <c r="D4" s="198"/>
      <c r="E4" s="198"/>
      <c r="F4" s="198"/>
      <c r="G4" s="198"/>
      <c r="H4" s="198"/>
      <c r="I4" s="73"/>
      <c r="J4" s="73"/>
      <c r="K4" s="73"/>
      <c r="L4" s="73"/>
      <c r="M4" s="73"/>
      <c r="N4" s="73"/>
      <c r="O4" s="73"/>
      <c r="P4" s="73"/>
    </row>
    <row r="5" spans="1:16" ht="15" customHeight="1" x14ac:dyDescent="0.2">
      <c r="A5" s="75"/>
      <c r="B5" s="75"/>
      <c r="C5" s="75"/>
      <c r="D5" s="75"/>
      <c r="E5" s="75"/>
      <c r="F5" s="57"/>
      <c r="G5" s="57"/>
      <c r="H5" s="73"/>
      <c r="I5" s="73"/>
      <c r="J5" s="73"/>
      <c r="K5" s="73"/>
      <c r="L5" s="73"/>
      <c r="M5" s="73"/>
      <c r="N5" s="73"/>
      <c r="O5" s="73"/>
      <c r="P5" s="73"/>
    </row>
    <row r="6" spans="1:16" ht="15" customHeight="1" x14ac:dyDescent="0.2">
      <c r="A6" s="76"/>
      <c r="B6" s="76"/>
      <c r="C6" s="76"/>
      <c r="D6" s="76"/>
      <c r="E6" s="76"/>
      <c r="F6" s="76"/>
      <c r="G6" s="76"/>
    </row>
    <row r="7" spans="1:16" ht="15" customHeight="1" x14ac:dyDescent="0.2">
      <c r="A7" s="61" t="s">
        <v>48</v>
      </c>
      <c r="B7" s="76"/>
      <c r="C7" s="76"/>
      <c r="D7" s="57" t="s">
        <v>50</v>
      </c>
      <c r="E7" s="57" t="s">
        <v>51</v>
      </c>
      <c r="F7" s="57" t="s">
        <v>51</v>
      </c>
      <c r="G7" s="57" t="s">
        <v>51</v>
      </c>
      <c r="H7" s="57" t="s">
        <v>51</v>
      </c>
    </row>
    <row r="8" spans="1:16" ht="15" customHeight="1" x14ac:dyDescent="0.2">
      <c r="A8" s="62" t="s">
        <v>49</v>
      </c>
      <c r="B8" s="77"/>
      <c r="C8" s="63" t="s">
        <v>14</v>
      </c>
      <c r="D8" s="64">
        <v>7</v>
      </c>
      <c r="E8" s="64" t="s">
        <v>38</v>
      </c>
      <c r="F8" s="64" t="s">
        <v>52</v>
      </c>
      <c r="G8" s="64" t="s">
        <v>39</v>
      </c>
      <c r="H8" s="64" t="s">
        <v>40</v>
      </c>
    </row>
    <row r="9" spans="1:16" ht="15" customHeight="1" x14ac:dyDescent="0.2">
      <c r="A9" s="28"/>
      <c r="B9" s="29" t="s">
        <v>13</v>
      </c>
      <c r="C9" s="29" t="s">
        <v>12</v>
      </c>
      <c r="D9" s="29" t="s">
        <v>11</v>
      </c>
      <c r="E9" s="29" t="s">
        <v>10</v>
      </c>
      <c r="F9" s="29" t="s">
        <v>9</v>
      </c>
      <c r="G9" s="29" t="s">
        <v>7</v>
      </c>
      <c r="H9" s="29" t="s">
        <v>6</v>
      </c>
    </row>
    <row r="10" spans="1:16" ht="15" customHeight="1" x14ac:dyDescent="0.2">
      <c r="A10" s="29"/>
      <c r="B10" s="34"/>
      <c r="C10" s="29"/>
      <c r="D10" s="29"/>
      <c r="E10" s="29"/>
      <c r="F10" s="29"/>
    </row>
    <row r="11" spans="1:16" ht="15" customHeight="1" x14ac:dyDescent="0.2">
      <c r="A11" s="29">
        <v>1</v>
      </c>
      <c r="B11" s="28" t="s">
        <v>69</v>
      </c>
      <c r="C11" s="43" t="s">
        <v>212</v>
      </c>
      <c r="D11" s="78">
        <f>'JAP-12 Page 1'!$D$13</f>
        <v>262261142.15136963</v>
      </c>
      <c r="E11" s="78">
        <f>'JAP-12 Page 1'!$E$13</f>
        <v>65894589.768768132</v>
      </c>
      <c r="F11" s="78">
        <f>'JAP-12 Page 1'!$F$13</f>
        <v>75619389.310744733</v>
      </c>
      <c r="G11" s="78">
        <f>'JAP-12 Page 1'!$G$13</f>
        <v>46161962.588848248</v>
      </c>
      <c r="H11" s="78">
        <f>'JAP-12 Page 1'!$H$13</f>
        <v>32160561.101170063</v>
      </c>
    </row>
    <row r="12" spans="1:16" ht="15" customHeight="1" x14ac:dyDescent="0.2">
      <c r="A12" s="29">
        <f t="shared" ref="A12:A15" si="0">A11+1</f>
        <v>2</v>
      </c>
      <c r="B12" s="28"/>
      <c r="C12" s="28"/>
      <c r="D12" s="79"/>
      <c r="E12" s="79"/>
      <c r="F12" s="79"/>
      <c r="G12" s="79"/>
      <c r="H12" s="79"/>
    </row>
    <row r="13" spans="1:16" ht="15" customHeight="1" x14ac:dyDescent="0.2">
      <c r="A13" s="29">
        <f t="shared" si="0"/>
        <v>3</v>
      </c>
      <c r="B13" s="28" t="s">
        <v>47</v>
      </c>
      <c r="C13" s="29" t="s">
        <v>213</v>
      </c>
      <c r="D13" s="37">
        <f>'[54]Exhibit No.__(JAP-Res RD)'!$C$23</f>
        <v>10623030235.689331</v>
      </c>
      <c r="E13" s="37">
        <f>'[54]Exhibit No.__(JAP-SV RD)'!$C$25</f>
        <v>2700129196.7702866</v>
      </c>
      <c r="F13" s="37">
        <f>'[54]Exhibit No.__(JAP-SV RD)'!$C$39+'[54]Exhibit No.__(JAP-SV RD)'!$C$128+'[54]Exhibit No.__(JAP-PV RD)'!$C$43+'[54]Exhibit No.__(JAP-PV RD)'!$C$66</f>
        <v>3133118060.6809115</v>
      </c>
      <c r="G13" s="37">
        <f>'[54]Exhibit No.__(JAP-SV RD)'!$C$71+'[54]Exhibit No.__(JAP-SV RD)'!$C$94</f>
        <v>1941301363.9308119</v>
      </c>
      <c r="H13" s="37">
        <f>'[54]Exhibit No.__(JAP-PV RD)'!$C$21</f>
        <v>1407978352.242965</v>
      </c>
    </row>
    <row r="14" spans="1:16" ht="15" customHeight="1" x14ac:dyDescent="0.2">
      <c r="A14" s="29">
        <f t="shared" si="0"/>
        <v>4</v>
      </c>
      <c r="B14" s="28"/>
      <c r="C14" s="28"/>
      <c r="D14" s="79"/>
      <c r="E14" s="79"/>
      <c r="F14" s="79"/>
      <c r="G14" s="79"/>
      <c r="H14" s="79"/>
    </row>
    <row r="15" spans="1:16" ht="15" customHeight="1" x14ac:dyDescent="0.2">
      <c r="A15" s="29">
        <f t="shared" si="0"/>
        <v>5</v>
      </c>
      <c r="B15" s="28" t="s">
        <v>61</v>
      </c>
      <c r="C15" s="29" t="str">
        <f>"("&amp;A11&amp;") / ("&amp;A13&amp;")"</f>
        <v>(1) / (3)</v>
      </c>
      <c r="D15" s="80">
        <f>ROUND(D11/D13,6)</f>
        <v>2.4688000000000002E-2</v>
      </c>
      <c r="E15" s="80">
        <f>ROUND(E11/E13,6)</f>
        <v>2.4403999999999999E-2</v>
      </c>
      <c r="F15" s="80">
        <f t="shared" ref="F15" si="1">ROUND(F11/F13,6)</f>
        <v>2.4136000000000001E-2</v>
      </c>
      <c r="G15" s="80">
        <f t="shared" ref="G15:H15" si="2">ROUND(G11/G13,6)</f>
        <v>2.3779000000000002E-2</v>
      </c>
      <c r="H15" s="80">
        <f t="shared" si="2"/>
        <v>2.2842000000000001E-2</v>
      </c>
    </row>
    <row r="16" spans="1:16" ht="15" customHeight="1" x14ac:dyDescent="0.2">
      <c r="A16" s="29"/>
      <c r="B16" s="28"/>
      <c r="C16" s="29"/>
      <c r="D16" s="81"/>
      <c r="E16" s="81"/>
      <c r="F16" s="81"/>
      <c r="G16" s="81"/>
      <c r="H16" s="81"/>
    </row>
    <row r="17" spans="1:8" x14ac:dyDescent="0.2">
      <c r="A17" s="76"/>
      <c r="B17" s="76"/>
      <c r="C17" s="76"/>
      <c r="D17" s="76"/>
      <c r="E17" s="76"/>
      <c r="F17" s="76"/>
      <c r="G17" s="76"/>
      <c r="H17" s="76"/>
    </row>
    <row r="18" spans="1:8" x14ac:dyDescent="0.2">
      <c r="B18" s="28" t="s">
        <v>86</v>
      </c>
    </row>
  </sheetData>
  <mergeCells count="4">
    <mergeCell ref="A1:H1"/>
    <mergeCell ref="A3:H3"/>
    <mergeCell ref="A4:H4"/>
    <mergeCell ref="A2:H2"/>
  </mergeCells>
  <printOptions horizontalCentered="1"/>
  <pageMargins left="0.7" right="0.7" top="0.75" bottom="0.75" header="0.3" footer="0.3"/>
  <pageSetup scale="95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Normal="100" workbookViewId="0">
      <selection activeCell="E18" sqref="E18"/>
    </sheetView>
  </sheetViews>
  <sheetFormatPr defaultColWidth="9.140625" defaultRowHeight="11.25" x14ac:dyDescent="0.2"/>
  <cols>
    <col min="1" max="1" width="4.28515625" style="27" bestFit="1" customWidth="1"/>
    <col min="2" max="2" width="24" style="27" customWidth="1"/>
    <col min="3" max="3" width="23.85546875" style="27" bestFit="1" customWidth="1"/>
    <col min="4" max="8" width="11.5703125" style="49" bestFit="1" customWidth="1"/>
    <col min="9" max="16" width="11.5703125" style="27" bestFit="1" customWidth="1"/>
    <col min="17" max="17" width="12.28515625" style="27" bestFit="1" customWidth="1"/>
    <col min="18" max="18" width="9.140625" style="54" customWidth="1"/>
    <col min="19" max="16384" width="9.140625" style="27"/>
  </cols>
  <sheetData>
    <row r="1" spans="1:18" x14ac:dyDescent="0.2">
      <c r="A1" s="198" t="s">
        <v>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8" x14ac:dyDescent="0.2">
      <c r="A2" s="200" t="str">
        <f>'JAP-12 Page 1'!A2:L2</f>
        <v>2019 General Rate Case (GRC)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8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8" x14ac:dyDescent="0.2">
      <c r="A4" s="198" t="s">
        <v>71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8" x14ac:dyDescent="0.2">
      <c r="A5" s="28"/>
      <c r="B5" s="28"/>
      <c r="C5" s="28"/>
      <c r="D5" s="29"/>
      <c r="E5" s="29"/>
      <c r="F5" s="29"/>
      <c r="G5" s="29"/>
      <c r="H5" s="29"/>
      <c r="I5" s="28"/>
      <c r="J5" s="28"/>
      <c r="K5" s="28"/>
      <c r="L5" s="28"/>
      <c r="M5" s="28"/>
      <c r="N5" s="28"/>
      <c r="O5" s="28"/>
      <c r="P5" s="28"/>
      <c r="Q5" s="28"/>
    </row>
    <row r="6" spans="1:18" ht="45" x14ac:dyDescent="0.2">
      <c r="A6" s="30" t="s">
        <v>15</v>
      </c>
      <c r="B6" s="30"/>
      <c r="C6" s="31"/>
      <c r="D6" s="30" t="s">
        <v>14</v>
      </c>
      <c r="E6" s="32" t="s">
        <v>18</v>
      </c>
      <c r="F6" s="32" t="s">
        <v>19</v>
      </c>
      <c r="G6" s="32" t="s">
        <v>20</v>
      </c>
      <c r="H6" s="32" t="s">
        <v>21</v>
      </c>
      <c r="I6" s="32" t="s">
        <v>22</v>
      </c>
      <c r="J6" s="32" t="s">
        <v>23</v>
      </c>
      <c r="K6" s="32" t="s">
        <v>24</v>
      </c>
      <c r="L6" s="32" t="s">
        <v>25</v>
      </c>
      <c r="M6" s="32" t="s">
        <v>26</v>
      </c>
      <c r="N6" s="32" t="s">
        <v>27</v>
      </c>
      <c r="O6" s="32" t="s">
        <v>28</v>
      </c>
      <c r="P6" s="32" t="s">
        <v>29</v>
      </c>
      <c r="Q6" s="30" t="s">
        <v>30</v>
      </c>
    </row>
    <row r="7" spans="1:18" x14ac:dyDescent="0.2">
      <c r="A7" s="28"/>
      <c r="B7" s="28"/>
      <c r="C7" s="29" t="s">
        <v>13</v>
      </c>
      <c r="D7" s="29" t="s">
        <v>12</v>
      </c>
      <c r="E7" s="29" t="s">
        <v>11</v>
      </c>
      <c r="F7" s="29" t="s">
        <v>10</v>
      </c>
      <c r="G7" s="29" t="s">
        <v>9</v>
      </c>
      <c r="H7" s="29" t="s">
        <v>8</v>
      </c>
      <c r="I7" s="29" t="s">
        <v>7</v>
      </c>
      <c r="J7" s="29" t="s">
        <v>6</v>
      </c>
      <c r="K7" s="29" t="s">
        <v>5</v>
      </c>
      <c r="L7" s="29" t="s">
        <v>4</v>
      </c>
      <c r="M7" s="29" t="s">
        <v>3</v>
      </c>
      <c r="N7" s="29" t="s">
        <v>2</v>
      </c>
      <c r="O7" s="29" t="s">
        <v>1</v>
      </c>
      <c r="P7" s="29" t="s">
        <v>0</v>
      </c>
      <c r="Q7" s="29" t="s">
        <v>17</v>
      </c>
    </row>
    <row r="8" spans="1:18" x14ac:dyDescent="0.2">
      <c r="A8" s="29"/>
      <c r="B8" s="33" t="s">
        <v>33</v>
      </c>
      <c r="C8" s="34"/>
      <c r="D8" s="29"/>
      <c r="E8" s="29"/>
      <c r="F8" s="29"/>
      <c r="G8" s="29"/>
      <c r="H8" s="29"/>
      <c r="I8" s="29"/>
      <c r="J8" s="29"/>
      <c r="K8" s="28"/>
      <c r="L8" s="28"/>
      <c r="M8" s="28"/>
      <c r="N8" s="28"/>
      <c r="O8" s="28"/>
      <c r="P8" s="28"/>
      <c r="Q8" s="28"/>
    </row>
    <row r="9" spans="1:18" x14ac:dyDescent="0.2">
      <c r="A9" s="29">
        <v>1</v>
      </c>
      <c r="B9" s="35" t="s">
        <v>34</v>
      </c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6"/>
    </row>
    <row r="10" spans="1:18" x14ac:dyDescent="0.2">
      <c r="A10" s="29">
        <f t="shared" ref="A10:A33" si="0">A9+1</f>
        <v>2</v>
      </c>
      <c r="B10" s="29"/>
      <c r="C10" s="28" t="s">
        <v>76</v>
      </c>
      <c r="D10" s="29" t="s">
        <v>214</v>
      </c>
      <c r="E10" s="197">
        <v>1217809396.3717051</v>
      </c>
      <c r="F10" s="197">
        <v>1029221052.455801</v>
      </c>
      <c r="G10" s="197">
        <v>1042285607.8058866</v>
      </c>
      <c r="H10" s="197">
        <v>848382820.3486625</v>
      </c>
      <c r="I10" s="197">
        <v>682087265.04118538</v>
      </c>
      <c r="J10" s="197">
        <v>662181951.97669625</v>
      </c>
      <c r="K10" s="197">
        <v>694649291.53142309</v>
      </c>
      <c r="L10" s="197">
        <v>673174372.85823476</v>
      </c>
      <c r="M10" s="197">
        <v>642880803.18132174</v>
      </c>
      <c r="N10" s="197">
        <v>823326861.21608186</v>
      </c>
      <c r="O10" s="197">
        <v>1037566972.4656866</v>
      </c>
      <c r="P10" s="197">
        <v>1269463840.4366477</v>
      </c>
      <c r="Q10" s="38">
        <f>SUM(E10:P10)</f>
        <v>10623030235.689333</v>
      </c>
      <c r="R10" s="55"/>
    </row>
    <row r="11" spans="1:18" x14ac:dyDescent="0.2">
      <c r="A11" s="29">
        <f t="shared" si="0"/>
        <v>3</v>
      </c>
      <c r="B11" s="29"/>
      <c r="C11" s="28" t="s">
        <v>32</v>
      </c>
      <c r="D11" s="39" t="s">
        <v>62</v>
      </c>
      <c r="E11" s="40">
        <f t="shared" ref="E11:P11" si="1">E10/$Q10</f>
        <v>0.11463860775622474</v>
      </c>
      <c r="F11" s="40">
        <f t="shared" si="1"/>
        <v>9.6885825383232982E-2</v>
      </c>
      <c r="G11" s="40">
        <f t="shared" si="1"/>
        <v>9.8115658590917323E-2</v>
      </c>
      <c r="H11" s="40">
        <f t="shared" si="1"/>
        <v>7.9862600550492602E-2</v>
      </c>
      <c r="I11" s="40">
        <f t="shared" si="1"/>
        <v>6.4208352034020588E-2</v>
      </c>
      <c r="J11" s="40">
        <f t="shared" si="1"/>
        <v>6.2334563423534016E-2</v>
      </c>
      <c r="K11" s="40">
        <f t="shared" si="1"/>
        <v>6.5390879637870769E-2</v>
      </c>
      <c r="L11" s="40">
        <f t="shared" si="1"/>
        <v>6.3369336048449285E-2</v>
      </c>
      <c r="M11" s="40">
        <f t="shared" si="1"/>
        <v>6.0517647876166938E-2</v>
      </c>
      <c r="N11" s="40">
        <f t="shared" si="1"/>
        <v>7.750395536388642E-2</v>
      </c>
      <c r="O11" s="40">
        <f t="shared" si="1"/>
        <v>9.7671469387318216E-2</v>
      </c>
      <c r="P11" s="40">
        <f t="shared" si="1"/>
        <v>0.11950110394788607</v>
      </c>
      <c r="Q11" s="40">
        <f>SUM(E11:P11)</f>
        <v>0.99999999999999989</v>
      </c>
      <c r="R11" s="55"/>
    </row>
    <row r="12" spans="1:18" x14ac:dyDescent="0.2">
      <c r="A12" s="29">
        <f t="shared" si="0"/>
        <v>4</v>
      </c>
      <c r="B12" s="29"/>
      <c r="C12" s="28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55"/>
    </row>
    <row r="13" spans="1:18" x14ac:dyDescent="0.2">
      <c r="A13" s="29">
        <f t="shared" si="0"/>
        <v>5</v>
      </c>
      <c r="B13" s="35" t="s">
        <v>35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55"/>
    </row>
    <row r="14" spans="1:18" x14ac:dyDescent="0.2">
      <c r="A14" s="29">
        <f t="shared" si="0"/>
        <v>6</v>
      </c>
      <c r="B14" s="29"/>
      <c r="C14" s="28" t="str">
        <f>C10</f>
        <v>Weather-Normalized kWh Sales</v>
      </c>
      <c r="D14" s="43" t="str">
        <f>D10</f>
        <v>Exhibit JAP-3</v>
      </c>
      <c r="E14" s="197">
        <v>268383989.57199278</v>
      </c>
      <c r="F14" s="197">
        <v>227279211.53795847</v>
      </c>
      <c r="G14" s="197">
        <v>244720280.50093108</v>
      </c>
      <c r="H14" s="197">
        <v>211476318.75275233</v>
      </c>
      <c r="I14" s="197">
        <v>208012350.22681922</v>
      </c>
      <c r="J14" s="197">
        <v>200157659.37976211</v>
      </c>
      <c r="K14" s="197">
        <v>218343544.81734061</v>
      </c>
      <c r="L14" s="197">
        <v>219728935.14893684</v>
      </c>
      <c r="M14" s="197">
        <v>196113261.95298892</v>
      </c>
      <c r="N14" s="197">
        <v>215665873.9648062</v>
      </c>
      <c r="O14" s="197">
        <v>236065221.06438547</v>
      </c>
      <c r="P14" s="197">
        <v>254182549.85161248</v>
      </c>
      <c r="Q14" s="38">
        <f>SUM(E14:P14)</f>
        <v>2700129196.7702866</v>
      </c>
      <c r="R14" s="55"/>
    </row>
    <row r="15" spans="1:18" x14ac:dyDescent="0.2">
      <c r="A15" s="29">
        <f t="shared" si="0"/>
        <v>7</v>
      </c>
      <c r="B15" s="29"/>
      <c r="C15" s="28" t="s">
        <v>32</v>
      </c>
      <c r="D15" s="43" t="s">
        <v>63</v>
      </c>
      <c r="E15" s="44">
        <f t="shared" ref="E15:P15" si="2">E14/$Q14</f>
        <v>9.9396721420965978E-2</v>
      </c>
      <c r="F15" s="44">
        <f t="shared" si="2"/>
        <v>8.4173457999644846E-2</v>
      </c>
      <c r="G15" s="44">
        <f t="shared" si="2"/>
        <v>9.063280408717074E-2</v>
      </c>
      <c r="H15" s="44">
        <f t="shared" si="2"/>
        <v>7.8320814798679306E-2</v>
      </c>
      <c r="I15" s="44">
        <f t="shared" si="2"/>
        <v>7.7037924879901909E-2</v>
      </c>
      <c r="J15" s="44">
        <f t="shared" si="2"/>
        <v>7.4128919319555994E-2</v>
      </c>
      <c r="K15" s="44">
        <f t="shared" si="2"/>
        <v>8.0864110161287292E-2</v>
      </c>
      <c r="L15" s="44">
        <f t="shared" si="2"/>
        <v>8.1377193140151169E-2</v>
      </c>
      <c r="M15" s="44">
        <f t="shared" si="2"/>
        <v>7.2631066019939516E-2</v>
      </c>
      <c r="N15" s="44">
        <f t="shared" si="2"/>
        <v>7.987242766856166E-2</v>
      </c>
      <c r="O15" s="44">
        <f t="shared" si="2"/>
        <v>8.7427379899728819E-2</v>
      </c>
      <c r="P15" s="44">
        <f t="shared" si="2"/>
        <v>9.4137180604412785E-2</v>
      </c>
      <c r="Q15" s="44">
        <f>SUM(E15:P15)</f>
        <v>0.99999999999999989</v>
      </c>
      <c r="R15" s="55"/>
    </row>
    <row r="16" spans="1:18" x14ac:dyDescent="0.2">
      <c r="A16" s="29">
        <f t="shared" si="0"/>
        <v>8</v>
      </c>
      <c r="B16" s="29"/>
      <c r="C16" s="28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8" x14ac:dyDescent="0.2">
      <c r="A17" s="29">
        <f t="shared" si="0"/>
        <v>9</v>
      </c>
      <c r="B17" s="35" t="s">
        <v>54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6"/>
    </row>
    <row r="18" spans="1:18" x14ac:dyDescent="0.2">
      <c r="A18" s="29">
        <f t="shared" si="0"/>
        <v>10</v>
      </c>
      <c r="B18" s="29"/>
      <c r="C18" s="28" t="str">
        <f>C10</f>
        <v>Weather-Normalized kWh Sales</v>
      </c>
      <c r="D18" s="43" t="str">
        <f>D10</f>
        <v>Exhibit JAP-3</v>
      </c>
      <c r="E18" s="197">
        <v>284490231.19315612</v>
      </c>
      <c r="F18" s="197">
        <v>262584491.92486563</v>
      </c>
      <c r="G18" s="197">
        <v>278342863.5656966</v>
      </c>
      <c r="H18" s="197">
        <v>250818189.4840396</v>
      </c>
      <c r="I18" s="197">
        <v>257611898.41416478</v>
      </c>
      <c r="J18" s="197">
        <v>240257964.078789</v>
      </c>
      <c r="K18" s="197">
        <v>269716764.2743544</v>
      </c>
      <c r="L18" s="197">
        <v>257395354.84975731</v>
      </c>
      <c r="M18" s="197">
        <v>233069302.88971385</v>
      </c>
      <c r="N18" s="197">
        <v>254098187.08349001</v>
      </c>
      <c r="O18" s="197">
        <v>260578468.40768361</v>
      </c>
      <c r="P18" s="197">
        <v>284154344.51520026</v>
      </c>
      <c r="Q18" s="38">
        <f>SUM(E18:P18)</f>
        <v>3133118060.6809106</v>
      </c>
      <c r="R18" s="56"/>
    </row>
    <row r="19" spans="1:18" x14ac:dyDescent="0.2">
      <c r="A19" s="29">
        <f t="shared" si="0"/>
        <v>11</v>
      </c>
      <c r="B19" s="29"/>
      <c r="C19" s="28" t="s">
        <v>32</v>
      </c>
      <c r="D19" s="39" t="s">
        <v>64</v>
      </c>
      <c r="E19" s="40">
        <f t="shared" ref="E19:P19" si="3">E18/$Q18</f>
        <v>9.0800993030989957E-2</v>
      </c>
      <c r="F19" s="40">
        <f t="shared" si="3"/>
        <v>8.3809319291274637E-2</v>
      </c>
      <c r="G19" s="40">
        <f t="shared" si="3"/>
        <v>8.8838932390950254E-2</v>
      </c>
      <c r="H19" s="40">
        <f t="shared" si="3"/>
        <v>8.0053858369298125E-2</v>
      </c>
      <c r="I19" s="40">
        <f t="shared" si="3"/>
        <v>8.2222212321669999E-2</v>
      </c>
      <c r="J19" s="40">
        <f t="shared" si="3"/>
        <v>7.6683342097416687E-2</v>
      </c>
      <c r="K19" s="40">
        <f t="shared" si="3"/>
        <v>8.6085732822892003E-2</v>
      </c>
      <c r="L19" s="40">
        <f t="shared" si="3"/>
        <v>8.215309792501671E-2</v>
      </c>
      <c r="M19" s="40">
        <f t="shared" si="3"/>
        <v>7.438893089112053E-2</v>
      </c>
      <c r="N19" s="40">
        <f t="shared" si="3"/>
        <v>8.1100738038664161E-2</v>
      </c>
      <c r="O19" s="40">
        <f t="shared" si="3"/>
        <v>8.3169055031093508E-2</v>
      </c>
      <c r="P19" s="40">
        <f t="shared" si="3"/>
        <v>9.0693787789613609E-2</v>
      </c>
      <c r="Q19" s="40">
        <f>SUM(E19:P19)</f>
        <v>1.0000000000000002</v>
      </c>
    </row>
    <row r="20" spans="1:18" x14ac:dyDescent="0.2">
      <c r="A20" s="29">
        <f t="shared" si="0"/>
        <v>12</v>
      </c>
      <c r="B20" s="29"/>
      <c r="C20" s="28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8" x14ac:dyDescent="0.2">
      <c r="A21" s="29">
        <f t="shared" si="0"/>
        <v>13</v>
      </c>
      <c r="B21" s="35" t="s">
        <v>36</v>
      </c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6"/>
    </row>
    <row r="22" spans="1:18" x14ac:dyDescent="0.2">
      <c r="A22" s="29">
        <f t="shared" si="0"/>
        <v>14</v>
      </c>
      <c r="B22" s="29"/>
      <c r="C22" s="28" t="str">
        <f>C10</f>
        <v>Weather-Normalized kWh Sales</v>
      </c>
      <c r="D22" s="43" t="str">
        <f>D10</f>
        <v>Exhibit JAP-3</v>
      </c>
      <c r="E22" s="197">
        <v>142975202.61467844</v>
      </c>
      <c r="F22" s="197">
        <v>172308071.8632482</v>
      </c>
      <c r="G22" s="197">
        <v>153645302.24672765</v>
      </c>
      <c r="H22" s="197">
        <v>151566479.09164891</v>
      </c>
      <c r="I22" s="197">
        <v>161041730.39053777</v>
      </c>
      <c r="J22" s="197">
        <v>161445673.87865049</v>
      </c>
      <c r="K22" s="197">
        <v>179191742.40120223</v>
      </c>
      <c r="L22" s="197">
        <v>176966266.69592118</v>
      </c>
      <c r="M22" s="197">
        <v>160861053.50913084</v>
      </c>
      <c r="N22" s="197">
        <v>168838331.31919184</v>
      </c>
      <c r="O22" s="197">
        <v>149391582.89717838</v>
      </c>
      <c r="P22" s="197">
        <v>163069927.02269584</v>
      </c>
      <c r="Q22" s="38">
        <f>SUM(E22:P22)</f>
        <v>1941301363.9308119</v>
      </c>
      <c r="R22" s="56"/>
    </row>
    <row r="23" spans="1:18" x14ac:dyDescent="0.2">
      <c r="A23" s="29">
        <f t="shared" si="0"/>
        <v>15</v>
      </c>
      <c r="B23" s="29"/>
      <c r="C23" s="28" t="s">
        <v>32</v>
      </c>
      <c r="D23" s="39" t="s">
        <v>65</v>
      </c>
      <c r="E23" s="40">
        <f t="shared" ref="E23:P23" si="4">E22/$Q22</f>
        <v>7.3649153743537005E-2</v>
      </c>
      <c r="F23" s="40">
        <f t="shared" si="4"/>
        <v>8.8759053624911211E-2</v>
      </c>
      <c r="G23" s="40">
        <f t="shared" si="4"/>
        <v>7.9145518105247448E-2</v>
      </c>
      <c r="H23" s="40">
        <f t="shared" si="4"/>
        <v>7.8074678103945708E-2</v>
      </c>
      <c r="I23" s="40">
        <f t="shared" si="4"/>
        <v>8.295555413635268E-2</v>
      </c>
      <c r="J23" s="40">
        <f t="shared" si="4"/>
        <v>8.3163632848714378E-2</v>
      </c>
      <c r="K23" s="40">
        <f t="shared" si="4"/>
        <v>9.2304958792368441E-2</v>
      </c>
      <c r="L23" s="40">
        <f t="shared" si="4"/>
        <v>9.1158575368017039E-2</v>
      </c>
      <c r="M23" s="40">
        <f t="shared" si="4"/>
        <v>8.286248415517207E-2</v>
      </c>
      <c r="N23" s="40">
        <f t="shared" si="4"/>
        <v>8.6971726521286916E-2</v>
      </c>
      <c r="O23" s="40">
        <f t="shared" si="4"/>
        <v>7.6954349114907797E-2</v>
      </c>
      <c r="P23" s="40">
        <f t="shared" si="4"/>
        <v>8.4000315485539254E-2</v>
      </c>
      <c r="Q23" s="40">
        <f>SUM(E23:P23)</f>
        <v>1</v>
      </c>
    </row>
    <row r="24" spans="1:18" x14ac:dyDescent="0.2">
      <c r="A24" s="29">
        <f t="shared" si="0"/>
        <v>16</v>
      </c>
      <c r="B24" s="29"/>
      <c r="C24" s="28"/>
      <c r="D24" s="4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8" x14ac:dyDescent="0.2">
      <c r="A25" s="29">
        <f t="shared" si="0"/>
        <v>17</v>
      </c>
      <c r="B25" s="35" t="s">
        <v>37</v>
      </c>
      <c r="C25" s="2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8" x14ac:dyDescent="0.2">
      <c r="A26" s="29">
        <f t="shared" si="0"/>
        <v>18</v>
      </c>
      <c r="B26" s="29"/>
      <c r="C26" s="28" t="str">
        <f>C10</f>
        <v>Weather-Normalized kWh Sales</v>
      </c>
      <c r="D26" s="43" t="str">
        <f>D10</f>
        <v>Exhibit JAP-3</v>
      </c>
      <c r="E26" s="197">
        <v>125060039.31682949</v>
      </c>
      <c r="F26" s="197">
        <v>117261781.63999447</v>
      </c>
      <c r="G26" s="197">
        <v>114834876.19940454</v>
      </c>
      <c r="H26" s="197">
        <v>117460666.85807905</v>
      </c>
      <c r="I26" s="197">
        <v>116306389.52671531</v>
      </c>
      <c r="J26" s="197">
        <v>116497264.35019031</v>
      </c>
      <c r="K26" s="197">
        <v>120366579.59750623</v>
      </c>
      <c r="L26" s="197">
        <v>114211098.31152636</v>
      </c>
      <c r="M26" s="197">
        <v>114053730.95904288</v>
      </c>
      <c r="N26" s="197">
        <v>126985688.57377933</v>
      </c>
      <c r="O26" s="197">
        <v>106373188.48502122</v>
      </c>
      <c r="P26" s="197">
        <v>118567048.42487587</v>
      </c>
      <c r="Q26" s="38">
        <f>SUM(E26:P26)</f>
        <v>1407978352.2429647</v>
      </c>
      <c r="R26" s="56"/>
    </row>
    <row r="27" spans="1:18" x14ac:dyDescent="0.2">
      <c r="A27" s="29">
        <f t="shared" si="0"/>
        <v>19</v>
      </c>
      <c r="B27" s="29"/>
      <c r="C27" s="28" t="s">
        <v>32</v>
      </c>
      <c r="D27" s="43" t="s">
        <v>66</v>
      </c>
      <c r="E27" s="44">
        <f t="shared" ref="E27:P27" si="5">E26/$Q26</f>
        <v>8.8822416280480404E-2</v>
      </c>
      <c r="F27" s="44">
        <f t="shared" si="5"/>
        <v>8.3283795843303879E-2</v>
      </c>
      <c r="G27" s="44">
        <f t="shared" si="5"/>
        <v>8.156011490976979E-2</v>
      </c>
      <c r="H27" s="44">
        <f t="shared" si="5"/>
        <v>8.3425051721114599E-2</v>
      </c>
      <c r="I27" s="44">
        <f t="shared" si="5"/>
        <v>8.2605239875623557E-2</v>
      </c>
      <c r="J27" s="44">
        <f t="shared" si="5"/>
        <v>8.2740806465245439E-2</v>
      </c>
      <c r="K27" s="44">
        <f t="shared" si="5"/>
        <v>8.5488941932777257E-2</v>
      </c>
      <c r="L27" s="44">
        <f t="shared" si="5"/>
        <v>8.1117084030151179E-2</v>
      </c>
      <c r="M27" s="44">
        <f t="shared" si="5"/>
        <v>8.1005315726162125E-2</v>
      </c>
      <c r="N27" s="44">
        <f t="shared" si="5"/>
        <v>9.0190085928158026E-2</v>
      </c>
      <c r="O27" s="44">
        <f t="shared" si="5"/>
        <v>7.555030112186352E-2</v>
      </c>
      <c r="P27" s="44">
        <f t="shared" si="5"/>
        <v>8.421084616535042E-2</v>
      </c>
      <c r="Q27" s="44">
        <f>SUM(E27:P27)</f>
        <v>1.0000000000000002</v>
      </c>
    </row>
    <row r="28" spans="1:18" x14ac:dyDescent="0.2">
      <c r="A28" s="29">
        <f t="shared" si="0"/>
        <v>20</v>
      </c>
      <c r="B28" s="29"/>
      <c r="C28" s="28"/>
      <c r="D28" s="4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8" x14ac:dyDescent="0.2">
      <c r="A29" s="29">
        <f t="shared" si="0"/>
        <v>21</v>
      </c>
      <c r="B29" s="33" t="s">
        <v>72</v>
      </c>
      <c r="D29" s="29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8" x14ac:dyDescent="0.2">
      <c r="A30" s="29">
        <f t="shared" si="0"/>
        <v>22</v>
      </c>
      <c r="B30" s="35" t="str">
        <f>B9</f>
        <v>Schedule 7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8" x14ac:dyDescent="0.2">
      <c r="A31" s="29">
        <f t="shared" si="0"/>
        <v>23</v>
      </c>
      <c r="B31" s="29"/>
      <c r="C31" s="28" t="s">
        <v>67</v>
      </c>
      <c r="D31" s="29" t="s">
        <v>212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>
        <f>'JAP-12 Page 1'!D13</f>
        <v>262261142.15136963</v>
      </c>
    </row>
    <row r="32" spans="1:18" x14ac:dyDescent="0.2">
      <c r="A32" s="29">
        <f t="shared" si="0"/>
        <v>24</v>
      </c>
      <c r="B32" s="29"/>
      <c r="C32" s="28" t="s">
        <v>73</v>
      </c>
      <c r="D32" s="29" t="str">
        <f>"("&amp;A$11&amp;") x ("&amp;A31&amp;")"</f>
        <v>(3) x (23)</v>
      </c>
      <c r="E32" s="45">
        <f t="shared" ref="E32:P32" si="6">$Q31*E$11</f>
        <v>30065252.204790361</v>
      </c>
      <c r="F32" s="45">
        <f t="shared" si="6"/>
        <v>25409387.223284841</v>
      </c>
      <c r="G32" s="45">
        <f t="shared" si="6"/>
        <v>25731924.684987821</v>
      </c>
      <c r="H32" s="45">
        <f t="shared" si="6"/>
        <v>20944856.835550793</v>
      </c>
      <c r="I32" s="45">
        <f t="shared" si="6"/>
        <v>16839355.740099456</v>
      </c>
      <c r="J32" s="45">
        <f t="shared" si="6"/>
        <v>16347933.798963021</v>
      </c>
      <c r="K32" s="45">
        <f t="shared" si="6"/>
        <v>17149486.780110728</v>
      </c>
      <c r="L32" s="45">
        <f t="shared" si="6"/>
        <v>16619314.449440271</v>
      </c>
      <c r="M32" s="45">
        <f t="shared" si="6"/>
        <v>15871427.452317949</v>
      </c>
      <c r="N32" s="45">
        <f t="shared" si="6"/>
        <v>20326275.854981624</v>
      </c>
      <c r="O32" s="45">
        <f t="shared" si="6"/>
        <v>25615431.117120609</v>
      </c>
      <c r="P32" s="45">
        <f t="shared" si="6"/>
        <v>31340496.009722147</v>
      </c>
      <c r="Q32" s="47">
        <f>SUM(E32:P32)</f>
        <v>262261142.1513696</v>
      </c>
    </row>
    <row r="33" spans="1:17" x14ac:dyDescent="0.2">
      <c r="A33" s="29">
        <f t="shared" si="0"/>
        <v>25</v>
      </c>
      <c r="B33" s="29"/>
      <c r="C33" s="28"/>
      <c r="D33" s="48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7"/>
    </row>
    <row r="34" spans="1:17" x14ac:dyDescent="0.2">
      <c r="A34" s="29">
        <f t="shared" ref="A34:A48" si="7">A33+1</f>
        <v>26</v>
      </c>
      <c r="B34" s="35" t="str">
        <f>B13</f>
        <v>Schedules 8 &amp; 24</v>
      </c>
      <c r="D34" s="29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7"/>
    </row>
    <row r="35" spans="1:17" x14ac:dyDescent="0.2">
      <c r="A35" s="29">
        <f t="shared" si="7"/>
        <v>27</v>
      </c>
      <c r="B35" s="29"/>
      <c r="C35" s="28" t="s">
        <v>67</v>
      </c>
      <c r="D35" s="29" t="str">
        <f>$D$31</f>
        <v>JAP-12 Page 1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>
        <f>'JAP-12 Page 1'!E13</f>
        <v>65894589.768768132</v>
      </c>
    </row>
    <row r="36" spans="1:17" x14ac:dyDescent="0.2">
      <c r="A36" s="29">
        <f t="shared" si="7"/>
        <v>28</v>
      </c>
      <c r="B36" s="29"/>
      <c r="C36" s="28" t="s">
        <v>73</v>
      </c>
      <c r="D36" s="29" t="str">
        <f>"("&amp;A$15&amp;") x ("&amp;A35&amp;")"</f>
        <v>(7) x (27)</v>
      </c>
      <c r="E36" s="45">
        <f t="shared" ref="E36:P36" si="8">$Q35*E$15</f>
        <v>6549706.182395081</v>
      </c>
      <c r="F36" s="45">
        <f t="shared" si="8"/>
        <v>5546575.4843052309</v>
      </c>
      <c r="G36" s="45">
        <f t="shared" si="8"/>
        <v>5972211.4449172476</v>
      </c>
      <c r="H36" s="45">
        <f t="shared" si="8"/>
        <v>5160917.9615146369</v>
      </c>
      <c r="I36" s="45">
        <f t="shared" si="8"/>
        <v>5076382.4565983126</v>
      </c>
      <c r="J36" s="45">
        <f t="shared" si="8"/>
        <v>4884694.7285642531</v>
      </c>
      <c r="K36" s="45">
        <f t="shared" si="8"/>
        <v>5328507.3660945008</v>
      </c>
      <c r="L36" s="45">
        <f t="shared" si="8"/>
        <v>5362316.7585040731</v>
      </c>
      <c r="M36" s="45">
        <f t="shared" si="8"/>
        <v>4785994.2998522287</v>
      </c>
      <c r="N36" s="45">
        <f t="shared" si="8"/>
        <v>5263160.8550554756</v>
      </c>
      <c r="O36" s="45">
        <f t="shared" si="8"/>
        <v>5760991.333050875</v>
      </c>
      <c r="P36" s="45">
        <f t="shared" si="8"/>
        <v>6203130.8979162164</v>
      </c>
      <c r="Q36" s="47">
        <f>SUM(E36:P36)</f>
        <v>65894589.768768132</v>
      </c>
    </row>
    <row r="37" spans="1:17" x14ac:dyDescent="0.2">
      <c r="A37" s="29">
        <f t="shared" si="7"/>
        <v>29</v>
      </c>
      <c r="B37" s="29"/>
      <c r="C37" s="28"/>
      <c r="D37" s="48"/>
      <c r="E37" s="47"/>
      <c r="F37" s="47"/>
      <c r="G37" s="47"/>
      <c r="H37" s="47"/>
      <c r="I37" s="45"/>
      <c r="J37" s="45"/>
      <c r="K37" s="45"/>
      <c r="L37" s="45"/>
      <c r="M37" s="45"/>
      <c r="N37" s="45"/>
      <c r="O37" s="45"/>
      <c r="P37" s="45"/>
      <c r="Q37" s="47"/>
    </row>
    <row r="38" spans="1:17" x14ac:dyDescent="0.2">
      <c r="A38" s="29">
        <f t="shared" si="7"/>
        <v>30</v>
      </c>
      <c r="B38" s="35" t="str">
        <f>B17</f>
        <v>Schedules 7A, 11, 25, 29, 35 &amp; 43</v>
      </c>
      <c r="D38" s="2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7"/>
    </row>
    <row r="39" spans="1:17" x14ac:dyDescent="0.2">
      <c r="A39" s="29">
        <f t="shared" si="7"/>
        <v>31</v>
      </c>
      <c r="B39" s="29"/>
      <c r="C39" s="28" t="s">
        <v>67</v>
      </c>
      <c r="D39" s="29" t="str">
        <f>$D$31</f>
        <v>JAP-12 Page 1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>
        <f>'JAP-12 Page 1'!F13</f>
        <v>75619389.310744733</v>
      </c>
    </row>
    <row r="40" spans="1:17" x14ac:dyDescent="0.2">
      <c r="A40" s="29">
        <f t="shared" si="7"/>
        <v>32</v>
      </c>
      <c r="B40" s="29"/>
      <c r="C40" s="28" t="s">
        <v>73</v>
      </c>
      <c r="D40" s="29" t="str">
        <f>"("&amp;A$19&amp;") x ("&amp;A39&amp;")"</f>
        <v>(11) x (31)</v>
      </c>
      <c r="E40" s="45">
        <f t="shared" ref="E40:P40" si="9">$Q39*E$19</f>
        <v>6866315.6418126486</v>
      </c>
      <c r="F40" s="45">
        <f t="shared" si="9"/>
        <v>6337609.5433554053</v>
      </c>
      <c r="G40" s="45">
        <f t="shared" si="9"/>
        <v>6717945.8144221976</v>
      </c>
      <c r="H40" s="45">
        <f t="shared" si="9"/>
        <v>6053623.8818551758</v>
      </c>
      <c r="I40" s="45">
        <f t="shared" si="9"/>
        <v>6217593.4835430766</v>
      </c>
      <c r="J40" s="45">
        <f t="shared" si="9"/>
        <v>5798747.4997135727</v>
      </c>
      <c r="K40" s="45">
        <f t="shared" si="9"/>
        <v>6509750.5444350261</v>
      </c>
      <c r="L40" s="45">
        <f t="shared" si="9"/>
        <v>6212367.0950755738</v>
      </c>
      <c r="M40" s="45">
        <f t="shared" si="9"/>
        <v>5625245.5254657287</v>
      </c>
      <c r="N40" s="45">
        <f t="shared" si="9"/>
        <v>6132788.2831344698</v>
      </c>
      <c r="O40" s="45">
        <f t="shared" si="9"/>
        <v>6289193.1510030124</v>
      </c>
      <c r="P40" s="45">
        <f t="shared" si="9"/>
        <v>6858208.8469288582</v>
      </c>
      <c r="Q40" s="47">
        <f>SUM(E40:P40)</f>
        <v>75619389.310744748</v>
      </c>
    </row>
    <row r="41" spans="1:17" x14ac:dyDescent="0.2">
      <c r="A41" s="29">
        <f t="shared" si="7"/>
        <v>33</v>
      </c>
      <c r="D41" s="29"/>
      <c r="E41" s="50"/>
      <c r="F41" s="50"/>
      <c r="G41" s="50"/>
      <c r="H41" s="50"/>
      <c r="I41" s="51"/>
      <c r="J41" s="51"/>
      <c r="K41" s="51"/>
      <c r="L41" s="51"/>
      <c r="M41" s="51"/>
      <c r="N41" s="51"/>
      <c r="O41" s="51"/>
      <c r="P41" s="51"/>
      <c r="Q41" s="51"/>
    </row>
    <row r="42" spans="1:17" x14ac:dyDescent="0.2">
      <c r="A42" s="29">
        <f t="shared" si="7"/>
        <v>34</v>
      </c>
      <c r="B42" s="35" t="str">
        <f>B21</f>
        <v>Schedules 12 &amp; 26</v>
      </c>
      <c r="D42" s="29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7"/>
    </row>
    <row r="43" spans="1:17" x14ac:dyDescent="0.2">
      <c r="A43" s="29">
        <f t="shared" si="7"/>
        <v>35</v>
      </c>
      <c r="B43" s="29"/>
      <c r="C43" s="28" t="s">
        <v>67</v>
      </c>
      <c r="D43" s="29" t="str">
        <f>$D$31</f>
        <v>JAP-12 Page 1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>
        <f>'JAP-12 Page 1'!G13</f>
        <v>46161962.588848248</v>
      </c>
    </row>
    <row r="44" spans="1:17" x14ac:dyDescent="0.2">
      <c r="A44" s="29">
        <f t="shared" si="7"/>
        <v>36</v>
      </c>
      <c r="B44" s="29"/>
      <c r="C44" s="28" t="s">
        <v>73</v>
      </c>
      <c r="D44" s="29" t="str">
        <f>"("&amp;A$23&amp;") x ("&amp;A43&amp;")"</f>
        <v>(15) x (35)</v>
      </c>
      <c r="E44" s="45">
        <f t="shared" ref="E44:P44" si="10">$Q43*E$23</f>
        <v>3399789.4798094882</v>
      </c>
      <c r="F44" s="45">
        <f t="shared" si="10"/>
        <v>4097292.1128547266</v>
      </c>
      <c r="G44" s="45">
        <f t="shared" si="10"/>
        <v>3653512.4458494443</v>
      </c>
      <c r="H44" s="45">
        <f t="shared" si="10"/>
        <v>3604080.3697707113</v>
      </c>
      <c r="I44" s="45">
        <f t="shared" si="10"/>
        <v>3829391.1865794878</v>
      </c>
      <c r="J44" s="45">
        <f t="shared" si="10"/>
        <v>3838996.5083150645</v>
      </c>
      <c r="K44" s="45">
        <f t="shared" si="10"/>
        <v>4260978.0545384912</v>
      </c>
      <c r="L44" s="45">
        <f t="shared" si="10"/>
        <v>4208058.7457911056</v>
      </c>
      <c r="M44" s="45">
        <f t="shared" si="10"/>
        <v>3825094.8935900838</v>
      </c>
      <c r="N44" s="45">
        <f t="shared" si="10"/>
        <v>4014785.5859631877</v>
      </c>
      <c r="O44" s="45">
        <f t="shared" si="10"/>
        <v>3552363.7848915411</v>
      </c>
      <c r="P44" s="45">
        <f t="shared" si="10"/>
        <v>3877619.4208949134</v>
      </c>
      <c r="Q44" s="47">
        <f>SUM(E44:P44)</f>
        <v>46161962.588848248</v>
      </c>
    </row>
    <row r="45" spans="1:17" x14ac:dyDescent="0.2">
      <c r="A45" s="29">
        <f t="shared" si="7"/>
        <v>37</v>
      </c>
      <c r="D45" s="29"/>
      <c r="E45" s="50"/>
      <c r="F45" s="50"/>
      <c r="G45" s="50"/>
      <c r="H45" s="50"/>
      <c r="I45" s="51"/>
      <c r="J45" s="51"/>
      <c r="K45" s="51"/>
      <c r="L45" s="51"/>
      <c r="M45" s="51"/>
      <c r="N45" s="51"/>
      <c r="O45" s="51"/>
      <c r="P45" s="51"/>
      <c r="Q45" s="51"/>
    </row>
    <row r="46" spans="1:17" x14ac:dyDescent="0.2">
      <c r="A46" s="29">
        <f t="shared" si="7"/>
        <v>38</v>
      </c>
      <c r="B46" s="35" t="str">
        <f>B25</f>
        <v>Schedules 10 &amp; 31</v>
      </c>
      <c r="D46" s="2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7"/>
    </row>
    <row r="47" spans="1:17" x14ac:dyDescent="0.2">
      <c r="A47" s="29">
        <f t="shared" si="7"/>
        <v>39</v>
      </c>
      <c r="B47" s="29"/>
      <c r="C47" s="28" t="s">
        <v>67</v>
      </c>
      <c r="D47" s="29" t="str">
        <f>$D$31</f>
        <v>JAP-12 Page 1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>
        <f>'JAP-12 Page 1'!H13</f>
        <v>32160561.101170063</v>
      </c>
    </row>
    <row r="48" spans="1:17" x14ac:dyDescent="0.2">
      <c r="A48" s="29">
        <f t="shared" si="7"/>
        <v>40</v>
      </c>
      <c r="B48" s="29"/>
      <c r="C48" s="28" t="s">
        <v>73</v>
      </c>
      <c r="D48" s="29" t="str">
        <f>"("&amp;A$27&amp;") x ("&amp;A47&amp;")"</f>
        <v>(19) x (39)</v>
      </c>
      <c r="E48" s="45">
        <f t="shared" ref="E48:P48" si="11">$Q47*E$27</f>
        <v>2856578.7459419528</v>
      </c>
      <c r="F48" s="45">
        <f t="shared" si="11"/>
        <v>2678453.6049559475</v>
      </c>
      <c r="G48" s="45">
        <f t="shared" si="11"/>
        <v>2623019.0589741026</v>
      </c>
      <c r="H48" s="45">
        <f t="shared" si="11"/>
        <v>2682996.4732451788</v>
      </c>
      <c r="I48" s="45">
        <f t="shared" si="11"/>
        <v>2656630.8642968009</v>
      </c>
      <c r="J48" s="45">
        <f t="shared" si="11"/>
        <v>2660990.7618856127</v>
      </c>
      <c r="K48" s="45">
        <f t="shared" si="11"/>
        <v>2749372.3405034626</v>
      </c>
      <c r="L48" s="45">
        <f t="shared" si="11"/>
        <v>2608770.9373004232</v>
      </c>
      <c r="M48" s="45">
        <f t="shared" si="11"/>
        <v>2605176.4059308092</v>
      </c>
      <c r="N48" s="45">
        <f t="shared" si="11"/>
        <v>2900563.7692123046</v>
      </c>
      <c r="O48" s="45">
        <f t="shared" si="11"/>
        <v>2429740.075441489</v>
      </c>
      <c r="P48" s="45">
        <f t="shared" si="11"/>
        <v>2708268.0634819847</v>
      </c>
      <c r="Q48" s="47">
        <f>SUM(E48:P48)</f>
        <v>32160561.10117007</v>
      </c>
    </row>
    <row r="49" spans="1:17" x14ac:dyDescent="0.2">
      <c r="A49" s="29"/>
      <c r="B49" s="29"/>
      <c r="C49" s="28"/>
      <c r="D49" s="2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7"/>
    </row>
    <row r="50" spans="1:17" x14ac:dyDescent="0.2">
      <c r="E50" s="50"/>
      <c r="F50" s="50"/>
      <c r="G50" s="50"/>
      <c r="H50" s="50"/>
      <c r="I50" s="51"/>
      <c r="J50" s="51"/>
      <c r="K50" s="51"/>
      <c r="L50" s="51"/>
      <c r="M50" s="51"/>
      <c r="N50" s="51"/>
      <c r="O50" s="51"/>
      <c r="P50" s="51"/>
      <c r="Q50" s="51"/>
    </row>
    <row r="51" spans="1:17" x14ac:dyDescent="0.2">
      <c r="B51" s="28" t="s">
        <v>86</v>
      </c>
      <c r="E51" s="52"/>
      <c r="F51" s="52"/>
      <c r="G51" s="52"/>
      <c r="H51" s="52"/>
      <c r="I51" s="53"/>
      <c r="J51" s="53"/>
      <c r="K51" s="53"/>
      <c r="L51" s="53"/>
      <c r="M51" s="53"/>
      <c r="N51" s="53"/>
      <c r="O51" s="53"/>
      <c r="P51" s="53"/>
      <c r="Q51" s="53"/>
    </row>
    <row r="52" spans="1:17" x14ac:dyDescent="0.2">
      <c r="E52" s="52"/>
      <c r="F52" s="52"/>
      <c r="G52" s="52"/>
      <c r="H52" s="52"/>
      <c r="I52" s="53"/>
      <c r="J52" s="53"/>
      <c r="K52" s="53"/>
      <c r="L52" s="53"/>
      <c r="M52" s="53"/>
      <c r="N52" s="53"/>
      <c r="O52" s="53"/>
      <c r="P52" s="53"/>
      <c r="Q52" s="53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7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activeCell="C20" sqref="C20"/>
    </sheetView>
  </sheetViews>
  <sheetFormatPr defaultRowHeight="11.25" x14ac:dyDescent="0.2"/>
  <cols>
    <col min="1" max="1" width="3.85546875" style="1" bestFit="1" customWidth="1"/>
    <col min="2" max="2" width="29.28515625" style="1" bestFit="1" customWidth="1"/>
    <col min="3" max="3" width="11.5703125" style="1" bestFit="1" customWidth="1"/>
    <col min="4" max="4" width="0.85546875" style="1" customWidth="1"/>
    <col min="5" max="5" width="13.140625" style="1" bestFit="1" customWidth="1"/>
    <col min="6" max="6" width="11.7109375" style="1" bestFit="1" customWidth="1"/>
    <col min="7" max="8" width="15" style="1" bestFit="1" customWidth="1"/>
    <col min="9" max="9" width="13.28515625" style="1" bestFit="1" customWidth="1"/>
    <col min="10" max="10" width="11.140625" style="1" bestFit="1" customWidth="1"/>
    <col min="11" max="11" width="9.5703125" style="1" bestFit="1" customWidth="1"/>
    <col min="12" max="12" width="12.42578125" style="1" bestFit="1" customWidth="1"/>
    <col min="13" max="13" width="11.28515625" style="1" bestFit="1" customWidth="1"/>
    <col min="14" max="14" width="10.28515625" style="1" bestFit="1" customWidth="1"/>
    <col min="15" max="15" width="10.5703125" style="1" bestFit="1" customWidth="1"/>
    <col min="16" max="16" width="9.5703125" style="1" bestFit="1" customWidth="1"/>
    <col min="17" max="255" width="8.85546875" style="1"/>
    <col min="256" max="256" width="5.28515625" style="1" customWidth="1"/>
    <col min="257" max="257" width="37.28515625" style="1" bestFit="1" customWidth="1"/>
    <col min="258" max="258" width="15.28515625" style="1" customWidth="1"/>
    <col min="259" max="259" width="3.28515625" style="1" customWidth="1"/>
    <col min="260" max="262" width="15.28515625" style="1" customWidth="1"/>
    <col min="263" max="263" width="14" style="1" customWidth="1"/>
    <col min="264" max="264" width="14.28515625" style="1" customWidth="1"/>
    <col min="265" max="265" width="11.85546875" style="1" customWidth="1"/>
    <col min="266" max="266" width="14.42578125" style="1" customWidth="1"/>
    <col min="267" max="267" width="12.5703125" style="1" customWidth="1"/>
    <col min="268" max="270" width="15.28515625" style="1" customWidth="1"/>
    <col min="271" max="271" width="12.42578125" style="1" customWidth="1"/>
    <col min="272" max="272" width="15.28515625" style="1" customWidth="1"/>
    <col min="273" max="511" width="8.85546875" style="1"/>
    <col min="512" max="512" width="5.28515625" style="1" customWidth="1"/>
    <col min="513" max="513" width="37.28515625" style="1" bestFit="1" customWidth="1"/>
    <col min="514" max="514" width="15.28515625" style="1" customWidth="1"/>
    <col min="515" max="515" width="3.28515625" style="1" customWidth="1"/>
    <col min="516" max="518" width="15.28515625" style="1" customWidth="1"/>
    <col min="519" max="519" width="14" style="1" customWidth="1"/>
    <col min="520" max="520" width="14.28515625" style="1" customWidth="1"/>
    <col min="521" max="521" width="11.85546875" style="1" customWidth="1"/>
    <col min="522" max="522" width="14.42578125" style="1" customWidth="1"/>
    <col min="523" max="523" width="12.5703125" style="1" customWidth="1"/>
    <col min="524" max="526" width="15.28515625" style="1" customWidth="1"/>
    <col min="527" max="527" width="12.42578125" style="1" customWidth="1"/>
    <col min="528" max="528" width="15.28515625" style="1" customWidth="1"/>
    <col min="529" max="767" width="8.85546875" style="1"/>
    <col min="768" max="768" width="5.28515625" style="1" customWidth="1"/>
    <col min="769" max="769" width="37.28515625" style="1" bestFit="1" customWidth="1"/>
    <col min="770" max="770" width="15.28515625" style="1" customWidth="1"/>
    <col min="771" max="771" width="3.28515625" style="1" customWidth="1"/>
    <col min="772" max="774" width="15.28515625" style="1" customWidth="1"/>
    <col min="775" max="775" width="14" style="1" customWidth="1"/>
    <col min="776" max="776" width="14.28515625" style="1" customWidth="1"/>
    <col min="777" max="777" width="11.85546875" style="1" customWidth="1"/>
    <col min="778" max="778" width="14.42578125" style="1" customWidth="1"/>
    <col min="779" max="779" width="12.5703125" style="1" customWidth="1"/>
    <col min="780" max="782" width="15.28515625" style="1" customWidth="1"/>
    <col min="783" max="783" width="12.42578125" style="1" customWidth="1"/>
    <col min="784" max="784" width="15.28515625" style="1" customWidth="1"/>
    <col min="785" max="1023" width="8.85546875" style="1"/>
    <col min="1024" max="1024" width="5.28515625" style="1" customWidth="1"/>
    <col min="1025" max="1025" width="37.28515625" style="1" bestFit="1" customWidth="1"/>
    <col min="1026" max="1026" width="15.28515625" style="1" customWidth="1"/>
    <col min="1027" max="1027" width="3.28515625" style="1" customWidth="1"/>
    <col min="1028" max="1030" width="15.28515625" style="1" customWidth="1"/>
    <col min="1031" max="1031" width="14" style="1" customWidth="1"/>
    <col min="1032" max="1032" width="14.28515625" style="1" customWidth="1"/>
    <col min="1033" max="1033" width="11.85546875" style="1" customWidth="1"/>
    <col min="1034" max="1034" width="14.42578125" style="1" customWidth="1"/>
    <col min="1035" max="1035" width="12.5703125" style="1" customWidth="1"/>
    <col min="1036" max="1038" width="15.28515625" style="1" customWidth="1"/>
    <col min="1039" max="1039" width="12.42578125" style="1" customWidth="1"/>
    <col min="1040" max="1040" width="15.28515625" style="1" customWidth="1"/>
    <col min="1041" max="1279" width="8.85546875" style="1"/>
    <col min="1280" max="1280" width="5.28515625" style="1" customWidth="1"/>
    <col min="1281" max="1281" width="37.28515625" style="1" bestFit="1" customWidth="1"/>
    <col min="1282" max="1282" width="15.28515625" style="1" customWidth="1"/>
    <col min="1283" max="1283" width="3.28515625" style="1" customWidth="1"/>
    <col min="1284" max="1286" width="15.28515625" style="1" customWidth="1"/>
    <col min="1287" max="1287" width="14" style="1" customWidth="1"/>
    <col min="1288" max="1288" width="14.28515625" style="1" customWidth="1"/>
    <col min="1289" max="1289" width="11.85546875" style="1" customWidth="1"/>
    <col min="1290" max="1290" width="14.42578125" style="1" customWidth="1"/>
    <col min="1291" max="1291" width="12.5703125" style="1" customWidth="1"/>
    <col min="1292" max="1294" width="15.28515625" style="1" customWidth="1"/>
    <col min="1295" max="1295" width="12.42578125" style="1" customWidth="1"/>
    <col min="1296" max="1296" width="15.28515625" style="1" customWidth="1"/>
    <col min="1297" max="1535" width="8.85546875" style="1"/>
    <col min="1536" max="1536" width="5.28515625" style="1" customWidth="1"/>
    <col min="1537" max="1537" width="37.28515625" style="1" bestFit="1" customWidth="1"/>
    <col min="1538" max="1538" width="15.28515625" style="1" customWidth="1"/>
    <col min="1539" max="1539" width="3.28515625" style="1" customWidth="1"/>
    <col min="1540" max="1542" width="15.28515625" style="1" customWidth="1"/>
    <col min="1543" max="1543" width="14" style="1" customWidth="1"/>
    <col min="1544" max="1544" width="14.28515625" style="1" customWidth="1"/>
    <col min="1545" max="1545" width="11.85546875" style="1" customWidth="1"/>
    <col min="1546" max="1546" width="14.42578125" style="1" customWidth="1"/>
    <col min="1547" max="1547" width="12.5703125" style="1" customWidth="1"/>
    <col min="1548" max="1550" width="15.28515625" style="1" customWidth="1"/>
    <col min="1551" max="1551" width="12.42578125" style="1" customWidth="1"/>
    <col min="1552" max="1552" width="15.28515625" style="1" customWidth="1"/>
    <col min="1553" max="1791" width="8.85546875" style="1"/>
    <col min="1792" max="1792" width="5.28515625" style="1" customWidth="1"/>
    <col min="1793" max="1793" width="37.28515625" style="1" bestFit="1" customWidth="1"/>
    <col min="1794" max="1794" width="15.28515625" style="1" customWidth="1"/>
    <col min="1795" max="1795" width="3.28515625" style="1" customWidth="1"/>
    <col min="1796" max="1798" width="15.28515625" style="1" customWidth="1"/>
    <col min="1799" max="1799" width="14" style="1" customWidth="1"/>
    <col min="1800" max="1800" width="14.28515625" style="1" customWidth="1"/>
    <col min="1801" max="1801" width="11.85546875" style="1" customWidth="1"/>
    <col min="1802" max="1802" width="14.42578125" style="1" customWidth="1"/>
    <col min="1803" max="1803" width="12.5703125" style="1" customWidth="1"/>
    <col min="1804" max="1806" width="15.28515625" style="1" customWidth="1"/>
    <col min="1807" max="1807" width="12.42578125" style="1" customWidth="1"/>
    <col min="1808" max="1808" width="15.28515625" style="1" customWidth="1"/>
    <col min="1809" max="2047" width="8.85546875" style="1"/>
    <col min="2048" max="2048" width="5.28515625" style="1" customWidth="1"/>
    <col min="2049" max="2049" width="37.28515625" style="1" bestFit="1" customWidth="1"/>
    <col min="2050" max="2050" width="15.28515625" style="1" customWidth="1"/>
    <col min="2051" max="2051" width="3.28515625" style="1" customWidth="1"/>
    <col min="2052" max="2054" width="15.28515625" style="1" customWidth="1"/>
    <col min="2055" max="2055" width="14" style="1" customWidth="1"/>
    <col min="2056" max="2056" width="14.28515625" style="1" customWidth="1"/>
    <col min="2057" max="2057" width="11.85546875" style="1" customWidth="1"/>
    <col min="2058" max="2058" width="14.42578125" style="1" customWidth="1"/>
    <col min="2059" max="2059" width="12.5703125" style="1" customWidth="1"/>
    <col min="2060" max="2062" width="15.28515625" style="1" customWidth="1"/>
    <col min="2063" max="2063" width="12.42578125" style="1" customWidth="1"/>
    <col min="2064" max="2064" width="15.28515625" style="1" customWidth="1"/>
    <col min="2065" max="2303" width="8.85546875" style="1"/>
    <col min="2304" max="2304" width="5.28515625" style="1" customWidth="1"/>
    <col min="2305" max="2305" width="37.28515625" style="1" bestFit="1" customWidth="1"/>
    <col min="2306" max="2306" width="15.28515625" style="1" customWidth="1"/>
    <col min="2307" max="2307" width="3.28515625" style="1" customWidth="1"/>
    <col min="2308" max="2310" width="15.28515625" style="1" customWidth="1"/>
    <col min="2311" max="2311" width="14" style="1" customWidth="1"/>
    <col min="2312" max="2312" width="14.28515625" style="1" customWidth="1"/>
    <col min="2313" max="2313" width="11.85546875" style="1" customWidth="1"/>
    <col min="2314" max="2314" width="14.42578125" style="1" customWidth="1"/>
    <col min="2315" max="2315" width="12.5703125" style="1" customWidth="1"/>
    <col min="2316" max="2318" width="15.28515625" style="1" customWidth="1"/>
    <col min="2319" max="2319" width="12.42578125" style="1" customWidth="1"/>
    <col min="2320" max="2320" width="15.28515625" style="1" customWidth="1"/>
    <col min="2321" max="2559" width="8.85546875" style="1"/>
    <col min="2560" max="2560" width="5.28515625" style="1" customWidth="1"/>
    <col min="2561" max="2561" width="37.28515625" style="1" bestFit="1" customWidth="1"/>
    <col min="2562" max="2562" width="15.28515625" style="1" customWidth="1"/>
    <col min="2563" max="2563" width="3.28515625" style="1" customWidth="1"/>
    <col min="2564" max="2566" width="15.28515625" style="1" customWidth="1"/>
    <col min="2567" max="2567" width="14" style="1" customWidth="1"/>
    <col min="2568" max="2568" width="14.28515625" style="1" customWidth="1"/>
    <col min="2569" max="2569" width="11.85546875" style="1" customWidth="1"/>
    <col min="2570" max="2570" width="14.42578125" style="1" customWidth="1"/>
    <col min="2571" max="2571" width="12.5703125" style="1" customWidth="1"/>
    <col min="2572" max="2574" width="15.28515625" style="1" customWidth="1"/>
    <col min="2575" max="2575" width="12.42578125" style="1" customWidth="1"/>
    <col min="2576" max="2576" width="15.28515625" style="1" customWidth="1"/>
    <col min="2577" max="2815" width="8.85546875" style="1"/>
    <col min="2816" max="2816" width="5.28515625" style="1" customWidth="1"/>
    <col min="2817" max="2817" width="37.28515625" style="1" bestFit="1" customWidth="1"/>
    <col min="2818" max="2818" width="15.28515625" style="1" customWidth="1"/>
    <col min="2819" max="2819" width="3.28515625" style="1" customWidth="1"/>
    <col min="2820" max="2822" width="15.28515625" style="1" customWidth="1"/>
    <col min="2823" max="2823" width="14" style="1" customWidth="1"/>
    <col min="2824" max="2824" width="14.28515625" style="1" customWidth="1"/>
    <col min="2825" max="2825" width="11.85546875" style="1" customWidth="1"/>
    <col min="2826" max="2826" width="14.42578125" style="1" customWidth="1"/>
    <col min="2827" max="2827" width="12.5703125" style="1" customWidth="1"/>
    <col min="2828" max="2830" width="15.28515625" style="1" customWidth="1"/>
    <col min="2831" max="2831" width="12.42578125" style="1" customWidth="1"/>
    <col min="2832" max="2832" width="15.28515625" style="1" customWidth="1"/>
    <col min="2833" max="3071" width="8.85546875" style="1"/>
    <col min="3072" max="3072" width="5.28515625" style="1" customWidth="1"/>
    <col min="3073" max="3073" width="37.28515625" style="1" bestFit="1" customWidth="1"/>
    <col min="3074" max="3074" width="15.28515625" style="1" customWidth="1"/>
    <col min="3075" max="3075" width="3.28515625" style="1" customWidth="1"/>
    <col min="3076" max="3078" width="15.28515625" style="1" customWidth="1"/>
    <col min="3079" max="3079" width="14" style="1" customWidth="1"/>
    <col min="3080" max="3080" width="14.28515625" style="1" customWidth="1"/>
    <col min="3081" max="3081" width="11.85546875" style="1" customWidth="1"/>
    <col min="3082" max="3082" width="14.42578125" style="1" customWidth="1"/>
    <col min="3083" max="3083" width="12.5703125" style="1" customWidth="1"/>
    <col min="3084" max="3086" width="15.28515625" style="1" customWidth="1"/>
    <col min="3087" max="3087" width="12.42578125" style="1" customWidth="1"/>
    <col min="3088" max="3088" width="15.28515625" style="1" customWidth="1"/>
    <col min="3089" max="3327" width="8.85546875" style="1"/>
    <col min="3328" max="3328" width="5.28515625" style="1" customWidth="1"/>
    <col min="3329" max="3329" width="37.28515625" style="1" bestFit="1" customWidth="1"/>
    <col min="3330" max="3330" width="15.28515625" style="1" customWidth="1"/>
    <col min="3331" max="3331" width="3.28515625" style="1" customWidth="1"/>
    <col min="3332" max="3334" width="15.28515625" style="1" customWidth="1"/>
    <col min="3335" max="3335" width="14" style="1" customWidth="1"/>
    <col min="3336" max="3336" width="14.28515625" style="1" customWidth="1"/>
    <col min="3337" max="3337" width="11.85546875" style="1" customWidth="1"/>
    <col min="3338" max="3338" width="14.42578125" style="1" customWidth="1"/>
    <col min="3339" max="3339" width="12.5703125" style="1" customWidth="1"/>
    <col min="3340" max="3342" width="15.28515625" style="1" customWidth="1"/>
    <col min="3343" max="3343" width="12.42578125" style="1" customWidth="1"/>
    <col min="3344" max="3344" width="15.28515625" style="1" customWidth="1"/>
    <col min="3345" max="3583" width="8.85546875" style="1"/>
    <col min="3584" max="3584" width="5.28515625" style="1" customWidth="1"/>
    <col min="3585" max="3585" width="37.28515625" style="1" bestFit="1" customWidth="1"/>
    <col min="3586" max="3586" width="15.28515625" style="1" customWidth="1"/>
    <col min="3587" max="3587" width="3.28515625" style="1" customWidth="1"/>
    <col min="3588" max="3590" width="15.28515625" style="1" customWidth="1"/>
    <col min="3591" max="3591" width="14" style="1" customWidth="1"/>
    <col min="3592" max="3592" width="14.28515625" style="1" customWidth="1"/>
    <col min="3593" max="3593" width="11.85546875" style="1" customWidth="1"/>
    <col min="3594" max="3594" width="14.42578125" style="1" customWidth="1"/>
    <col min="3595" max="3595" width="12.5703125" style="1" customWidth="1"/>
    <col min="3596" max="3598" width="15.28515625" style="1" customWidth="1"/>
    <col min="3599" max="3599" width="12.42578125" style="1" customWidth="1"/>
    <col min="3600" max="3600" width="15.28515625" style="1" customWidth="1"/>
    <col min="3601" max="3839" width="8.85546875" style="1"/>
    <col min="3840" max="3840" width="5.28515625" style="1" customWidth="1"/>
    <col min="3841" max="3841" width="37.28515625" style="1" bestFit="1" customWidth="1"/>
    <col min="3842" max="3842" width="15.28515625" style="1" customWidth="1"/>
    <col min="3843" max="3843" width="3.28515625" style="1" customWidth="1"/>
    <col min="3844" max="3846" width="15.28515625" style="1" customWidth="1"/>
    <col min="3847" max="3847" width="14" style="1" customWidth="1"/>
    <col min="3848" max="3848" width="14.28515625" style="1" customWidth="1"/>
    <col min="3849" max="3849" width="11.85546875" style="1" customWidth="1"/>
    <col min="3850" max="3850" width="14.42578125" style="1" customWidth="1"/>
    <col min="3851" max="3851" width="12.5703125" style="1" customWidth="1"/>
    <col min="3852" max="3854" width="15.28515625" style="1" customWidth="1"/>
    <col min="3855" max="3855" width="12.42578125" style="1" customWidth="1"/>
    <col min="3856" max="3856" width="15.28515625" style="1" customWidth="1"/>
    <col min="3857" max="4095" width="8.85546875" style="1"/>
    <col min="4096" max="4096" width="5.28515625" style="1" customWidth="1"/>
    <col min="4097" max="4097" width="37.28515625" style="1" bestFit="1" customWidth="1"/>
    <col min="4098" max="4098" width="15.28515625" style="1" customWidth="1"/>
    <col min="4099" max="4099" width="3.28515625" style="1" customWidth="1"/>
    <col min="4100" max="4102" width="15.28515625" style="1" customWidth="1"/>
    <col min="4103" max="4103" width="14" style="1" customWidth="1"/>
    <col min="4104" max="4104" width="14.28515625" style="1" customWidth="1"/>
    <col min="4105" max="4105" width="11.85546875" style="1" customWidth="1"/>
    <col min="4106" max="4106" width="14.42578125" style="1" customWidth="1"/>
    <col min="4107" max="4107" width="12.5703125" style="1" customWidth="1"/>
    <col min="4108" max="4110" width="15.28515625" style="1" customWidth="1"/>
    <col min="4111" max="4111" width="12.42578125" style="1" customWidth="1"/>
    <col min="4112" max="4112" width="15.28515625" style="1" customWidth="1"/>
    <col min="4113" max="4351" width="8.85546875" style="1"/>
    <col min="4352" max="4352" width="5.28515625" style="1" customWidth="1"/>
    <col min="4353" max="4353" width="37.28515625" style="1" bestFit="1" customWidth="1"/>
    <col min="4354" max="4354" width="15.28515625" style="1" customWidth="1"/>
    <col min="4355" max="4355" width="3.28515625" style="1" customWidth="1"/>
    <col min="4356" max="4358" width="15.28515625" style="1" customWidth="1"/>
    <col min="4359" max="4359" width="14" style="1" customWidth="1"/>
    <col min="4360" max="4360" width="14.28515625" style="1" customWidth="1"/>
    <col min="4361" max="4361" width="11.85546875" style="1" customWidth="1"/>
    <col min="4362" max="4362" width="14.42578125" style="1" customWidth="1"/>
    <col min="4363" max="4363" width="12.5703125" style="1" customWidth="1"/>
    <col min="4364" max="4366" width="15.28515625" style="1" customWidth="1"/>
    <col min="4367" max="4367" width="12.42578125" style="1" customWidth="1"/>
    <col min="4368" max="4368" width="15.28515625" style="1" customWidth="1"/>
    <col min="4369" max="4607" width="8.85546875" style="1"/>
    <col min="4608" max="4608" width="5.28515625" style="1" customWidth="1"/>
    <col min="4609" max="4609" width="37.28515625" style="1" bestFit="1" customWidth="1"/>
    <col min="4610" max="4610" width="15.28515625" style="1" customWidth="1"/>
    <col min="4611" max="4611" width="3.28515625" style="1" customWidth="1"/>
    <col min="4612" max="4614" width="15.28515625" style="1" customWidth="1"/>
    <col min="4615" max="4615" width="14" style="1" customWidth="1"/>
    <col min="4616" max="4616" width="14.28515625" style="1" customWidth="1"/>
    <col min="4617" max="4617" width="11.85546875" style="1" customWidth="1"/>
    <col min="4618" max="4618" width="14.42578125" style="1" customWidth="1"/>
    <col min="4619" max="4619" width="12.5703125" style="1" customWidth="1"/>
    <col min="4620" max="4622" width="15.28515625" style="1" customWidth="1"/>
    <col min="4623" max="4623" width="12.42578125" style="1" customWidth="1"/>
    <col min="4624" max="4624" width="15.28515625" style="1" customWidth="1"/>
    <col min="4625" max="4863" width="8.85546875" style="1"/>
    <col min="4864" max="4864" width="5.28515625" style="1" customWidth="1"/>
    <col min="4865" max="4865" width="37.28515625" style="1" bestFit="1" customWidth="1"/>
    <col min="4866" max="4866" width="15.28515625" style="1" customWidth="1"/>
    <col min="4867" max="4867" width="3.28515625" style="1" customWidth="1"/>
    <col min="4868" max="4870" width="15.28515625" style="1" customWidth="1"/>
    <col min="4871" max="4871" width="14" style="1" customWidth="1"/>
    <col min="4872" max="4872" width="14.28515625" style="1" customWidth="1"/>
    <col min="4873" max="4873" width="11.85546875" style="1" customWidth="1"/>
    <col min="4874" max="4874" width="14.42578125" style="1" customWidth="1"/>
    <col min="4875" max="4875" width="12.5703125" style="1" customWidth="1"/>
    <col min="4876" max="4878" width="15.28515625" style="1" customWidth="1"/>
    <col min="4879" max="4879" width="12.42578125" style="1" customWidth="1"/>
    <col min="4880" max="4880" width="15.28515625" style="1" customWidth="1"/>
    <col min="4881" max="5119" width="8.85546875" style="1"/>
    <col min="5120" max="5120" width="5.28515625" style="1" customWidth="1"/>
    <col min="5121" max="5121" width="37.28515625" style="1" bestFit="1" customWidth="1"/>
    <col min="5122" max="5122" width="15.28515625" style="1" customWidth="1"/>
    <col min="5123" max="5123" width="3.28515625" style="1" customWidth="1"/>
    <col min="5124" max="5126" width="15.28515625" style="1" customWidth="1"/>
    <col min="5127" max="5127" width="14" style="1" customWidth="1"/>
    <col min="5128" max="5128" width="14.28515625" style="1" customWidth="1"/>
    <col min="5129" max="5129" width="11.85546875" style="1" customWidth="1"/>
    <col min="5130" max="5130" width="14.42578125" style="1" customWidth="1"/>
    <col min="5131" max="5131" width="12.5703125" style="1" customWidth="1"/>
    <col min="5132" max="5134" width="15.28515625" style="1" customWidth="1"/>
    <col min="5135" max="5135" width="12.42578125" style="1" customWidth="1"/>
    <col min="5136" max="5136" width="15.28515625" style="1" customWidth="1"/>
    <col min="5137" max="5375" width="8.85546875" style="1"/>
    <col min="5376" max="5376" width="5.28515625" style="1" customWidth="1"/>
    <col min="5377" max="5377" width="37.28515625" style="1" bestFit="1" customWidth="1"/>
    <col min="5378" max="5378" width="15.28515625" style="1" customWidth="1"/>
    <col min="5379" max="5379" width="3.28515625" style="1" customWidth="1"/>
    <col min="5380" max="5382" width="15.28515625" style="1" customWidth="1"/>
    <col min="5383" max="5383" width="14" style="1" customWidth="1"/>
    <col min="5384" max="5384" width="14.28515625" style="1" customWidth="1"/>
    <col min="5385" max="5385" width="11.85546875" style="1" customWidth="1"/>
    <col min="5386" max="5386" width="14.42578125" style="1" customWidth="1"/>
    <col min="5387" max="5387" width="12.5703125" style="1" customWidth="1"/>
    <col min="5388" max="5390" width="15.28515625" style="1" customWidth="1"/>
    <col min="5391" max="5391" width="12.42578125" style="1" customWidth="1"/>
    <col min="5392" max="5392" width="15.28515625" style="1" customWidth="1"/>
    <col min="5393" max="5631" width="8.85546875" style="1"/>
    <col min="5632" max="5632" width="5.28515625" style="1" customWidth="1"/>
    <col min="5633" max="5633" width="37.28515625" style="1" bestFit="1" customWidth="1"/>
    <col min="5634" max="5634" width="15.28515625" style="1" customWidth="1"/>
    <col min="5635" max="5635" width="3.28515625" style="1" customWidth="1"/>
    <col min="5636" max="5638" width="15.28515625" style="1" customWidth="1"/>
    <col min="5639" max="5639" width="14" style="1" customWidth="1"/>
    <col min="5640" max="5640" width="14.28515625" style="1" customWidth="1"/>
    <col min="5641" max="5641" width="11.85546875" style="1" customWidth="1"/>
    <col min="5642" max="5642" width="14.42578125" style="1" customWidth="1"/>
    <col min="5643" max="5643" width="12.5703125" style="1" customWidth="1"/>
    <col min="5644" max="5646" width="15.28515625" style="1" customWidth="1"/>
    <col min="5647" max="5647" width="12.42578125" style="1" customWidth="1"/>
    <col min="5648" max="5648" width="15.28515625" style="1" customWidth="1"/>
    <col min="5649" max="5887" width="8.85546875" style="1"/>
    <col min="5888" max="5888" width="5.28515625" style="1" customWidth="1"/>
    <col min="5889" max="5889" width="37.28515625" style="1" bestFit="1" customWidth="1"/>
    <col min="5890" max="5890" width="15.28515625" style="1" customWidth="1"/>
    <col min="5891" max="5891" width="3.28515625" style="1" customWidth="1"/>
    <col min="5892" max="5894" width="15.28515625" style="1" customWidth="1"/>
    <col min="5895" max="5895" width="14" style="1" customWidth="1"/>
    <col min="5896" max="5896" width="14.28515625" style="1" customWidth="1"/>
    <col min="5897" max="5897" width="11.85546875" style="1" customWidth="1"/>
    <col min="5898" max="5898" width="14.42578125" style="1" customWidth="1"/>
    <col min="5899" max="5899" width="12.5703125" style="1" customWidth="1"/>
    <col min="5900" max="5902" width="15.28515625" style="1" customWidth="1"/>
    <col min="5903" max="5903" width="12.42578125" style="1" customWidth="1"/>
    <col min="5904" max="5904" width="15.28515625" style="1" customWidth="1"/>
    <col min="5905" max="6143" width="8.85546875" style="1"/>
    <col min="6144" max="6144" width="5.28515625" style="1" customWidth="1"/>
    <col min="6145" max="6145" width="37.28515625" style="1" bestFit="1" customWidth="1"/>
    <col min="6146" max="6146" width="15.28515625" style="1" customWidth="1"/>
    <col min="6147" max="6147" width="3.28515625" style="1" customWidth="1"/>
    <col min="6148" max="6150" width="15.28515625" style="1" customWidth="1"/>
    <col min="6151" max="6151" width="14" style="1" customWidth="1"/>
    <col min="6152" max="6152" width="14.28515625" style="1" customWidth="1"/>
    <col min="6153" max="6153" width="11.85546875" style="1" customWidth="1"/>
    <col min="6154" max="6154" width="14.42578125" style="1" customWidth="1"/>
    <col min="6155" max="6155" width="12.5703125" style="1" customWidth="1"/>
    <col min="6156" max="6158" width="15.28515625" style="1" customWidth="1"/>
    <col min="6159" max="6159" width="12.42578125" style="1" customWidth="1"/>
    <col min="6160" max="6160" width="15.28515625" style="1" customWidth="1"/>
    <col min="6161" max="6399" width="8.85546875" style="1"/>
    <col min="6400" max="6400" width="5.28515625" style="1" customWidth="1"/>
    <col min="6401" max="6401" width="37.28515625" style="1" bestFit="1" customWidth="1"/>
    <col min="6402" max="6402" width="15.28515625" style="1" customWidth="1"/>
    <col min="6403" max="6403" width="3.28515625" style="1" customWidth="1"/>
    <col min="6404" max="6406" width="15.28515625" style="1" customWidth="1"/>
    <col min="6407" max="6407" width="14" style="1" customWidth="1"/>
    <col min="6408" max="6408" width="14.28515625" style="1" customWidth="1"/>
    <col min="6409" max="6409" width="11.85546875" style="1" customWidth="1"/>
    <col min="6410" max="6410" width="14.42578125" style="1" customWidth="1"/>
    <col min="6411" max="6411" width="12.5703125" style="1" customWidth="1"/>
    <col min="6412" max="6414" width="15.28515625" style="1" customWidth="1"/>
    <col min="6415" max="6415" width="12.42578125" style="1" customWidth="1"/>
    <col min="6416" max="6416" width="15.28515625" style="1" customWidth="1"/>
    <col min="6417" max="6655" width="8.85546875" style="1"/>
    <col min="6656" max="6656" width="5.28515625" style="1" customWidth="1"/>
    <col min="6657" max="6657" width="37.28515625" style="1" bestFit="1" customWidth="1"/>
    <col min="6658" max="6658" width="15.28515625" style="1" customWidth="1"/>
    <col min="6659" max="6659" width="3.28515625" style="1" customWidth="1"/>
    <col min="6660" max="6662" width="15.28515625" style="1" customWidth="1"/>
    <col min="6663" max="6663" width="14" style="1" customWidth="1"/>
    <col min="6664" max="6664" width="14.28515625" style="1" customWidth="1"/>
    <col min="6665" max="6665" width="11.85546875" style="1" customWidth="1"/>
    <col min="6666" max="6666" width="14.42578125" style="1" customWidth="1"/>
    <col min="6667" max="6667" width="12.5703125" style="1" customWidth="1"/>
    <col min="6668" max="6670" width="15.28515625" style="1" customWidth="1"/>
    <col min="6671" max="6671" width="12.42578125" style="1" customWidth="1"/>
    <col min="6672" max="6672" width="15.28515625" style="1" customWidth="1"/>
    <col min="6673" max="6911" width="8.85546875" style="1"/>
    <col min="6912" max="6912" width="5.28515625" style="1" customWidth="1"/>
    <col min="6913" max="6913" width="37.28515625" style="1" bestFit="1" customWidth="1"/>
    <col min="6914" max="6914" width="15.28515625" style="1" customWidth="1"/>
    <col min="6915" max="6915" width="3.28515625" style="1" customWidth="1"/>
    <col min="6916" max="6918" width="15.28515625" style="1" customWidth="1"/>
    <col min="6919" max="6919" width="14" style="1" customWidth="1"/>
    <col min="6920" max="6920" width="14.28515625" style="1" customWidth="1"/>
    <col min="6921" max="6921" width="11.85546875" style="1" customWidth="1"/>
    <col min="6922" max="6922" width="14.42578125" style="1" customWidth="1"/>
    <col min="6923" max="6923" width="12.5703125" style="1" customWidth="1"/>
    <col min="6924" max="6926" width="15.28515625" style="1" customWidth="1"/>
    <col min="6927" max="6927" width="12.42578125" style="1" customWidth="1"/>
    <col min="6928" max="6928" width="15.28515625" style="1" customWidth="1"/>
    <col min="6929" max="7167" width="8.85546875" style="1"/>
    <col min="7168" max="7168" width="5.28515625" style="1" customWidth="1"/>
    <col min="7169" max="7169" width="37.28515625" style="1" bestFit="1" customWidth="1"/>
    <col min="7170" max="7170" width="15.28515625" style="1" customWidth="1"/>
    <col min="7171" max="7171" width="3.28515625" style="1" customWidth="1"/>
    <col min="7172" max="7174" width="15.28515625" style="1" customWidth="1"/>
    <col min="7175" max="7175" width="14" style="1" customWidth="1"/>
    <col min="7176" max="7176" width="14.28515625" style="1" customWidth="1"/>
    <col min="7177" max="7177" width="11.85546875" style="1" customWidth="1"/>
    <col min="7178" max="7178" width="14.42578125" style="1" customWidth="1"/>
    <col min="7179" max="7179" width="12.5703125" style="1" customWidth="1"/>
    <col min="7180" max="7182" width="15.28515625" style="1" customWidth="1"/>
    <col min="7183" max="7183" width="12.42578125" style="1" customWidth="1"/>
    <col min="7184" max="7184" width="15.28515625" style="1" customWidth="1"/>
    <col min="7185" max="7423" width="8.85546875" style="1"/>
    <col min="7424" max="7424" width="5.28515625" style="1" customWidth="1"/>
    <col min="7425" max="7425" width="37.28515625" style="1" bestFit="1" customWidth="1"/>
    <col min="7426" max="7426" width="15.28515625" style="1" customWidth="1"/>
    <col min="7427" max="7427" width="3.28515625" style="1" customWidth="1"/>
    <col min="7428" max="7430" width="15.28515625" style="1" customWidth="1"/>
    <col min="7431" max="7431" width="14" style="1" customWidth="1"/>
    <col min="7432" max="7432" width="14.28515625" style="1" customWidth="1"/>
    <col min="7433" max="7433" width="11.85546875" style="1" customWidth="1"/>
    <col min="7434" max="7434" width="14.42578125" style="1" customWidth="1"/>
    <col min="7435" max="7435" width="12.5703125" style="1" customWidth="1"/>
    <col min="7436" max="7438" width="15.28515625" style="1" customWidth="1"/>
    <col min="7439" max="7439" width="12.42578125" style="1" customWidth="1"/>
    <col min="7440" max="7440" width="15.28515625" style="1" customWidth="1"/>
    <col min="7441" max="7679" width="8.85546875" style="1"/>
    <col min="7680" max="7680" width="5.28515625" style="1" customWidth="1"/>
    <col min="7681" max="7681" width="37.28515625" style="1" bestFit="1" customWidth="1"/>
    <col min="7682" max="7682" width="15.28515625" style="1" customWidth="1"/>
    <col min="7683" max="7683" width="3.28515625" style="1" customWidth="1"/>
    <col min="7684" max="7686" width="15.28515625" style="1" customWidth="1"/>
    <col min="7687" max="7687" width="14" style="1" customWidth="1"/>
    <col min="7688" max="7688" width="14.28515625" style="1" customWidth="1"/>
    <col min="7689" max="7689" width="11.85546875" style="1" customWidth="1"/>
    <col min="7690" max="7690" width="14.42578125" style="1" customWidth="1"/>
    <col min="7691" max="7691" width="12.5703125" style="1" customWidth="1"/>
    <col min="7692" max="7694" width="15.28515625" style="1" customWidth="1"/>
    <col min="7695" max="7695" width="12.42578125" style="1" customWidth="1"/>
    <col min="7696" max="7696" width="15.28515625" style="1" customWidth="1"/>
    <col min="7697" max="7935" width="8.85546875" style="1"/>
    <col min="7936" max="7936" width="5.28515625" style="1" customWidth="1"/>
    <col min="7937" max="7937" width="37.28515625" style="1" bestFit="1" customWidth="1"/>
    <col min="7938" max="7938" width="15.28515625" style="1" customWidth="1"/>
    <col min="7939" max="7939" width="3.28515625" style="1" customWidth="1"/>
    <col min="7940" max="7942" width="15.28515625" style="1" customWidth="1"/>
    <col min="7943" max="7943" width="14" style="1" customWidth="1"/>
    <col min="7944" max="7944" width="14.28515625" style="1" customWidth="1"/>
    <col min="7945" max="7945" width="11.85546875" style="1" customWidth="1"/>
    <col min="7946" max="7946" width="14.42578125" style="1" customWidth="1"/>
    <col min="7947" max="7947" width="12.5703125" style="1" customWidth="1"/>
    <col min="7948" max="7950" width="15.28515625" style="1" customWidth="1"/>
    <col min="7951" max="7951" width="12.42578125" style="1" customWidth="1"/>
    <col min="7952" max="7952" width="15.28515625" style="1" customWidth="1"/>
    <col min="7953" max="8191" width="8.85546875" style="1"/>
    <col min="8192" max="8192" width="5.28515625" style="1" customWidth="1"/>
    <col min="8193" max="8193" width="37.28515625" style="1" bestFit="1" customWidth="1"/>
    <col min="8194" max="8194" width="15.28515625" style="1" customWidth="1"/>
    <col min="8195" max="8195" width="3.28515625" style="1" customWidth="1"/>
    <col min="8196" max="8198" width="15.28515625" style="1" customWidth="1"/>
    <col min="8199" max="8199" width="14" style="1" customWidth="1"/>
    <col min="8200" max="8200" width="14.28515625" style="1" customWidth="1"/>
    <col min="8201" max="8201" width="11.85546875" style="1" customWidth="1"/>
    <col min="8202" max="8202" width="14.42578125" style="1" customWidth="1"/>
    <col min="8203" max="8203" width="12.5703125" style="1" customWidth="1"/>
    <col min="8204" max="8206" width="15.28515625" style="1" customWidth="1"/>
    <col min="8207" max="8207" width="12.42578125" style="1" customWidth="1"/>
    <col min="8208" max="8208" width="15.28515625" style="1" customWidth="1"/>
    <col min="8209" max="8447" width="8.85546875" style="1"/>
    <col min="8448" max="8448" width="5.28515625" style="1" customWidth="1"/>
    <col min="8449" max="8449" width="37.28515625" style="1" bestFit="1" customWidth="1"/>
    <col min="8450" max="8450" width="15.28515625" style="1" customWidth="1"/>
    <col min="8451" max="8451" width="3.28515625" style="1" customWidth="1"/>
    <col min="8452" max="8454" width="15.28515625" style="1" customWidth="1"/>
    <col min="8455" max="8455" width="14" style="1" customWidth="1"/>
    <col min="8456" max="8456" width="14.28515625" style="1" customWidth="1"/>
    <col min="8457" max="8457" width="11.85546875" style="1" customWidth="1"/>
    <col min="8458" max="8458" width="14.42578125" style="1" customWidth="1"/>
    <col min="8459" max="8459" width="12.5703125" style="1" customWidth="1"/>
    <col min="8460" max="8462" width="15.28515625" style="1" customWidth="1"/>
    <col min="8463" max="8463" width="12.42578125" style="1" customWidth="1"/>
    <col min="8464" max="8464" width="15.28515625" style="1" customWidth="1"/>
    <col min="8465" max="8703" width="8.85546875" style="1"/>
    <col min="8704" max="8704" width="5.28515625" style="1" customWidth="1"/>
    <col min="8705" max="8705" width="37.28515625" style="1" bestFit="1" customWidth="1"/>
    <col min="8706" max="8706" width="15.28515625" style="1" customWidth="1"/>
    <col min="8707" max="8707" width="3.28515625" style="1" customWidth="1"/>
    <col min="8708" max="8710" width="15.28515625" style="1" customWidth="1"/>
    <col min="8711" max="8711" width="14" style="1" customWidth="1"/>
    <col min="8712" max="8712" width="14.28515625" style="1" customWidth="1"/>
    <col min="8713" max="8713" width="11.85546875" style="1" customWidth="1"/>
    <col min="8714" max="8714" width="14.42578125" style="1" customWidth="1"/>
    <col min="8715" max="8715" width="12.5703125" style="1" customWidth="1"/>
    <col min="8716" max="8718" width="15.28515625" style="1" customWidth="1"/>
    <col min="8719" max="8719" width="12.42578125" style="1" customWidth="1"/>
    <col min="8720" max="8720" width="15.28515625" style="1" customWidth="1"/>
    <col min="8721" max="8959" width="8.85546875" style="1"/>
    <col min="8960" max="8960" width="5.28515625" style="1" customWidth="1"/>
    <col min="8961" max="8961" width="37.28515625" style="1" bestFit="1" customWidth="1"/>
    <col min="8962" max="8962" width="15.28515625" style="1" customWidth="1"/>
    <col min="8963" max="8963" width="3.28515625" style="1" customWidth="1"/>
    <col min="8964" max="8966" width="15.28515625" style="1" customWidth="1"/>
    <col min="8967" max="8967" width="14" style="1" customWidth="1"/>
    <col min="8968" max="8968" width="14.28515625" style="1" customWidth="1"/>
    <col min="8969" max="8969" width="11.85546875" style="1" customWidth="1"/>
    <col min="8970" max="8970" width="14.42578125" style="1" customWidth="1"/>
    <col min="8971" max="8971" width="12.5703125" style="1" customWidth="1"/>
    <col min="8972" max="8974" width="15.28515625" style="1" customWidth="1"/>
    <col min="8975" max="8975" width="12.42578125" style="1" customWidth="1"/>
    <col min="8976" max="8976" width="15.28515625" style="1" customWidth="1"/>
    <col min="8977" max="9215" width="8.85546875" style="1"/>
    <col min="9216" max="9216" width="5.28515625" style="1" customWidth="1"/>
    <col min="9217" max="9217" width="37.28515625" style="1" bestFit="1" customWidth="1"/>
    <col min="9218" max="9218" width="15.28515625" style="1" customWidth="1"/>
    <col min="9219" max="9219" width="3.28515625" style="1" customWidth="1"/>
    <col min="9220" max="9222" width="15.28515625" style="1" customWidth="1"/>
    <col min="9223" max="9223" width="14" style="1" customWidth="1"/>
    <col min="9224" max="9224" width="14.28515625" style="1" customWidth="1"/>
    <col min="9225" max="9225" width="11.85546875" style="1" customWidth="1"/>
    <col min="9226" max="9226" width="14.42578125" style="1" customWidth="1"/>
    <col min="9227" max="9227" width="12.5703125" style="1" customWidth="1"/>
    <col min="9228" max="9230" width="15.28515625" style="1" customWidth="1"/>
    <col min="9231" max="9231" width="12.42578125" style="1" customWidth="1"/>
    <col min="9232" max="9232" width="15.28515625" style="1" customWidth="1"/>
    <col min="9233" max="9471" width="8.85546875" style="1"/>
    <col min="9472" max="9472" width="5.28515625" style="1" customWidth="1"/>
    <col min="9473" max="9473" width="37.28515625" style="1" bestFit="1" customWidth="1"/>
    <col min="9474" max="9474" width="15.28515625" style="1" customWidth="1"/>
    <col min="9475" max="9475" width="3.28515625" style="1" customWidth="1"/>
    <col min="9476" max="9478" width="15.28515625" style="1" customWidth="1"/>
    <col min="9479" max="9479" width="14" style="1" customWidth="1"/>
    <col min="9480" max="9480" width="14.28515625" style="1" customWidth="1"/>
    <col min="9481" max="9481" width="11.85546875" style="1" customWidth="1"/>
    <col min="9482" max="9482" width="14.42578125" style="1" customWidth="1"/>
    <col min="9483" max="9483" width="12.5703125" style="1" customWidth="1"/>
    <col min="9484" max="9486" width="15.28515625" style="1" customWidth="1"/>
    <col min="9487" max="9487" width="12.42578125" style="1" customWidth="1"/>
    <col min="9488" max="9488" width="15.28515625" style="1" customWidth="1"/>
    <col min="9489" max="9727" width="8.85546875" style="1"/>
    <col min="9728" max="9728" width="5.28515625" style="1" customWidth="1"/>
    <col min="9729" max="9729" width="37.28515625" style="1" bestFit="1" customWidth="1"/>
    <col min="9730" max="9730" width="15.28515625" style="1" customWidth="1"/>
    <col min="9731" max="9731" width="3.28515625" style="1" customWidth="1"/>
    <col min="9732" max="9734" width="15.28515625" style="1" customWidth="1"/>
    <col min="9735" max="9735" width="14" style="1" customWidth="1"/>
    <col min="9736" max="9736" width="14.28515625" style="1" customWidth="1"/>
    <col min="9737" max="9737" width="11.85546875" style="1" customWidth="1"/>
    <col min="9738" max="9738" width="14.42578125" style="1" customWidth="1"/>
    <col min="9739" max="9739" width="12.5703125" style="1" customWidth="1"/>
    <col min="9740" max="9742" width="15.28515625" style="1" customWidth="1"/>
    <col min="9743" max="9743" width="12.42578125" style="1" customWidth="1"/>
    <col min="9744" max="9744" width="15.28515625" style="1" customWidth="1"/>
    <col min="9745" max="9983" width="8.85546875" style="1"/>
    <col min="9984" max="9984" width="5.28515625" style="1" customWidth="1"/>
    <col min="9985" max="9985" width="37.28515625" style="1" bestFit="1" customWidth="1"/>
    <col min="9986" max="9986" width="15.28515625" style="1" customWidth="1"/>
    <col min="9987" max="9987" width="3.28515625" style="1" customWidth="1"/>
    <col min="9988" max="9990" width="15.28515625" style="1" customWidth="1"/>
    <col min="9991" max="9991" width="14" style="1" customWidth="1"/>
    <col min="9992" max="9992" width="14.28515625" style="1" customWidth="1"/>
    <col min="9993" max="9993" width="11.85546875" style="1" customWidth="1"/>
    <col min="9994" max="9994" width="14.42578125" style="1" customWidth="1"/>
    <col min="9995" max="9995" width="12.5703125" style="1" customWidth="1"/>
    <col min="9996" max="9998" width="15.28515625" style="1" customWidth="1"/>
    <col min="9999" max="9999" width="12.42578125" style="1" customWidth="1"/>
    <col min="10000" max="10000" width="15.28515625" style="1" customWidth="1"/>
    <col min="10001" max="10239" width="8.85546875" style="1"/>
    <col min="10240" max="10240" width="5.28515625" style="1" customWidth="1"/>
    <col min="10241" max="10241" width="37.28515625" style="1" bestFit="1" customWidth="1"/>
    <col min="10242" max="10242" width="15.28515625" style="1" customWidth="1"/>
    <col min="10243" max="10243" width="3.28515625" style="1" customWidth="1"/>
    <col min="10244" max="10246" width="15.28515625" style="1" customWidth="1"/>
    <col min="10247" max="10247" width="14" style="1" customWidth="1"/>
    <col min="10248" max="10248" width="14.28515625" style="1" customWidth="1"/>
    <col min="10249" max="10249" width="11.85546875" style="1" customWidth="1"/>
    <col min="10250" max="10250" width="14.42578125" style="1" customWidth="1"/>
    <col min="10251" max="10251" width="12.5703125" style="1" customWidth="1"/>
    <col min="10252" max="10254" width="15.28515625" style="1" customWidth="1"/>
    <col min="10255" max="10255" width="12.42578125" style="1" customWidth="1"/>
    <col min="10256" max="10256" width="15.28515625" style="1" customWidth="1"/>
    <col min="10257" max="10495" width="8.85546875" style="1"/>
    <col min="10496" max="10496" width="5.28515625" style="1" customWidth="1"/>
    <col min="10497" max="10497" width="37.28515625" style="1" bestFit="1" customWidth="1"/>
    <col min="10498" max="10498" width="15.28515625" style="1" customWidth="1"/>
    <col min="10499" max="10499" width="3.28515625" style="1" customWidth="1"/>
    <col min="10500" max="10502" width="15.28515625" style="1" customWidth="1"/>
    <col min="10503" max="10503" width="14" style="1" customWidth="1"/>
    <col min="10504" max="10504" width="14.28515625" style="1" customWidth="1"/>
    <col min="10505" max="10505" width="11.85546875" style="1" customWidth="1"/>
    <col min="10506" max="10506" width="14.42578125" style="1" customWidth="1"/>
    <col min="10507" max="10507" width="12.5703125" style="1" customWidth="1"/>
    <col min="10508" max="10510" width="15.28515625" style="1" customWidth="1"/>
    <col min="10511" max="10511" width="12.42578125" style="1" customWidth="1"/>
    <col min="10512" max="10512" width="15.28515625" style="1" customWidth="1"/>
    <col min="10513" max="10751" width="8.85546875" style="1"/>
    <col min="10752" max="10752" width="5.28515625" style="1" customWidth="1"/>
    <col min="10753" max="10753" width="37.28515625" style="1" bestFit="1" customWidth="1"/>
    <col min="10754" max="10754" width="15.28515625" style="1" customWidth="1"/>
    <col min="10755" max="10755" width="3.28515625" style="1" customWidth="1"/>
    <col min="10756" max="10758" width="15.28515625" style="1" customWidth="1"/>
    <col min="10759" max="10759" width="14" style="1" customWidth="1"/>
    <col min="10760" max="10760" width="14.28515625" style="1" customWidth="1"/>
    <col min="10761" max="10761" width="11.85546875" style="1" customWidth="1"/>
    <col min="10762" max="10762" width="14.42578125" style="1" customWidth="1"/>
    <col min="10763" max="10763" width="12.5703125" style="1" customWidth="1"/>
    <col min="10764" max="10766" width="15.28515625" style="1" customWidth="1"/>
    <col min="10767" max="10767" width="12.42578125" style="1" customWidth="1"/>
    <col min="10768" max="10768" width="15.28515625" style="1" customWidth="1"/>
    <col min="10769" max="11007" width="8.85546875" style="1"/>
    <col min="11008" max="11008" width="5.28515625" style="1" customWidth="1"/>
    <col min="11009" max="11009" width="37.28515625" style="1" bestFit="1" customWidth="1"/>
    <col min="11010" max="11010" width="15.28515625" style="1" customWidth="1"/>
    <col min="11011" max="11011" width="3.28515625" style="1" customWidth="1"/>
    <col min="11012" max="11014" width="15.28515625" style="1" customWidth="1"/>
    <col min="11015" max="11015" width="14" style="1" customWidth="1"/>
    <col min="11016" max="11016" width="14.28515625" style="1" customWidth="1"/>
    <col min="11017" max="11017" width="11.85546875" style="1" customWidth="1"/>
    <col min="11018" max="11018" width="14.42578125" style="1" customWidth="1"/>
    <col min="11019" max="11019" width="12.5703125" style="1" customWidth="1"/>
    <col min="11020" max="11022" width="15.28515625" style="1" customWidth="1"/>
    <col min="11023" max="11023" width="12.42578125" style="1" customWidth="1"/>
    <col min="11024" max="11024" width="15.28515625" style="1" customWidth="1"/>
    <col min="11025" max="11263" width="8.85546875" style="1"/>
    <col min="11264" max="11264" width="5.28515625" style="1" customWidth="1"/>
    <col min="11265" max="11265" width="37.28515625" style="1" bestFit="1" customWidth="1"/>
    <col min="11266" max="11266" width="15.28515625" style="1" customWidth="1"/>
    <col min="11267" max="11267" width="3.28515625" style="1" customWidth="1"/>
    <col min="11268" max="11270" width="15.28515625" style="1" customWidth="1"/>
    <col min="11271" max="11271" width="14" style="1" customWidth="1"/>
    <col min="11272" max="11272" width="14.28515625" style="1" customWidth="1"/>
    <col min="11273" max="11273" width="11.85546875" style="1" customWidth="1"/>
    <col min="11274" max="11274" width="14.42578125" style="1" customWidth="1"/>
    <col min="11275" max="11275" width="12.5703125" style="1" customWidth="1"/>
    <col min="11276" max="11278" width="15.28515625" style="1" customWidth="1"/>
    <col min="11279" max="11279" width="12.42578125" style="1" customWidth="1"/>
    <col min="11280" max="11280" width="15.28515625" style="1" customWidth="1"/>
    <col min="11281" max="11519" width="8.85546875" style="1"/>
    <col min="11520" max="11520" width="5.28515625" style="1" customWidth="1"/>
    <col min="11521" max="11521" width="37.28515625" style="1" bestFit="1" customWidth="1"/>
    <col min="11522" max="11522" width="15.28515625" style="1" customWidth="1"/>
    <col min="11523" max="11523" width="3.28515625" style="1" customWidth="1"/>
    <col min="11524" max="11526" width="15.28515625" style="1" customWidth="1"/>
    <col min="11527" max="11527" width="14" style="1" customWidth="1"/>
    <col min="11528" max="11528" width="14.28515625" style="1" customWidth="1"/>
    <col min="11529" max="11529" width="11.85546875" style="1" customWidth="1"/>
    <col min="11530" max="11530" width="14.42578125" style="1" customWidth="1"/>
    <col min="11531" max="11531" width="12.5703125" style="1" customWidth="1"/>
    <col min="11532" max="11534" width="15.28515625" style="1" customWidth="1"/>
    <col min="11535" max="11535" width="12.42578125" style="1" customWidth="1"/>
    <col min="11536" max="11536" width="15.28515625" style="1" customWidth="1"/>
    <col min="11537" max="11775" width="8.85546875" style="1"/>
    <col min="11776" max="11776" width="5.28515625" style="1" customWidth="1"/>
    <col min="11777" max="11777" width="37.28515625" style="1" bestFit="1" customWidth="1"/>
    <col min="11778" max="11778" width="15.28515625" style="1" customWidth="1"/>
    <col min="11779" max="11779" width="3.28515625" style="1" customWidth="1"/>
    <col min="11780" max="11782" width="15.28515625" style="1" customWidth="1"/>
    <col min="11783" max="11783" width="14" style="1" customWidth="1"/>
    <col min="11784" max="11784" width="14.28515625" style="1" customWidth="1"/>
    <col min="11785" max="11785" width="11.85546875" style="1" customWidth="1"/>
    <col min="11786" max="11786" width="14.42578125" style="1" customWidth="1"/>
    <col min="11787" max="11787" width="12.5703125" style="1" customWidth="1"/>
    <col min="11788" max="11790" width="15.28515625" style="1" customWidth="1"/>
    <col min="11791" max="11791" width="12.42578125" style="1" customWidth="1"/>
    <col min="11792" max="11792" width="15.28515625" style="1" customWidth="1"/>
    <col min="11793" max="12031" width="8.85546875" style="1"/>
    <col min="12032" max="12032" width="5.28515625" style="1" customWidth="1"/>
    <col min="12033" max="12033" width="37.28515625" style="1" bestFit="1" customWidth="1"/>
    <col min="12034" max="12034" width="15.28515625" style="1" customWidth="1"/>
    <col min="12035" max="12035" width="3.28515625" style="1" customWidth="1"/>
    <col min="12036" max="12038" width="15.28515625" style="1" customWidth="1"/>
    <col min="12039" max="12039" width="14" style="1" customWidth="1"/>
    <col min="12040" max="12040" width="14.28515625" style="1" customWidth="1"/>
    <col min="12041" max="12041" width="11.85546875" style="1" customWidth="1"/>
    <col min="12042" max="12042" width="14.42578125" style="1" customWidth="1"/>
    <col min="12043" max="12043" width="12.5703125" style="1" customWidth="1"/>
    <col min="12044" max="12046" width="15.28515625" style="1" customWidth="1"/>
    <col min="12047" max="12047" width="12.42578125" style="1" customWidth="1"/>
    <col min="12048" max="12048" width="15.28515625" style="1" customWidth="1"/>
    <col min="12049" max="12287" width="8.85546875" style="1"/>
    <col min="12288" max="12288" width="5.28515625" style="1" customWidth="1"/>
    <col min="12289" max="12289" width="37.28515625" style="1" bestFit="1" customWidth="1"/>
    <col min="12290" max="12290" width="15.28515625" style="1" customWidth="1"/>
    <col min="12291" max="12291" width="3.28515625" style="1" customWidth="1"/>
    <col min="12292" max="12294" width="15.28515625" style="1" customWidth="1"/>
    <col min="12295" max="12295" width="14" style="1" customWidth="1"/>
    <col min="12296" max="12296" width="14.28515625" style="1" customWidth="1"/>
    <col min="12297" max="12297" width="11.85546875" style="1" customWidth="1"/>
    <col min="12298" max="12298" width="14.42578125" style="1" customWidth="1"/>
    <col min="12299" max="12299" width="12.5703125" style="1" customWidth="1"/>
    <col min="12300" max="12302" width="15.28515625" style="1" customWidth="1"/>
    <col min="12303" max="12303" width="12.42578125" style="1" customWidth="1"/>
    <col min="12304" max="12304" width="15.28515625" style="1" customWidth="1"/>
    <col min="12305" max="12543" width="8.85546875" style="1"/>
    <col min="12544" max="12544" width="5.28515625" style="1" customWidth="1"/>
    <col min="12545" max="12545" width="37.28515625" style="1" bestFit="1" customWidth="1"/>
    <col min="12546" max="12546" width="15.28515625" style="1" customWidth="1"/>
    <col min="12547" max="12547" width="3.28515625" style="1" customWidth="1"/>
    <col min="12548" max="12550" width="15.28515625" style="1" customWidth="1"/>
    <col min="12551" max="12551" width="14" style="1" customWidth="1"/>
    <col min="12552" max="12552" width="14.28515625" style="1" customWidth="1"/>
    <col min="12553" max="12553" width="11.85546875" style="1" customWidth="1"/>
    <col min="12554" max="12554" width="14.42578125" style="1" customWidth="1"/>
    <col min="12555" max="12555" width="12.5703125" style="1" customWidth="1"/>
    <col min="12556" max="12558" width="15.28515625" style="1" customWidth="1"/>
    <col min="12559" max="12559" width="12.42578125" style="1" customWidth="1"/>
    <col min="12560" max="12560" width="15.28515625" style="1" customWidth="1"/>
    <col min="12561" max="12799" width="8.85546875" style="1"/>
    <col min="12800" max="12800" width="5.28515625" style="1" customWidth="1"/>
    <col min="12801" max="12801" width="37.28515625" style="1" bestFit="1" customWidth="1"/>
    <col min="12802" max="12802" width="15.28515625" style="1" customWidth="1"/>
    <col min="12803" max="12803" width="3.28515625" style="1" customWidth="1"/>
    <col min="12804" max="12806" width="15.28515625" style="1" customWidth="1"/>
    <col min="12807" max="12807" width="14" style="1" customWidth="1"/>
    <col min="12808" max="12808" width="14.28515625" style="1" customWidth="1"/>
    <col min="12809" max="12809" width="11.85546875" style="1" customWidth="1"/>
    <col min="12810" max="12810" width="14.42578125" style="1" customWidth="1"/>
    <col min="12811" max="12811" width="12.5703125" style="1" customWidth="1"/>
    <col min="12812" max="12814" width="15.28515625" style="1" customWidth="1"/>
    <col min="12815" max="12815" width="12.42578125" style="1" customWidth="1"/>
    <col min="12816" max="12816" width="15.28515625" style="1" customWidth="1"/>
    <col min="12817" max="13055" width="8.85546875" style="1"/>
    <col min="13056" max="13056" width="5.28515625" style="1" customWidth="1"/>
    <col min="13057" max="13057" width="37.28515625" style="1" bestFit="1" customWidth="1"/>
    <col min="13058" max="13058" width="15.28515625" style="1" customWidth="1"/>
    <col min="13059" max="13059" width="3.28515625" style="1" customWidth="1"/>
    <col min="13060" max="13062" width="15.28515625" style="1" customWidth="1"/>
    <col min="13063" max="13063" width="14" style="1" customWidth="1"/>
    <col min="13064" max="13064" width="14.28515625" style="1" customWidth="1"/>
    <col min="13065" max="13065" width="11.85546875" style="1" customWidth="1"/>
    <col min="13066" max="13066" width="14.42578125" style="1" customWidth="1"/>
    <col min="13067" max="13067" width="12.5703125" style="1" customWidth="1"/>
    <col min="13068" max="13070" width="15.28515625" style="1" customWidth="1"/>
    <col min="13071" max="13071" width="12.42578125" style="1" customWidth="1"/>
    <col min="13072" max="13072" width="15.28515625" style="1" customWidth="1"/>
    <col min="13073" max="13311" width="8.85546875" style="1"/>
    <col min="13312" max="13312" width="5.28515625" style="1" customWidth="1"/>
    <col min="13313" max="13313" width="37.28515625" style="1" bestFit="1" customWidth="1"/>
    <col min="13314" max="13314" width="15.28515625" style="1" customWidth="1"/>
    <col min="13315" max="13315" width="3.28515625" style="1" customWidth="1"/>
    <col min="13316" max="13318" width="15.28515625" style="1" customWidth="1"/>
    <col min="13319" max="13319" width="14" style="1" customWidth="1"/>
    <col min="13320" max="13320" width="14.28515625" style="1" customWidth="1"/>
    <col min="13321" max="13321" width="11.85546875" style="1" customWidth="1"/>
    <col min="13322" max="13322" width="14.42578125" style="1" customWidth="1"/>
    <col min="13323" max="13323" width="12.5703125" style="1" customWidth="1"/>
    <col min="13324" max="13326" width="15.28515625" style="1" customWidth="1"/>
    <col min="13327" max="13327" width="12.42578125" style="1" customWidth="1"/>
    <col min="13328" max="13328" width="15.28515625" style="1" customWidth="1"/>
    <col min="13329" max="13567" width="8.85546875" style="1"/>
    <col min="13568" max="13568" width="5.28515625" style="1" customWidth="1"/>
    <col min="13569" max="13569" width="37.28515625" style="1" bestFit="1" customWidth="1"/>
    <col min="13570" max="13570" width="15.28515625" style="1" customWidth="1"/>
    <col min="13571" max="13571" width="3.28515625" style="1" customWidth="1"/>
    <col min="13572" max="13574" width="15.28515625" style="1" customWidth="1"/>
    <col min="13575" max="13575" width="14" style="1" customWidth="1"/>
    <col min="13576" max="13576" width="14.28515625" style="1" customWidth="1"/>
    <col min="13577" max="13577" width="11.85546875" style="1" customWidth="1"/>
    <col min="13578" max="13578" width="14.42578125" style="1" customWidth="1"/>
    <col min="13579" max="13579" width="12.5703125" style="1" customWidth="1"/>
    <col min="13580" max="13582" width="15.28515625" style="1" customWidth="1"/>
    <col min="13583" max="13583" width="12.42578125" style="1" customWidth="1"/>
    <col min="13584" max="13584" width="15.28515625" style="1" customWidth="1"/>
    <col min="13585" max="13823" width="8.85546875" style="1"/>
    <col min="13824" max="13824" width="5.28515625" style="1" customWidth="1"/>
    <col min="13825" max="13825" width="37.28515625" style="1" bestFit="1" customWidth="1"/>
    <col min="13826" max="13826" width="15.28515625" style="1" customWidth="1"/>
    <col min="13827" max="13827" width="3.28515625" style="1" customWidth="1"/>
    <col min="13828" max="13830" width="15.28515625" style="1" customWidth="1"/>
    <col min="13831" max="13831" width="14" style="1" customWidth="1"/>
    <col min="13832" max="13832" width="14.28515625" style="1" customWidth="1"/>
    <col min="13833" max="13833" width="11.85546875" style="1" customWidth="1"/>
    <col min="13834" max="13834" width="14.42578125" style="1" customWidth="1"/>
    <col min="13835" max="13835" width="12.5703125" style="1" customWidth="1"/>
    <col min="13836" max="13838" width="15.28515625" style="1" customWidth="1"/>
    <col min="13839" max="13839" width="12.42578125" style="1" customWidth="1"/>
    <col min="13840" max="13840" width="15.28515625" style="1" customWidth="1"/>
    <col min="13841" max="14079" width="8.85546875" style="1"/>
    <col min="14080" max="14080" width="5.28515625" style="1" customWidth="1"/>
    <col min="14081" max="14081" width="37.28515625" style="1" bestFit="1" customWidth="1"/>
    <col min="14082" max="14082" width="15.28515625" style="1" customWidth="1"/>
    <col min="14083" max="14083" width="3.28515625" style="1" customWidth="1"/>
    <col min="14084" max="14086" width="15.28515625" style="1" customWidth="1"/>
    <col min="14087" max="14087" width="14" style="1" customWidth="1"/>
    <col min="14088" max="14088" width="14.28515625" style="1" customWidth="1"/>
    <col min="14089" max="14089" width="11.85546875" style="1" customWidth="1"/>
    <col min="14090" max="14090" width="14.42578125" style="1" customWidth="1"/>
    <col min="14091" max="14091" width="12.5703125" style="1" customWidth="1"/>
    <col min="14092" max="14094" width="15.28515625" style="1" customWidth="1"/>
    <col min="14095" max="14095" width="12.42578125" style="1" customWidth="1"/>
    <col min="14096" max="14096" width="15.28515625" style="1" customWidth="1"/>
    <col min="14097" max="14335" width="8.85546875" style="1"/>
    <col min="14336" max="14336" width="5.28515625" style="1" customWidth="1"/>
    <col min="14337" max="14337" width="37.28515625" style="1" bestFit="1" customWidth="1"/>
    <col min="14338" max="14338" width="15.28515625" style="1" customWidth="1"/>
    <col min="14339" max="14339" width="3.28515625" style="1" customWidth="1"/>
    <col min="14340" max="14342" width="15.28515625" style="1" customWidth="1"/>
    <col min="14343" max="14343" width="14" style="1" customWidth="1"/>
    <col min="14344" max="14344" width="14.28515625" style="1" customWidth="1"/>
    <col min="14345" max="14345" width="11.85546875" style="1" customWidth="1"/>
    <col min="14346" max="14346" width="14.42578125" style="1" customWidth="1"/>
    <col min="14347" max="14347" width="12.5703125" style="1" customWidth="1"/>
    <col min="14348" max="14350" width="15.28515625" style="1" customWidth="1"/>
    <col min="14351" max="14351" width="12.42578125" style="1" customWidth="1"/>
    <col min="14352" max="14352" width="15.28515625" style="1" customWidth="1"/>
    <col min="14353" max="14591" width="8.85546875" style="1"/>
    <col min="14592" max="14592" width="5.28515625" style="1" customWidth="1"/>
    <col min="14593" max="14593" width="37.28515625" style="1" bestFit="1" customWidth="1"/>
    <col min="14594" max="14594" width="15.28515625" style="1" customWidth="1"/>
    <col min="14595" max="14595" width="3.28515625" style="1" customWidth="1"/>
    <col min="14596" max="14598" width="15.28515625" style="1" customWidth="1"/>
    <col min="14599" max="14599" width="14" style="1" customWidth="1"/>
    <col min="14600" max="14600" width="14.28515625" style="1" customWidth="1"/>
    <col min="14601" max="14601" width="11.85546875" style="1" customWidth="1"/>
    <col min="14602" max="14602" width="14.42578125" style="1" customWidth="1"/>
    <col min="14603" max="14603" width="12.5703125" style="1" customWidth="1"/>
    <col min="14604" max="14606" width="15.28515625" style="1" customWidth="1"/>
    <col min="14607" max="14607" width="12.42578125" style="1" customWidth="1"/>
    <col min="14608" max="14608" width="15.28515625" style="1" customWidth="1"/>
    <col min="14609" max="14847" width="8.85546875" style="1"/>
    <col min="14848" max="14848" width="5.28515625" style="1" customWidth="1"/>
    <col min="14849" max="14849" width="37.28515625" style="1" bestFit="1" customWidth="1"/>
    <col min="14850" max="14850" width="15.28515625" style="1" customWidth="1"/>
    <col min="14851" max="14851" width="3.28515625" style="1" customWidth="1"/>
    <col min="14852" max="14854" width="15.28515625" style="1" customWidth="1"/>
    <col min="14855" max="14855" width="14" style="1" customWidth="1"/>
    <col min="14856" max="14856" width="14.28515625" style="1" customWidth="1"/>
    <col min="14857" max="14857" width="11.85546875" style="1" customWidth="1"/>
    <col min="14858" max="14858" width="14.42578125" style="1" customWidth="1"/>
    <col min="14859" max="14859" width="12.5703125" style="1" customWidth="1"/>
    <col min="14860" max="14862" width="15.28515625" style="1" customWidth="1"/>
    <col min="14863" max="14863" width="12.42578125" style="1" customWidth="1"/>
    <col min="14864" max="14864" width="15.28515625" style="1" customWidth="1"/>
    <col min="14865" max="15103" width="8.85546875" style="1"/>
    <col min="15104" max="15104" width="5.28515625" style="1" customWidth="1"/>
    <col min="15105" max="15105" width="37.28515625" style="1" bestFit="1" customWidth="1"/>
    <col min="15106" max="15106" width="15.28515625" style="1" customWidth="1"/>
    <col min="15107" max="15107" width="3.28515625" style="1" customWidth="1"/>
    <col min="15108" max="15110" width="15.28515625" style="1" customWidth="1"/>
    <col min="15111" max="15111" width="14" style="1" customWidth="1"/>
    <col min="15112" max="15112" width="14.28515625" style="1" customWidth="1"/>
    <col min="15113" max="15113" width="11.85546875" style="1" customWidth="1"/>
    <col min="15114" max="15114" width="14.42578125" style="1" customWidth="1"/>
    <col min="15115" max="15115" width="12.5703125" style="1" customWidth="1"/>
    <col min="15116" max="15118" width="15.28515625" style="1" customWidth="1"/>
    <col min="15119" max="15119" width="12.42578125" style="1" customWidth="1"/>
    <col min="15120" max="15120" width="15.28515625" style="1" customWidth="1"/>
    <col min="15121" max="15359" width="8.85546875" style="1"/>
    <col min="15360" max="15360" width="5.28515625" style="1" customWidth="1"/>
    <col min="15361" max="15361" width="37.28515625" style="1" bestFit="1" customWidth="1"/>
    <col min="15362" max="15362" width="15.28515625" style="1" customWidth="1"/>
    <col min="15363" max="15363" width="3.28515625" style="1" customWidth="1"/>
    <col min="15364" max="15366" width="15.28515625" style="1" customWidth="1"/>
    <col min="15367" max="15367" width="14" style="1" customWidth="1"/>
    <col min="15368" max="15368" width="14.28515625" style="1" customWidth="1"/>
    <col min="15369" max="15369" width="11.85546875" style="1" customWidth="1"/>
    <col min="15370" max="15370" width="14.42578125" style="1" customWidth="1"/>
    <col min="15371" max="15371" width="12.5703125" style="1" customWidth="1"/>
    <col min="15372" max="15374" width="15.28515625" style="1" customWidth="1"/>
    <col min="15375" max="15375" width="12.42578125" style="1" customWidth="1"/>
    <col min="15376" max="15376" width="15.28515625" style="1" customWidth="1"/>
    <col min="15377" max="15615" width="8.85546875" style="1"/>
    <col min="15616" max="15616" width="5.28515625" style="1" customWidth="1"/>
    <col min="15617" max="15617" width="37.28515625" style="1" bestFit="1" customWidth="1"/>
    <col min="15618" max="15618" width="15.28515625" style="1" customWidth="1"/>
    <col min="15619" max="15619" width="3.28515625" style="1" customWidth="1"/>
    <col min="15620" max="15622" width="15.28515625" style="1" customWidth="1"/>
    <col min="15623" max="15623" width="14" style="1" customWidth="1"/>
    <col min="15624" max="15624" width="14.28515625" style="1" customWidth="1"/>
    <col min="15625" max="15625" width="11.85546875" style="1" customWidth="1"/>
    <col min="15626" max="15626" width="14.42578125" style="1" customWidth="1"/>
    <col min="15627" max="15627" width="12.5703125" style="1" customWidth="1"/>
    <col min="15628" max="15630" width="15.28515625" style="1" customWidth="1"/>
    <col min="15631" max="15631" width="12.42578125" style="1" customWidth="1"/>
    <col min="15632" max="15632" width="15.28515625" style="1" customWidth="1"/>
    <col min="15633" max="15871" width="8.85546875" style="1"/>
    <col min="15872" max="15872" width="5.28515625" style="1" customWidth="1"/>
    <col min="15873" max="15873" width="37.28515625" style="1" bestFit="1" customWidth="1"/>
    <col min="15874" max="15874" width="15.28515625" style="1" customWidth="1"/>
    <col min="15875" max="15875" width="3.28515625" style="1" customWidth="1"/>
    <col min="15876" max="15878" width="15.28515625" style="1" customWidth="1"/>
    <col min="15879" max="15879" width="14" style="1" customWidth="1"/>
    <col min="15880" max="15880" width="14.28515625" style="1" customWidth="1"/>
    <col min="15881" max="15881" width="11.85546875" style="1" customWidth="1"/>
    <col min="15882" max="15882" width="14.42578125" style="1" customWidth="1"/>
    <col min="15883" max="15883" width="12.5703125" style="1" customWidth="1"/>
    <col min="15884" max="15886" width="15.28515625" style="1" customWidth="1"/>
    <col min="15887" max="15887" width="12.42578125" style="1" customWidth="1"/>
    <col min="15888" max="15888" width="15.28515625" style="1" customWidth="1"/>
    <col min="15889" max="16127" width="8.85546875" style="1"/>
    <col min="16128" max="16128" width="5.28515625" style="1" customWidth="1"/>
    <col min="16129" max="16129" width="37.28515625" style="1" bestFit="1" customWidth="1"/>
    <col min="16130" max="16130" width="15.28515625" style="1" customWidth="1"/>
    <col min="16131" max="16131" width="3.28515625" style="1" customWidth="1"/>
    <col min="16132" max="16134" width="15.28515625" style="1" customWidth="1"/>
    <col min="16135" max="16135" width="14" style="1" customWidth="1"/>
    <col min="16136" max="16136" width="14.28515625" style="1" customWidth="1"/>
    <col min="16137" max="16137" width="11.85546875" style="1" customWidth="1"/>
    <col min="16138" max="16138" width="14.42578125" style="1" customWidth="1"/>
    <col min="16139" max="16139" width="12.5703125" style="1" customWidth="1"/>
    <col min="16140" max="16142" width="15.28515625" style="1" customWidth="1"/>
    <col min="16143" max="16143" width="12.42578125" style="1" customWidth="1"/>
    <col min="16144" max="16144" width="15.28515625" style="1" customWidth="1"/>
    <col min="16145" max="16383" width="8.85546875" style="1"/>
    <col min="16384" max="16384" width="9.140625" style="1" customWidth="1"/>
  </cols>
  <sheetData>
    <row r="1" spans="1:17" x14ac:dyDescent="0.2">
      <c r="A1" s="201" t="str">
        <f>'[55]PCA Costs'!$A$1:$P$1</f>
        <v>Puget Sound Energy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7" x14ac:dyDescent="0.2">
      <c r="A2" s="201" t="str">
        <f>'[55]PCA Costs'!$A$2:$P$2</f>
        <v>ELECTRIC COST OF SERVICE SUMMARY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spans="1:17" x14ac:dyDescent="0.2">
      <c r="A3" s="201" t="str">
        <f>'[55]PCA Costs'!$A$3:$P$3</f>
        <v>Adjusted Test Year Twelve Months ended December 2018 @ Proforma Rev Requirement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7" x14ac:dyDescent="0.2">
      <c r="A4" s="201" t="str">
        <f>'[55]PCA Costs'!$A$4:$P$4</f>
        <v>Delivery Costs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</row>
    <row r="6" spans="1:17" ht="33.75" x14ac:dyDescent="0.2">
      <c r="A6" s="2" t="str">
        <f>'[55]PCA Costs'!A6</f>
        <v>Line No.</v>
      </c>
      <c r="B6" s="2" t="str">
        <f>'[55]PCA Costs'!B6</f>
        <v>Description</v>
      </c>
      <c r="C6" s="2" t="str">
        <f>'[55]PCA Costs'!C6</f>
        <v>Total Company</v>
      </c>
      <c r="D6" s="2"/>
      <c r="E6" s="2" t="str">
        <f>'[55]PCA Costs'!E6</f>
        <v>Residential Sch 7</v>
      </c>
      <c r="F6" s="2" t="str">
        <f>'[55]PCA Costs'!F6</f>
        <v>Sec Volt Sch 24 (kW&lt; 50)</v>
      </c>
      <c r="G6" s="2" t="str">
        <f>'[55]PCA Costs'!G6</f>
        <v>Sec Volt Sch 25 (kW &gt; 50 &amp; &lt; 350)</v>
      </c>
      <c r="H6" s="2" t="str">
        <f>'[55]PCA Costs'!H6</f>
        <v>Sec Volt Sch 26 (kW &gt; 350)</v>
      </c>
      <c r="I6" s="2" t="str">
        <f>'[55]PCA Costs'!I6</f>
        <v>Pri Volt Sch 31 (General Service)</v>
      </c>
      <c r="J6" s="2" t="str">
        <f>'[55]PCA Costs'!J6</f>
        <v>Pri Volt Sch 35 (Irrigation)</v>
      </c>
      <c r="K6" s="2" t="str">
        <f>'[55]PCA Costs'!K6</f>
        <v>Pri Svc 43</v>
      </c>
      <c r="L6" s="2" t="str">
        <f>'[55]PCA Costs'!L6</f>
        <v>Special Contract</v>
      </c>
      <c r="M6" s="2" t="str">
        <f>'[55]PCA Costs'!M6</f>
        <v>High Volt 46/49</v>
      </c>
      <c r="N6" s="2" t="str">
        <f>'[55]PCA Costs'!N6</f>
        <v>Choice/Retail Wheeling</v>
      </c>
      <c r="O6" s="2" t="str">
        <f>'[55]PCA Costs'!O6</f>
        <v>Lighting 50-59</v>
      </c>
      <c r="P6" s="2" t="str">
        <f>'[55]PCA Costs'!P6</f>
        <v>Firm Resale</v>
      </c>
    </row>
    <row r="7" spans="1:17" x14ac:dyDescent="0.2">
      <c r="A7" s="3"/>
      <c r="B7" s="4" t="s">
        <v>13</v>
      </c>
      <c r="C7" s="4" t="s">
        <v>12</v>
      </c>
      <c r="D7" s="4"/>
      <c r="E7" s="4" t="s">
        <v>11</v>
      </c>
      <c r="F7" s="4" t="s">
        <v>10</v>
      </c>
      <c r="G7" s="4" t="s">
        <v>9</v>
      </c>
      <c r="H7" s="4" t="s">
        <v>7</v>
      </c>
      <c r="I7" s="4" t="s">
        <v>6</v>
      </c>
      <c r="J7" s="4" t="s">
        <v>5</v>
      </c>
      <c r="K7" s="4" t="s">
        <v>4</v>
      </c>
      <c r="L7" s="4" t="s">
        <v>3</v>
      </c>
      <c r="M7" s="4" t="s">
        <v>2</v>
      </c>
      <c r="N7" s="4" t="s">
        <v>1</v>
      </c>
      <c r="O7" s="4" t="s">
        <v>0</v>
      </c>
      <c r="P7" s="4" t="s">
        <v>17</v>
      </c>
    </row>
    <row r="8" spans="1:17" x14ac:dyDescent="0.2">
      <c r="C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x14ac:dyDescent="0.2">
      <c r="A9" s="6">
        <v>1</v>
      </c>
      <c r="B9" s="7" t="s">
        <v>78</v>
      </c>
      <c r="C9" s="22">
        <f>SUM(E9:P9)</f>
        <v>22028705616.757526</v>
      </c>
      <c r="D9" s="8"/>
      <c r="E9" s="19">
        <f>'[55]PCA Costs'!E9</f>
        <v>11476152247.161776</v>
      </c>
      <c r="F9" s="19">
        <f>'[55]PCA Costs'!F9</f>
        <v>2915955626.4103169</v>
      </c>
      <c r="G9" s="19">
        <f>'[55]PCA Costs'!G9</f>
        <v>3242765959.9604325</v>
      </c>
      <c r="H9" s="19">
        <f>'[55]PCA Costs'!H9</f>
        <v>2092770306.5275679</v>
      </c>
      <c r="I9" s="19">
        <f>'[55]PCA Costs'!I9</f>
        <v>1456029850.0547175</v>
      </c>
      <c r="J9" s="19">
        <f>'[55]PCA Costs'!J9</f>
        <v>4597572.0317007378</v>
      </c>
      <c r="K9" s="19">
        <f>'[55]PCA Costs'!K9</f>
        <v>126890757.18193617</v>
      </c>
      <c r="L9" s="19">
        <f>'[55]PCA Costs'!L9</f>
        <v>0</v>
      </c>
      <c r="M9" s="19">
        <f>'[55]PCA Costs'!M9</f>
        <v>630228919.26662493</v>
      </c>
      <c r="N9" s="19">
        <f>'[55]PCA Costs'!N9</f>
        <v>0</v>
      </c>
      <c r="O9" s="19">
        <f>'[55]PCA Costs'!O9</f>
        <v>75887375.026475519</v>
      </c>
      <c r="P9" s="19">
        <f>'[55]PCA Costs'!P9</f>
        <v>7427003.1359829875</v>
      </c>
      <c r="Q9" s="9"/>
    </row>
    <row r="10" spans="1:17" x14ac:dyDescent="0.2">
      <c r="A10" s="6">
        <f t="shared" ref="A10:A30" si="0">+A9+1</f>
        <v>2</v>
      </c>
      <c r="B10" s="7" t="s">
        <v>79</v>
      </c>
      <c r="C10" s="22">
        <f>SUM(E10:P10)</f>
        <v>3877885.5466519948</v>
      </c>
      <c r="D10" s="8"/>
      <c r="E10" s="19">
        <f>'[55]PCA Costs'!E10</f>
        <v>2236474.2253660602</v>
      </c>
      <c r="F10" s="19">
        <f>'[55]PCA Costs'!F10</f>
        <v>515625.82524854271</v>
      </c>
      <c r="G10" s="19">
        <f>'[55]PCA Costs'!G10</f>
        <v>551893.91878041346</v>
      </c>
      <c r="H10" s="19">
        <f>'[55]PCA Costs'!H10</f>
        <v>289974.91765494185</v>
      </c>
      <c r="I10" s="19">
        <f>'[55]PCA Costs'!I10</f>
        <v>204844.84270926949</v>
      </c>
      <c r="J10" s="19">
        <f>'[55]PCA Costs'!J10</f>
        <v>7.0004300675974864</v>
      </c>
      <c r="K10" s="19">
        <f>'[55]PCA Costs'!K10</f>
        <v>0</v>
      </c>
      <c r="L10" s="19">
        <f>'[55]PCA Costs'!L10</f>
        <v>0</v>
      </c>
      <c r="M10" s="19">
        <f>'[55]PCA Costs'!M10</f>
        <v>69577.130407689765</v>
      </c>
      <c r="N10" s="19">
        <f>'[55]PCA Costs'!N10</f>
        <v>0</v>
      </c>
      <c r="O10" s="19">
        <f>'[55]PCA Costs'!O10</f>
        <v>8059.2720272472116</v>
      </c>
      <c r="P10" s="19">
        <f>'[55]PCA Costs'!P10</f>
        <v>1428.4140277629981</v>
      </c>
    </row>
    <row r="11" spans="1:17" x14ac:dyDescent="0.2">
      <c r="A11" s="6">
        <f t="shared" si="0"/>
        <v>3</v>
      </c>
      <c r="B11" s="10" t="s">
        <v>43</v>
      </c>
      <c r="C11" s="23">
        <f>SUM(E11:P11)</f>
        <v>1</v>
      </c>
      <c r="D11" s="11"/>
      <c r="E11" s="20">
        <f>'[55]PCA Costs'!E11</f>
        <v>0.52709731139948457</v>
      </c>
      <c r="F11" s="20">
        <f>'[55]PCA Costs'!F11</f>
        <v>0.1324361696054952</v>
      </c>
      <c r="G11" s="20">
        <f>'[55]PCA Costs'!G11</f>
        <v>0.14666868464792659</v>
      </c>
      <c r="H11" s="20">
        <f>'[55]PCA Costs'!H11</f>
        <v>9.2777169236386001E-2</v>
      </c>
      <c r="I11" s="20">
        <f>'[55]PCA Costs'!I11</f>
        <v>6.4636892642454535E-2</v>
      </c>
      <c r="J11" s="20">
        <f>'[55]PCA Costs'!J11</f>
        <v>1.8594889359473013E-4</v>
      </c>
      <c r="K11" s="20">
        <f>'[55]PCA Costs'!K11</f>
        <v>5.1266186882089771E-3</v>
      </c>
      <c r="L11" s="20">
        <f>'[55]PCA Costs'!L11</f>
        <v>0</v>
      </c>
      <c r="M11" s="20">
        <f>'[55]PCA Costs'!M11</f>
        <v>2.7436024162419342E-2</v>
      </c>
      <c r="N11" s="20">
        <f>'[55]PCA Costs'!N11</f>
        <v>0</v>
      </c>
      <c r="O11" s="20">
        <f>'[55]PCA Costs'!O11</f>
        <v>3.2945978575228446E-3</v>
      </c>
      <c r="P11" s="20">
        <f>'[55]PCA Costs'!P11</f>
        <v>3.4058286650739451E-4</v>
      </c>
    </row>
    <row r="12" spans="1:17" x14ac:dyDescent="0.2">
      <c r="A12" s="6">
        <f t="shared" si="0"/>
        <v>4</v>
      </c>
      <c r="B12" s="12" t="s">
        <v>44</v>
      </c>
      <c r="C12" s="21">
        <f>'[55]PCA Costs'!C12</f>
        <v>0.89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7" x14ac:dyDescent="0.2">
      <c r="A13" s="6">
        <f t="shared" si="0"/>
        <v>5</v>
      </c>
      <c r="B13" s="12" t="s">
        <v>45</v>
      </c>
      <c r="C13" s="21">
        <f>'[55]PCA Costs'!C13</f>
        <v>0.11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x14ac:dyDescent="0.2">
      <c r="A14" s="6">
        <f t="shared" si="0"/>
        <v>6</v>
      </c>
      <c r="C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x14ac:dyDescent="0.2">
      <c r="A15" s="6">
        <f t="shared" si="0"/>
        <v>7</v>
      </c>
      <c r="B15" s="10" t="s">
        <v>80</v>
      </c>
      <c r="C15" s="13">
        <f>SUM(E15:P15)</f>
        <v>2179544360.913527</v>
      </c>
      <c r="E15" s="14">
        <f>'[55]PCA Costs'!E15</f>
        <v>1245933372.3745434</v>
      </c>
      <c r="F15" s="14">
        <f>'[55]PCA Costs'!F15</f>
        <v>274903603.36808145</v>
      </c>
      <c r="G15" s="14">
        <f>'[55]PCA Costs'!G15</f>
        <v>276446081.55238307</v>
      </c>
      <c r="H15" s="14">
        <f>'[55]PCA Costs'!H15</f>
        <v>164288055.09765455</v>
      </c>
      <c r="I15" s="14">
        <f>'[55]PCA Costs'!I15</f>
        <v>120505066.16918504</v>
      </c>
      <c r="J15" s="14">
        <f>'[55]PCA Costs'!J15</f>
        <v>527754.80993304367</v>
      </c>
      <c r="K15" s="14">
        <f>'[55]PCA Costs'!K15</f>
        <v>13134928.706649601</v>
      </c>
      <c r="L15" s="14">
        <f>'[55]PCA Costs'!L15</f>
        <v>6942176.7569742277</v>
      </c>
      <c r="M15" s="14">
        <f>'[55]PCA Costs'!M15</f>
        <v>44292579.739311591</v>
      </c>
      <c r="N15" s="14">
        <f>'[55]PCA Costs'!N15</f>
        <v>13098445.152860822</v>
      </c>
      <c r="O15" s="14">
        <f>'[55]PCA Costs'!O15</f>
        <v>18767175.880790923</v>
      </c>
      <c r="P15" s="14">
        <f>'[55]PCA Costs'!P15</f>
        <v>705121.30515993293</v>
      </c>
    </row>
    <row r="16" spans="1:17" ht="10.15" customHeight="1" x14ac:dyDescent="0.2">
      <c r="A16" s="6">
        <f t="shared" si="0"/>
        <v>8</v>
      </c>
      <c r="B16" s="7"/>
    </row>
    <row r="17" spans="1:16" ht="10.9" customHeight="1" x14ac:dyDescent="0.2">
      <c r="A17" s="6">
        <f t="shared" si="0"/>
        <v>9</v>
      </c>
      <c r="B17" s="7" t="s">
        <v>81</v>
      </c>
      <c r="C17" s="13">
        <f>SUM(E17:P17)</f>
        <v>82300667.00581263</v>
      </c>
      <c r="E17" s="14">
        <f>'[55]PCA Costs'!E17</f>
        <v>44774403.145353243</v>
      </c>
      <c r="F17" s="14">
        <f>'[55]PCA Costs'!F17</f>
        <v>11637354.159992099</v>
      </c>
      <c r="G17" s="14">
        <f>'[55]PCA Costs'!G17</f>
        <v>8972754.1885492373</v>
      </c>
      <c r="H17" s="14">
        <f>'[55]PCA Costs'!H17</f>
        <v>5323116.7144631036</v>
      </c>
      <c r="I17" s="14">
        <f>'[55]PCA Costs'!I17</f>
        <v>4242331.592676946</v>
      </c>
      <c r="J17" s="14">
        <f>'[55]PCA Costs'!J17</f>
        <v>17150.614727296965</v>
      </c>
      <c r="K17" s="14">
        <f>'[55]PCA Costs'!K17</f>
        <v>370120.97276047437</v>
      </c>
      <c r="L17" s="14">
        <f>'[55]PCA Costs'!L17</f>
        <v>1110812.9075238416</v>
      </c>
      <c r="M17" s="14">
        <f>'[55]PCA Costs'!M17</f>
        <v>4461904.9807481915</v>
      </c>
      <c r="N17" s="14">
        <f>'[55]PCA Costs'!N17</f>
        <v>1077072.9172933849</v>
      </c>
      <c r="O17" s="14">
        <f>'[55]PCA Costs'!O17</f>
        <v>286414.50666749151</v>
      </c>
      <c r="P17" s="14">
        <f>'[55]PCA Costs'!P17</f>
        <v>27230.30505731501</v>
      </c>
    </row>
    <row r="18" spans="1:16" x14ac:dyDescent="0.2">
      <c r="A18" s="6">
        <f t="shared" si="0"/>
        <v>10</v>
      </c>
      <c r="C18" s="13"/>
      <c r="E18" s="195"/>
    </row>
    <row r="19" spans="1:16" x14ac:dyDescent="0.2">
      <c r="A19" s="6">
        <f t="shared" si="0"/>
        <v>11</v>
      </c>
      <c r="B19" s="7" t="s">
        <v>83</v>
      </c>
      <c r="C19" s="14">
        <f>'Exhibit A-1'!F38</f>
        <v>497557351.32673275</v>
      </c>
      <c r="E19" s="19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">
      <c r="A20" s="6">
        <f t="shared" si="0"/>
        <v>12</v>
      </c>
      <c r="B20" s="7" t="s">
        <v>82</v>
      </c>
      <c r="C20" s="25">
        <f>'Exhibit A-1'!G38</f>
        <v>741768714.85178101</v>
      </c>
      <c r="E20" s="19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2">
      <c r="A21" s="6">
        <f t="shared" si="0"/>
        <v>13</v>
      </c>
      <c r="B21" s="7" t="s">
        <v>84</v>
      </c>
      <c r="C21" s="24">
        <f>SUM(C19:C20)</f>
        <v>1239326066.1785138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">
      <c r="A22" s="6">
        <f t="shared" si="0"/>
        <v>14</v>
      </c>
      <c r="B22" s="7"/>
      <c r="C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">
      <c r="A23" s="6">
        <f t="shared" si="0"/>
        <v>15</v>
      </c>
      <c r="B23" s="10" t="s">
        <v>59</v>
      </c>
      <c r="C23" s="13">
        <f>SUM(E23:P23)</f>
        <v>497557351.32673287</v>
      </c>
      <c r="E23" s="13">
        <f t="shared" ref="E23:P23" si="1">+$C$19*E$11</f>
        <v>262261142.1513696</v>
      </c>
      <c r="F23" s="13">
        <f t="shared" si="1"/>
        <v>65894589.768768139</v>
      </c>
      <c r="G23" s="13">
        <f t="shared" si="1"/>
        <v>72976082.255998194</v>
      </c>
      <c r="H23" s="13">
        <f t="shared" si="1"/>
        <v>46161962.588848248</v>
      </c>
      <c r="I23" s="13">
        <f t="shared" si="1"/>
        <v>32160561.101170059</v>
      </c>
      <c r="J23" s="13">
        <f t="shared" si="1"/>
        <v>92520.238979130387</v>
      </c>
      <c r="K23" s="13">
        <f t="shared" si="1"/>
        <v>2550786.8157673879</v>
      </c>
      <c r="L23" s="13">
        <f t="shared" si="1"/>
        <v>0</v>
      </c>
      <c r="M23" s="13">
        <f t="shared" si="1"/>
        <v>13650995.513189608</v>
      </c>
      <c r="N23" s="13">
        <f t="shared" si="1"/>
        <v>0</v>
      </c>
      <c r="O23" s="13">
        <f t="shared" si="1"/>
        <v>1639251.383675795</v>
      </c>
      <c r="P23" s="13">
        <f t="shared" si="1"/>
        <v>169459.50896668542</v>
      </c>
    </row>
    <row r="24" spans="1:16" x14ac:dyDescent="0.2">
      <c r="A24" s="6">
        <f t="shared" si="0"/>
        <v>16</v>
      </c>
      <c r="B24" s="10" t="s">
        <v>60</v>
      </c>
      <c r="C24" s="26">
        <f>SUM(E24:P24)</f>
        <v>741768714.85178125</v>
      </c>
      <c r="E24" s="26">
        <f t="shared" ref="E24:P24" si="2">+$C$20*E$11</f>
        <v>390984295.27862471</v>
      </c>
      <c r="F24" s="26">
        <f t="shared" si="2"/>
        <v>98237007.328160673</v>
      </c>
      <c r="G24" s="26">
        <f t="shared" si="2"/>
        <v>108794241.72029366</v>
      </c>
      <c r="H24" s="26">
        <f t="shared" si="2"/>
        <v>68819201.592060238</v>
      </c>
      <c r="I24" s="26">
        <f t="shared" si="2"/>
        <v>47945624.787406042</v>
      </c>
      <c r="J24" s="26">
        <f t="shared" si="2"/>
        <v>137931.07182987354</v>
      </c>
      <c r="K24" s="26">
        <f t="shared" si="2"/>
        <v>3802765.3558878964</v>
      </c>
      <c r="L24" s="26">
        <f t="shared" si="2"/>
        <v>0</v>
      </c>
      <c r="M24" s="26">
        <f t="shared" si="2"/>
        <v>20351184.383600205</v>
      </c>
      <c r="N24" s="26">
        <f t="shared" si="2"/>
        <v>0</v>
      </c>
      <c r="O24" s="26">
        <f t="shared" si="2"/>
        <v>2443829.6187281515</v>
      </c>
      <c r="P24" s="26">
        <f t="shared" si="2"/>
        <v>252633.71518972571</v>
      </c>
    </row>
    <row r="25" spans="1:16" x14ac:dyDescent="0.2">
      <c r="A25" s="6">
        <f t="shared" si="0"/>
        <v>17</v>
      </c>
      <c r="B25" s="12" t="s">
        <v>68</v>
      </c>
      <c r="C25" s="13">
        <f>SUM(E25:P25)</f>
        <v>1239326066.1785138</v>
      </c>
      <c r="E25" s="13">
        <f t="shared" ref="E25:P25" si="3">SUM(E23:E24)</f>
        <v>653245437.42999434</v>
      </c>
      <c r="F25" s="13">
        <f t="shared" si="3"/>
        <v>164131597.09692881</v>
      </c>
      <c r="G25" s="13">
        <f t="shared" si="3"/>
        <v>181770323.97629184</v>
      </c>
      <c r="H25" s="13">
        <f t="shared" si="3"/>
        <v>114981164.18090849</v>
      </c>
      <c r="I25" s="13">
        <f t="shared" si="3"/>
        <v>80106185.888576105</v>
      </c>
      <c r="J25" s="13">
        <f t="shared" si="3"/>
        <v>230451.31080900395</v>
      </c>
      <c r="K25" s="13">
        <f t="shared" si="3"/>
        <v>6353552.1716552842</v>
      </c>
      <c r="L25" s="13">
        <f t="shared" si="3"/>
        <v>0</v>
      </c>
      <c r="M25" s="13">
        <f t="shared" si="3"/>
        <v>34002179.896789812</v>
      </c>
      <c r="N25" s="13">
        <f t="shared" si="3"/>
        <v>0</v>
      </c>
      <c r="O25" s="13">
        <f t="shared" si="3"/>
        <v>4083081.0024039466</v>
      </c>
      <c r="P25" s="13">
        <f t="shared" si="3"/>
        <v>422093.22415641113</v>
      </c>
    </row>
    <row r="26" spans="1:16" x14ac:dyDescent="0.2">
      <c r="A26" s="6">
        <f t="shared" si="0"/>
        <v>18</v>
      </c>
      <c r="B26" s="7"/>
      <c r="C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16" customFormat="1" x14ac:dyDescent="0.2">
      <c r="A27" s="6">
        <f t="shared" si="0"/>
        <v>19</v>
      </c>
      <c r="B27" s="15" t="s">
        <v>55</v>
      </c>
    </row>
    <row r="28" spans="1:16" s="16" customFormat="1" x14ac:dyDescent="0.2">
      <c r="A28" s="6">
        <f t="shared" si="0"/>
        <v>20</v>
      </c>
      <c r="B28" s="15" t="s">
        <v>56</v>
      </c>
      <c r="C28" s="17">
        <f>SUM(E28:P28)</f>
        <v>0.89000099999999993</v>
      </c>
      <c r="D28" s="17"/>
      <c r="E28" s="17">
        <f t="shared" ref="E28:P28" si="4">ROUND(+$C$12*E9/$C$9,6)</f>
        <v>0.46365800000000001</v>
      </c>
      <c r="F28" s="17">
        <f t="shared" si="4"/>
        <v>0.11781</v>
      </c>
      <c r="G28" s="17">
        <f t="shared" si="4"/>
        <v>0.13101399999999999</v>
      </c>
      <c r="H28" s="17">
        <f t="shared" si="4"/>
        <v>8.4552000000000002E-2</v>
      </c>
      <c r="I28" s="17">
        <f t="shared" si="4"/>
        <v>5.8826000000000003E-2</v>
      </c>
      <c r="J28" s="17">
        <f t="shared" si="4"/>
        <v>1.8599999999999999E-4</v>
      </c>
      <c r="K28" s="17">
        <f t="shared" si="4"/>
        <v>5.1269999999999996E-3</v>
      </c>
      <c r="L28" s="17">
        <f t="shared" si="4"/>
        <v>0</v>
      </c>
      <c r="M28" s="17">
        <f t="shared" si="4"/>
        <v>2.5461999999999999E-2</v>
      </c>
      <c r="N28" s="17">
        <f t="shared" si="4"/>
        <v>0</v>
      </c>
      <c r="O28" s="17">
        <f t="shared" si="4"/>
        <v>3.0660000000000001E-3</v>
      </c>
      <c r="P28" s="17">
        <f t="shared" si="4"/>
        <v>2.9999999999999997E-4</v>
      </c>
    </row>
    <row r="29" spans="1:16" s="16" customFormat="1" x14ac:dyDescent="0.2">
      <c r="A29" s="6">
        <f t="shared" si="0"/>
        <v>21</v>
      </c>
      <c r="B29" s="15" t="s">
        <v>57</v>
      </c>
      <c r="C29" s="17">
        <f>SUM(E29:P29)</f>
        <v>0.10999999999999999</v>
      </c>
      <c r="D29" s="17"/>
      <c r="E29" s="17">
        <f>ROUND(+$C$13*E10/$C$10,6)-0.000001</f>
        <v>6.3438999999999995E-2</v>
      </c>
      <c r="F29" s="17">
        <f t="shared" ref="F29:P29" si="5">ROUND(+$C$13*F10/$C$10,6)</f>
        <v>1.4626E-2</v>
      </c>
      <c r="G29" s="17">
        <f t="shared" si="5"/>
        <v>1.5654999999999999E-2</v>
      </c>
      <c r="H29" s="17">
        <f t="shared" si="5"/>
        <v>8.2249999999999997E-3</v>
      </c>
      <c r="I29" s="17">
        <f t="shared" si="5"/>
        <v>5.8110000000000002E-3</v>
      </c>
      <c r="J29" s="17">
        <f t="shared" si="5"/>
        <v>0</v>
      </c>
      <c r="K29" s="17">
        <f t="shared" si="5"/>
        <v>0</v>
      </c>
      <c r="L29" s="17">
        <f t="shared" si="5"/>
        <v>0</v>
      </c>
      <c r="M29" s="17">
        <f t="shared" si="5"/>
        <v>1.9740000000000001E-3</v>
      </c>
      <c r="N29" s="17">
        <f t="shared" si="5"/>
        <v>0</v>
      </c>
      <c r="O29" s="17">
        <f t="shared" si="5"/>
        <v>2.2900000000000001E-4</v>
      </c>
      <c r="P29" s="17">
        <f t="shared" si="5"/>
        <v>4.1E-5</v>
      </c>
    </row>
    <row r="30" spans="1:16" s="16" customFormat="1" x14ac:dyDescent="0.2">
      <c r="A30" s="6">
        <f t="shared" si="0"/>
        <v>22</v>
      </c>
      <c r="B30" s="15" t="s">
        <v>58</v>
      </c>
      <c r="C30" s="17">
        <f>SUM(E30:P30)</f>
        <v>1.0000010000000001</v>
      </c>
      <c r="E30" s="17">
        <f t="shared" ref="E30:P30" si="6">SUM(E28:E29)</f>
        <v>0.52709700000000004</v>
      </c>
      <c r="F30" s="17">
        <f t="shared" si="6"/>
        <v>0.132436</v>
      </c>
      <c r="G30" s="17">
        <f t="shared" si="6"/>
        <v>0.14666899999999999</v>
      </c>
      <c r="H30" s="17">
        <f t="shared" si="6"/>
        <v>9.2776999999999998E-2</v>
      </c>
      <c r="I30" s="17">
        <f t="shared" si="6"/>
        <v>6.4637E-2</v>
      </c>
      <c r="J30" s="17">
        <f t="shared" si="6"/>
        <v>1.8599999999999999E-4</v>
      </c>
      <c r="K30" s="17">
        <f t="shared" si="6"/>
        <v>5.1269999999999996E-3</v>
      </c>
      <c r="L30" s="17">
        <f t="shared" si="6"/>
        <v>0</v>
      </c>
      <c r="M30" s="17">
        <f t="shared" si="6"/>
        <v>2.7435999999999999E-2</v>
      </c>
      <c r="N30" s="17">
        <f t="shared" si="6"/>
        <v>0</v>
      </c>
      <c r="O30" s="17">
        <f t="shared" si="6"/>
        <v>3.2950000000000002E-3</v>
      </c>
      <c r="P30" s="17">
        <f t="shared" si="6"/>
        <v>3.4099999999999999E-4</v>
      </c>
    </row>
    <row r="31" spans="1:16" s="16" customFormat="1" x14ac:dyDescent="0.2">
      <c r="A31" s="6"/>
    </row>
    <row r="32" spans="1:16" x14ac:dyDescent="0.2">
      <c r="A32" s="18"/>
    </row>
    <row r="33" spans="1:1" x14ac:dyDescent="0.2">
      <c r="A33" s="18"/>
    </row>
    <row r="34" spans="1:1" x14ac:dyDescent="0.2">
      <c r="A34" s="18"/>
    </row>
    <row r="35" spans="1:1" x14ac:dyDescent="0.2">
      <c r="A35" s="18"/>
    </row>
    <row r="36" spans="1:1" x14ac:dyDescent="0.2">
      <c r="A36" s="18"/>
    </row>
    <row r="37" spans="1:1" x14ac:dyDescent="0.2">
      <c r="A37" s="18"/>
    </row>
    <row r="38" spans="1:1" x14ac:dyDescent="0.2">
      <c r="A38" s="18"/>
    </row>
    <row r="39" spans="1:1" x14ac:dyDescent="0.2">
      <c r="A39" s="18"/>
    </row>
    <row r="40" spans="1:1" x14ac:dyDescent="0.2">
      <c r="A40" s="18"/>
    </row>
    <row r="41" spans="1:1" x14ac:dyDescent="0.2">
      <c r="A41" s="18"/>
    </row>
    <row r="42" spans="1:1" x14ac:dyDescent="0.2">
      <c r="A42" s="18"/>
    </row>
    <row r="43" spans="1:1" x14ac:dyDescent="0.2">
      <c r="A43" s="18"/>
    </row>
    <row r="44" spans="1:1" x14ac:dyDescent="0.2">
      <c r="A44" s="18"/>
    </row>
    <row r="45" spans="1:1" x14ac:dyDescent="0.2">
      <c r="A45" s="18"/>
    </row>
    <row r="46" spans="1:1" x14ac:dyDescent="0.2">
      <c r="A46" s="18"/>
    </row>
    <row r="47" spans="1:1" x14ac:dyDescent="0.2">
      <c r="A47" s="18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25" workbookViewId="0">
      <selection activeCell="E58" sqref="E58"/>
    </sheetView>
  </sheetViews>
  <sheetFormatPr defaultColWidth="9.140625" defaultRowHeight="14.25" x14ac:dyDescent="0.2"/>
  <cols>
    <col min="1" max="1" width="7.42578125" style="86" customWidth="1"/>
    <col min="2" max="2" width="43" style="86" customWidth="1"/>
    <col min="3" max="3" width="16.85546875" style="86" bestFit="1" customWidth="1"/>
    <col min="4" max="4" width="13.28515625" style="86" bestFit="1" customWidth="1"/>
    <col min="5" max="5" width="5" style="86" bestFit="1" customWidth="1"/>
    <col min="6" max="6" width="15.7109375" style="86" bestFit="1" customWidth="1"/>
    <col min="7" max="7" width="13.5703125" style="86" bestFit="1" customWidth="1"/>
    <col min="8" max="8" width="5.5703125" style="86" customWidth="1"/>
    <col min="9" max="9" width="5.42578125" style="86" customWidth="1"/>
    <col min="10" max="10" width="32.28515625" style="87" customWidth="1"/>
    <col min="11" max="11" width="16.85546875" style="87" bestFit="1" customWidth="1"/>
    <col min="12" max="12" width="14" style="88" bestFit="1" customWidth="1"/>
    <col min="13" max="13" width="6" style="88" bestFit="1" customWidth="1"/>
    <col min="14" max="14" width="15.140625" style="86" bestFit="1" customWidth="1"/>
    <col min="15" max="15" width="16.85546875" style="86" bestFit="1" customWidth="1"/>
    <col min="16" max="16" width="14.5703125" style="86" bestFit="1" customWidth="1"/>
    <col min="17" max="16384" width="9.140625" style="86"/>
  </cols>
  <sheetData>
    <row r="1" spans="1:16" ht="20.25" x14ac:dyDescent="0.3">
      <c r="A1" s="85" t="s">
        <v>87</v>
      </c>
    </row>
    <row r="2" spans="1:16" ht="20.25" x14ac:dyDescent="0.3">
      <c r="A2" s="85" t="s">
        <v>88</v>
      </c>
    </row>
    <row r="3" spans="1:16" ht="13.9" customHeight="1" x14ac:dyDescent="0.3">
      <c r="A3" s="89"/>
    </row>
    <row r="4" spans="1:16" x14ac:dyDescent="0.2">
      <c r="A4" s="90"/>
    </row>
    <row r="5" spans="1:16" ht="15" x14ac:dyDescent="0.25">
      <c r="A5" s="90" t="s">
        <v>89</v>
      </c>
      <c r="C5" s="91" t="s">
        <v>90</v>
      </c>
    </row>
    <row r="6" spans="1:16" x14ac:dyDescent="0.2">
      <c r="A6" s="92">
        <v>3</v>
      </c>
      <c r="B6" s="86" t="s">
        <v>91</v>
      </c>
      <c r="C6" s="93">
        <f>+'[58]Electric Adj'!$AU$31+'[56]Unprotected DFIT Lead'!G9</f>
        <v>150405447.91445902</v>
      </c>
    </row>
    <row r="7" spans="1:16" x14ac:dyDescent="0.2">
      <c r="A7" s="92">
        <v>4</v>
      </c>
      <c r="B7" s="86" t="s">
        <v>92</v>
      </c>
      <c r="C7" s="94">
        <f>+'[56]Trans 12-2018'!G66</f>
        <v>79202112.316321075</v>
      </c>
    </row>
    <row r="8" spans="1:16" ht="15" thickBot="1" x14ac:dyDescent="0.25">
      <c r="A8" s="92">
        <v>5</v>
      </c>
      <c r="B8" s="86" t="s">
        <v>93</v>
      </c>
      <c r="C8" s="94">
        <f>+'[56]Rate Base Summarized'!G14</f>
        <v>1693438871.8557312</v>
      </c>
    </row>
    <row r="9" spans="1:16" ht="15" x14ac:dyDescent="0.25">
      <c r="A9" s="92">
        <f>+A8+1</f>
        <v>6</v>
      </c>
      <c r="C9" s="95">
        <f>SUM(C6:C8)</f>
        <v>1923046432.0865114</v>
      </c>
      <c r="J9" s="96" t="s">
        <v>94</v>
      </c>
      <c r="K9" s="97"/>
      <c r="L9" s="98"/>
      <c r="M9" s="99"/>
    </row>
    <row r="10" spans="1:16" ht="15" x14ac:dyDescent="0.25">
      <c r="A10" s="92">
        <f>+A9+1</f>
        <v>7</v>
      </c>
      <c r="B10" s="100" t="s">
        <v>95</v>
      </c>
      <c r="C10" s="101">
        <f>+'[58]COC, Def, ConvF'!$H$18</f>
        <v>7.0199999999999999E-2</v>
      </c>
      <c r="D10" s="102"/>
      <c r="E10" s="102"/>
      <c r="F10" s="103" t="s">
        <v>96</v>
      </c>
      <c r="G10" s="103" t="s">
        <v>97</v>
      </c>
      <c r="J10" s="104"/>
      <c r="K10" s="105"/>
      <c r="L10" s="106"/>
      <c r="M10" s="107"/>
    </row>
    <row r="11" spans="1:16" ht="15" x14ac:dyDescent="0.25">
      <c r="A11" s="92">
        <f>+A10+1</f>
        <v>8</v>
      </c>
      <c r="B11" s="100"/>
      <c r="C11" s="108"/>
      <c r="D11" s="109" t="s">
        <v>98</v>
      </c>
      <c r="E11" s="109"/>
      <c r="F11" s="103" t="s">
        <v>99</v>
      </c>
      <c r="G11" s="103" t="s">
        <v>99</v>
      </c>
      <c r="J11" s="104" t="s">
        <v>100</v>
      </c>
      <c r="K11" s="106"/>
      <c r="L11" s="106"/>
      <c r="M11" s="107"/>
    </row>
    <row r="12" spans="1:16" ht="15" x14ac:dyDescent="0.25">
      <c r="A12" s="92">
        <f>+A11+1</f>
        <v>9</v>
      </c>
      <c r="B12" s="100"/>
      <c r="C12" s="108"/>
      <c r="D12" s="110" t="s">
        <v>101</v>
      </c>
      <c r="E12" s="110"/>
      <c r="F12" s="111" t="s">
        <v>102</v>
      </c>
      <c r="G12" s="111" t="s">
        <v>103</v>
      </c>
      <c r="J12" s="104" t="s">
        <v>104</v>
      </c>
      <c r="K12" s="112" t="s">
        <v>105</v>
      </c>
      <c r="L12" s="112" t="s">
        <v>106</v>
      </c>
      <c r="M12" s="113" t="s">
        <v>107</v>
      </c>
    </row>
    <row r="13" spans="1:16" x14ac:dyDescent="0.2">
      <c r="A13" s="92" t="s">
        <v>108</v>
      </c>
      <c r="B13" s="100"/>
      <c r="C13" s="109" t="s">
        <v>109</v>
      </c>
      <c r="D13" s="114" t="s">
        <v>110</v>
      </c>
      <c r="E13" s="114" t="s">
        <v>111</v>
      </c>
      <c r="F13" s="114" t="s">
        <v>112</v>
      </c>
      <c r="G13" s="114" t="s">
        <v>113</v>
      </c>
      <c r="J13" s="115" t="s">
        <v>114</v>
      </c>
      <c r="K13" s="116">
        <f>SUM(C15,C18:C20,C25:C27,C30)</f>
        <v>734216998.04889345</v>
      </c>
      <c r="L13" s="117">
        <f>[58]Summary!$I$27-[58]Summary!$I$16</f>
        <v>734216998.04889345</v>
      </c>
      <c r="M13" s="118">
        <f>+K13-L13</f>
        <v>0</v>
      </c>
    </row>
    <row r="14" spans="1:16" x14ac:dyDescent="0.2">
      <c r="A14" s="119">
        <v>10</v>
      </c>
      <c r="B14" s="120" t="s">
        <v>115</v>
      </c>
      <c r="C14" s="121">
        <f>(C6*C$10/0.79)</f>
        <v>13365142.333664587</v>
      </c>
      <c r="D14" s="122">
        <f t="shared" ref="D14:D35" si="0">C14/$C$39</f>
        <v>0.65185300142285396</v>
      </c>
      <c r="E14" s="123" t="s">
        <v>116</v>
      </c>
      <c r="F14" s="121">
        <f>+C14</f>
        <v>13365142.333664587</v>
      </c>
      <c r="G14" s="121"/>
      <c r="J14" s="124"/>
      <c r="K14" s="105"/>
      <c r="L14" s="106"/>
      <c r="M14" s="107"/>
      <c r="O14" s="125"/>
    </row>
    <row r="15" spans="1:16" ht="15" x14ac:dyDescent="0.25">
      <c r="A15" s="119" t="s">
        <v>117</v>
      </c>
      <c r="B15" s="120" t="s">
        <v>118</v>
      </c>
      <c r="C15" s="126">
        <f>'[57]Power Cost Bridge to A-1'!$J$27</f>
        <v>4733258.1026060628</v>
      </c>
      <c r="D15" s="122">
        <f t="shared" si="0"/>
        <v>0.23085339636984042</v>
      </c>
      <c r="E15" s="123" t="s">
        <v>119</v>
      </c>
      <c r="F15" s="126"/>
      <c r="G15" s="126">
        <f>+C15</f>
        <v>4733258.1026060628</v>
      </c>
      <c r="J15" s="127" t="s">
        <v>120</v>
      </c>
      <c r="K15" s="128" t="s">
        <v>121</v>
      </c>
      <c r="L15" s="112" t="s">
        <v>106</v>
      </c>
      <c r="M15" s="129"/>
      <c r="N15" s="130"/>
      <c r="O15" s="131"/>
      <c r="P15" s="132"/>
    </row>
    <row r="16" spans="1:16" x14ac:dyDescent="0.2">
      <c r="A16" s="119">
        <v>11</v>
      </c>
      <c r="B16" s="133" t="s">
        <v>122</v>
      </c>
      <c r="C16" s="126">
        <f>(C7*$C$10/0.79)</f>
        <v>7037959.8539313152</v>
      </c>
      <c r="D16" s="122">
        <f t="shared" si="0"/>
        <v>0.3432597379171175</v>
      </c>
      <c r="E16" s="123" t="s">
        <v>116</v>
      </c>
      <c r="F16" s="126">
        <f>+C16</f>
        <v>7037959.8539313152</v>
      </c>
      <c r="G16" s="126"/>
      <c r="J16" s="134" t="s">
        <v>123</v>
      </c>
      <c r="K16" s="135">
        <f>SUM('[57]Power Cost Bridge to A-1'!$J$15:$J$17)+'[57]Power Cost Bridge to A-1'!$J$27</f>
        <v>446440196.55959803</v>
      </c>
      <c r="L16" s="106"/>
      <c r="M16" s="107"/>
      <c r="N16" s="132"/>
    </row>
    <row r="17" spans="1:13" x14ac:dyDescent="0.2">
      <c r="A17" s="119">
        <v>12</v>
      </c>
      <c r="B17" s="133" t="s">
        <v>124</v>
      </c>
      <c r="C17" s="126">
        <f>(C8*$C$10/0.79)</f>
        <v>150480264.30920547</v>
      </c>
      <c r="D17" s="122">
        <f t="shared" si="0"/>
        <v>7.3393166713821589</v>
      </c>
      <c r="E17" s="123" t="s">
        <v>116</v>
      </c>
      <c r="F17" s="126">
        <f>+C17</f>
        <v>150480264.30920547</v>
      </c>
      <c r="G17" s="126"/>
      <c r="J17" s="134" t="s">
        <v>125</v>
      </c>
      <c r="K17" s="135">
        <f>SUM('[57]Power Cost Bridge to A-1'!$J$13:$J$14)</f>
        <v>180672605.83404738</v>
      </c>
      <c r="L17" s="106"/>
      <c r="M17" s="107"/>
    </row>
    <row r="18" spans="1:13" x14ac:dyDescent="0.2">
      <c r="A18" s="119">
        <v>13</v>
      </c>
      <c r="B18" s="133" t="s">
        <v>126</v>
      </c>
      <c r="C18" s="126">
        <f>'[57]Power Cost Bridge to A-1'!$J$13</f>
        <v>37464673.568808615</v>
      </c>
      <c r="D18" s="122">
        <f t="shared" si="0"/>
        <v>1.8272502681577685</v>
      </c>
      <c r="E18" s="123" t="s">
        <v>119</v>
      </c>
      <c r="F18" s="126"/>
      <c r="G18" s="126">
        <f>+C18</f>
        <v>37464673.568808615</v>
      </c>
      <c r="J18" s="134" t="s">
        <v>127</v>
      </c>
      <c r="K18" s="135">
        <f>SUM('[57]Power Cost Bridge to A-1'!$J$18)</f>
        <v>112334321.32462588</v>
      </c>
      <c r="L18" s="106"/>
      <c r="M18" s="107"/>
    </row>
    <row r="19" spans="1:13" x14ac:dyDescent="0.2">
      <c r="A19" s="119">
        <v>14</v>
      </c>
      <c r="B19" s="133" t="s">
        <v>128</v>
      </c>
      <c r="C19" s="126">
        <f>'[57]Power Cost Bridge to A-1'!$J$15</f>
        <v>433447888.18948001</v>
      </c>
      <c r="D19" s="122">
        <f t="shared" si="0"/>
        <v>21.140388917896345</v>
      </c>
      <c r="E19" s="123" t="s">
        <v>119</v>
      </c>
      <c r="F19" s="126"/>
      <c r="G19" s="126">
        <f>+C19</f>
        <v>433447888.18948001</v>
      </c>
      <c r="J19" s="134" t="s">
        <v>129</v>
      </c>
      <c r="K19" s="135">
        <f>SUM('[57]Power Cost Bridge to A-1'!$J$19)</f>
        <v>-5469488.0226492053</v>
      </c>
      <c r="L19" s="106"/>
      <c r="M19" s="107"/>
    </row>
    <row r="20" spans="1:13" x14ac:dyDescent="0.2">
      <c r="A20" s="119">
        <v>15</v>
      </c>
      <c r="B20" s="133" t="s">
        <v>130</v>
      </c>
      <c r="C20" s="126">
        <f>'[57]Power Cost Bridge to A-1'!$J$16+'[56]For Prod Adj Expense'!H9</f>
        <v>8072158.7332714284</v>
      </c>
      <c r="D20" s="122">
        <f t="shared" si="0"/>
        <v>0.39370032633254676</v>
      </c>
      <c r="E20" s="123" t="s">
        <v>116</v>
      </c>
      <c r="F20" s="126">
        <f>+C20</f>
        <v>8072158.7332714284</v>
      </c>
      <c r="G20" s="126"/>
      <c r="J20" s="134" t="s">
        <v>131</v>
      </c>
      <c r="K20" s="135">
        <f>+'[57]Power Cost Bridge to A-1'!$J$20</f>
        <v>-21415123.754653782</v>
      </c>
      <c r="L20" s="106"/>
      <c r="M20" s="107"/>
    </row>
    <row r="21" spans="1:13" x14ac:dyDescent="0.2">
      <c r="A21" s="119" t="s">
        <v>132</v>
      </c>
      <c r="B21" s="136" t="s">
        <v>133</v>
      </c>
      <c r="C21" s="126">
        <f>'[56]For Prod Adj Expense'!H14</f>
        <v>8840460.579817621</v>
      </c>
      <c r="D21" s="122">
        <f t="shared" si="0"/>
        <v>0.43117241994492633</v>
      </c>
      <c r="E21" s="123" t="s">
        <v>116</v>
      </c>
      <c r="F21" s="126">
        <f>+C21</f>
        <v>8840460.579817621</v>
      </c>
      <c r="G21" s="126"/>
      <c r="J21" s="134" t="s">
        <v>134</v>
      </c>
      <c r="K21" s="135">
        <f>SUM('[57]Power Cost Bridge to A-1'!$J$24)</f>
        <v>108520132.47835678</v>
      </c>
      <c r="L21" s="106"/>
      <c r="M21" s="107"/>
    </row>
    <row r="22" spans="1:13" x14ac:dyDescent="0.2">
      <c r="A22" s="119" t="s">
        <v>135</v>
      </c>
      <c r="B22" s="136" t="s">
        <v>136</v>
      </c>
      <c r="C22" s="126">
        <f>'[56]For Prod Adj Expense'!H19</f>
        <v>3895439.2738404199</v>
      </c>
      <c r="D22" s="122">
        <f t="shared" si="0"/>
        <v>0.18999077743582118</v>
      </c>
      <c r="E22" s="123" t="s">
        <v>116</v>
      </c>
      <c r="F22" s="126">
        <f>+C22</f>
        <v>3895439.2738404199</v>
      </c>
      <c r="G22" s="126"/>
      <c r="J22" s="134" t="s">
        <v>137</v>
      </c>
      <c r="K22" s="135">
        <f>SUM('[57]Power Cost Bridge to A-1'!$J$25)</f>
        <v>876514.03</v>
      </c>
      <c r="L22" s="106"/>
      <c r="M22" s="107"/>
    </row>
    <row r="23" spans="1:13" x14ac:dyDescent="0.2">
      <c r="A23" s="119" t="s">
        <v>138</v>
      </c>
      <c r="B23" s="136" t="s">
        <v>139</v>
      </c>
      <c r="C23" s="126">
        <f>+'[58]Electric Adj'!$O$19</f>
        <v>777635.66528346541</v>
      </c>
      <c r="D23" s="122">
        <f t="shared" si="0"/>
        <v>3.7927328402008624E-2</v>
      </c>
      <c r="E23" s="123" t="s">
        <v>119</v>
      </c>
      <c r="F23" s="126"/>
      <c r="G23" s="126">
        <f>+C23</f>
        <v>777635.66528346541</v>
      </c>
      <c r="J23" s="134" t="s">
        <v>140</v>
      </c>
      <c r="K23" s="135">
        <f>+'[57]Power Cost Bridge to A-1'!$J$26</f>
        <v>-8666881.7085096519</v>
      </c>
      <c r="L23" s="106"/>
      <c r="M23" s="113" t="s">
        <v>107</v>
      </c>
    </row>
    <row r="24" spans="1:13" x14ac:dyDescent="0.2">
      <c r="A24" s="119" t="s">
        <v>141</v>
      </c>
      <c r="B24" s="136" t="s">
        <v>142</v>
      </c>
      <c r="C24" s="126">
        <f>'[56]For Prod Adj Expense'!H18</f>
        <v>1989467.6013443223</v>
      </c>
      <c r="D24" s="122">
        <f t="shared" si="0"/>
        <v>9.7031546301104138E-2</v>
      </c>
      <c r="E24" s="123" t="s">
        <v>116</v>
      </c>
      <c r="F24" s="126">
        <f>+C24</f>
        <v>1989467.6013443223</v>
      </c>
      <c r="G24" s="126"/>
      <c r="J24" s="134" t="s">
        <v>143</v>
      </c>
      <c r="K24" s="137">
        <f>SUM(K16:K23)</f>
        <v>813292276.7408154</v>
      </c>
      <c r="L24" s="137">
        <f>+'[57]Power Cost Bridge to A-1'!$J$28</f>
        <v>813292276.7408154</v>
      </c>
      <c r="M24" s="118">
        <f>+K24-L24</f>
        <v>0</v>
      </c>
    </row>
    <row r="25" spans="1:13" x14ac:dyDescent="0.2">
      <c r="A25" s="119" t="s">
        <v>144</v>
      </c>
      <c r="B25" s="136" t="s">
        <v>145</v>
      </c>
      <c r="C25" s="126">
        <f>+'[57]Power Cost Bridge to A-1'!$J$17</f>
        <v>426253.88751197996</v>
      </c>
      <c r="D25" s="122">
        <f t="shared" si="0"/>
        <v>2.0789518660266949E-2</v>
      </c>
      <c r="E25" s="123" t="s">
        <v>119</v>
      </c>
      <c r="F25" s="126"/>
      <c r="G25" s="126">
        <f>+C25</f>
        <v>426253.88751197996</v>
      </c>
      <c r="J25" s="134" t="s">
        <v>146</v>
      </c>
      <c r="K25" s="135">
        <f>-K20</f>
        <v>21415123.754653782</v>
      </c>
      <c r="L25" s="106"/>
      <c r="M25" s="107"/>
    </row>
    <row r="26" spans="1:13" x14ac:dyDescent="0.2">
      <c r="A26" s="119">
        <v>16</v>
      </c>
      <c r="B26" s="133" t="s">
        <v>147</v>
      </c>
      <c r="C26" s="126">
        <f>+'[57]Power Cost Bridge to A-1'!$J$14</f>
        <v>143207932.26523876</v>
      </c>
      <c r="D26" s="122">
        <f t="shared" si="0"/>
        <v>6.9846259878222252</v>
      </c>
      <c r="E26" s="123" t="s">
        <v>119</v>
      </c>
      <c r="F26" s="126"/>
      <c r="G26" s="126">
        <f>+C26</f>
        <v>143207932.26523876</v>
      </c>
      <c r="J26" s="134" t="s">
        <v>148</v>
      </c>
      <c r="K26" s="135">
        <f>-K21</f>
        <v>-108520132.47835678</v>
      </c>
      <c r="L26" s="135"/>
      <c r="M26" s="107"/>
    </row>
    <row r="27" spans="1:13" x14ac:dyDescent="0.2">
      <c r="A27" s="119">
        <v>17</v>
      </c>
      <c r="B27" s="133" t="s">
        <v>149</v>
      </c>
      <c r="C27" s="126">
        <f>'[57]Power Cost Bridge to A-1'!$J$18</f>
        <v>112334321.32462588</v>
      </c>
      <c r="D27" s="122">
        <f t="shared" si="0"/>
        <v>5.4788391092411963</v>
      </c>
      <c r="E27" s="123" t="s">
        <v>119</v>
      </c>
      <c r="F27" s="126"/>
      <c r="G27" s="126">
        <f>+C27</f>
        <v>112334321.32462588</v>
      </c>
      <c r="J27" s="134" t="s">
        <v>150</v>
      </c>
      <c r="K27" s="135">
        <f>-K22</f>
        <v>-876514.03</v>
      </c>
      <c r="L27" s="135"/>
      <c r="M27" s="107"/>
    </row>
    <row r="28" spans="1:13" x14ac:dyDescent="0.2">
      <c r="A28" s="119">
        <v>18</v>
      </c>
      <c r="B28" s="133" t="s">
        <v>151</v>
      </c>
      <c r="C28" s="126">
        <f>+'[57]Power Cost Bridge to A-1'!$J$26</f>
        <v>-8666881.7085096519</v>
      </c>
      <c r="D28" s="122">
        <f t="shared" si="0"/>
        <v>-0.42270652370372508</v>
      </c>
      <c r="E28" s="123" t="s">
        <v>116</v>
      </c>
      <c r="F28" s="126">
        <f>+C28</f>
        <v>-8666881.7085096519</v>
      </c>
      <c r="G28" s="126"/>
      <c r="J28" s="134" t="s">
        <v>152</v>
      </c>
      <c r="K28" s="135">
        <f>-K23</f>
        <v>8666881.7085096519</v>
      </c>
      <c r="L28" s="106"/>
      <c r="M28" s="107"/>
    </row>
    <row r="29" spans="1:13" x14ac:dyDescent="0.2">
      <c r="A29" s="119">
        <v>19</v>
      </c>
      <c r="B29" s="133" t="s">
        <v>134</v>
      </c>
      <c r="C29" s="126">
        <f>+[58]Summary!$G$29</f>
        <v>109175792.16812748</v>
      </c>
      <c r="D29" s="122">
        <f t="shared" si="0"/>
        <v>5.3247893685542556</v>
      </c>
      <c r="E29" s="123" t="s">
        <v>116</v>
      </c>
      <c r="F29" s="126">
        <f>+C29</f>
        <v>109175792.16812748</v>
      </c>
      <c r="G29" s="126"/>
      <c r="J29" s="134" t="s">
        <v>153</v>
      </c>
      <c r="K29" s="135">
        <f>SUM('[58]Detailed Summary'!$K$24,'[58]Detailed Summary'!$R$24,'[58]Detailed Summary'!$AN$24)</f>
        <v>239362.3532714289</v>
      </c>
      <c r="L29" s="135"/>
      <c r="M29" s="113" t="s">
        <v>107</v>
      </c>
    </row>
    <row r="30" spans="1:13" x14ac:dyDescent="0.2">
      <c r="A30" s="119">
        <v>20</v>
      </c>
      <c r="B30" s="133" t="s">
        <v>154</v>
      </c>
      <c r="C30" s="126">
        <f>-[58]Summary!$G$16</f>
        <v>-5469488.0226491988</v>
      </c>
      <c r="D30" s="122">
        <f t="shared" si="0"/>
        <v>-0.26676125811468715</v>
      </c>
      <c r="E30" s="123" t="s">
        <v>119</v>
      </c>
      <c r="F30" s="126"/>
      <c r="G30" s="126">
        <f>+C30</f>
        <v>-5469488.0226491988</v>
      </c>
      <c r="J30" s="124"/>
      <c r="K30" s="116">
        <f>SUM(K24:K29)</f>
        <v>734216998.04889369</v>
      </c>
      <c r="L30" s="138">
        <f>+L13</f>
        <v>734216998.04889345</v>
      </c>
      <c r="M30" s="118">
        <f>+K30-L30</f>
        <v>0</v>
      </c>
    </row>
    <row r="31" spans="1:13" x14ac:dyDescent="0.2">
      <c r="A31" s="119">
        <v>21</v>
      </c>
      <c r="B31" s="139" t="s">
        <v>155</v>
      </c>
      <c r="C31" s="126">
        <f>'[57]Power Cost Bridge to A-1'!$J$20</f>
        <v>-21415123.754653782</v>
      </c>
      <c r="D31" s="122">
        <f t="shared" si="0"/>
        <v>-1.0444716821422257</v>
      </c>
      <c r="E31" s="123" t="s">
        <v>119</v>
      </c>
      <c r="F31" s="126"/>
      <c r="G31" s="126">
        <f>+C31</f>
        <v>-21415123.754653782</v>
      </c>
      <c r="J31" s="124"/>
      <c r="K31" s="105"/>
      <c r="L31" s="106"/>
      <c r="M31" s="107"/>
    </row>
    <row r="32" spans="1:13" ht="15" x14ac:dyDescent="0.25">
      <c r="A32" s="119">
        <v>22</v>
      </c>
      <c r="B32" s="133" t="s">
        <v>137</v>
      </c>
      <c r="C32" s="126">
        <f>'[57]Power Cost Bridge to A-1'!$J$25</f>
        <v>876514.03</v>
      </c>
      <c r="D32" s="122">
        <f t="shared" si="0"/>
        <v>4.274988525977641E-2</v>
      </c>
      <c r="E32" s="123" t="s">
        <v>116</v>
      </c>
      <c r="F32" s="126">
        <f>+C32</f>
        <v>876514.03</v>
      </c>
      <c r="G32" s="126"/>
      <c r="J32" s="104" t="s">
        <v>156</v>
      </c>
      <c r="K32" s="105"/>
      <c r="L32" s="135"/>
      <c r="M32" s="107"/>
    </row>
    <row r="33" spans="1:13" x14ac:dyDescent="0.2">
      <c r="A33" s="119">
        <v>23</v>
      </c>
      <c r="B33" s="140" t="s">
        <v>157</v>
      </c>
      <c r="C33" s="126">
        <f>'[56]For Prod Adj Expense'!C43</f>
        <v>169567639.20922089</v>
      </c>
      <c r="D33" s="122">
        <f t="shared" si="0"/>
        <v>8.2702579443769508</v>
      </c>
      <c r="E33" s="123" t="s">
        <v>116</v>
      </c>
      <c r="F33" s="126">
        <f>+C33</f>
        <v>169567639.20922089</v>
      </c>
      <c r="G33" s="126"/>
      <c r="J33" s="134" t="s">
        <v>158</v>
      </c>
      <c r="K33" s="135">
        <f>+K21</f>
        <v>108520132.47835678</v>
      </c>
      <c r="L33" s="135"/>
      <c r="M33" s="107"/>
    </row>
    <row r="34" spans="1:13" x14ac:dyDescent="0.2">
      <c r="A34" s="119">
        <v>24</v>
      </c>
      <c r="B34" s="140" t="s">
        <v>159</v>
      </c>
      <c r="C34" s="126">
        <f>+'[56]Trans 12-2018'!I66</f>
        <v>3531950.8300239993</v>
      </c>
      <c r="D34" s="122">
        <f t="shared" si="0"/>
        <v>0.17226249387781967</v>
      </c>
      <c r="E34" s="123" t="s">
        <v>116</v>
      </c>
      <c r="F34" s="126">
        <f>+C34</f>
        <v>3531950.8300239993</v>
      </c>
      <c r="G34" s="126"/>
      <c r="J34" s="134" t="s">
        <v>160</v>
      </c>
      <c r="K34" s="135">
        <f>SUM('[58]Detailed Summary'!$K$29,'[58]Detailed Summary'!$R$29,'[58]Detailed Summary'!$AN$29)</f>
        <v>655659.68977071228</v>
      </c>
      <c r="L34" s="135"/>
      <c r="M34" s="113" t="s">
        <v>107</v>
      </c>
    </row>
    <row r="35" spans="1:13" x14ac:dyDescent="0.2">
      <c r="A35" s="119">
        <v>25</v>
      </c>
      <c r="B35" s="140" t="s">
        <v>161</v>
      </c>
      <c r="C35" s="126">
        <f>D54+'[56]Unprotected DFIT Lead'!G13</f>
        <v>5068352.99318753</v>
      </c>
      <c r="D35" s="122">
        <f t="shared" si="0"/>
        <v>0.24719685196004362</v>
      </c>
      <c r="E35" s="123" t="s">
        <v>116</v>
      </c>
      <c r="F35" s="126">
        <f>+C35</f>
        <v>5068352.99318753</v>
      </c>
      <c r="G35" s="126"/>
      <c r="H35" s="88"/>
      <c r="J35" s="134"/>
      <c r="K35" s="116">
        <f>SUM(K33:K34)</f>
        <v>109175792.16812749</v>
      </c>
      <c r="L35" s="116">
        <f>+'[58]Detailed Summary'!$BK$29</f>
        <v>109175792.16812748</v>
      </c>
      <c r="M35" s="118">
        <f>+K35-L35</f>
        <v>0</v>
      </c>
    </row>
    <row r="36" spans="1:13" ht="15" thickBot="1" x14ac:dyDescent="0.25">
      <c r="A36" s="119">
        <v>27</v>
      </c>
      <c r="B36" s="141" t="s">
        <v>162</v>
      </c>
      <c r="C36" s="142">
        <f>SUM(C14:C35)</f>
        <v>1178741611.433377</v>
      </c>
      <c r="D36" s="143">
        <f>SUM(D14:D35)</f>
        <v>57.490316087354387</v>
      </c>
      <c r="E36" s="144"/>
      <c r="F36" s="145">
        <f>SUM(F14:F35)</f>
        <v>473234260.20712543</v>
      </c>
      <c r="G36" s="145">
        <f>SUM(G14:G35)</f>
        <v>705507351.22625172</v>
      </c>
      <c r="H36" s="146">
        <f>SUM(F36:G36)-C36</f>
        <v>0</v>
      </c>
      <c r="I36" s="147"/>
      <c r="J36" s="134"/>
      <c r="K36" s="105"/>
      <c r="L36" s="135"/>
      <c r="M36" s="107"/>
    </row>
    <row r="37" spans="1:13" ht="15" x14ac:dyDescent="0.25">
      <c r="A37" s="119">
        <v>28</v>
      </c>
      <c r="B37" s="133" t="s">
        <v>163</v>
      </c>
      <c r="C37" s="148">
        <f>'[58]COC, Def, ConvF'!$M$18</f>
        <v>0.95111500000000004</v>
      </c>
      <c r="D37" s="149"/>
      <c r="E37" s="149"/>
      <c r="F37" s="150">
        <f>+C37</f>
        <v>0.95111500000000004</v>
      </c>
      <c r="G37" s="150">
        <f>+C37</f>
        <v>0.95111500000000004</v>
      </c>
      <c r="H37" s="88"/>
      <c r="J37" s="104" t="s">
        <v>164</v>
      </c>
      <c r="K37" s="105"/>
      <c r="L37" s="106"/>
      <c r="M37" s="107"/>
    </row>
    <row r="38" spans="1:13" x14ac:dyDescent="0.2">
      <c r="A38" s="119">
        <v>29</v>
      </c>
      <c r="B38" s="133" t="s">
        <v>165</v>
      </c>
      <c r="C38" s="151">
        <f>+C36/C37</f>
        <v>1239326066.1785135</v>
      </c>
      <c r="D38" s="126"/>
      <c r="E38" s="126"/>
      <c r="F38" s="151">
        <f>+F36/F37</f>
        <v>497557351.32673275</v>
      </c>
      <c r="G38" s="151">
        <f>+G36/G37</f>
        <v>741768714.85178101</v>
      </c>
      <c r="H38" s="146">
        <f>SUM(F38:G38)-C38</f>
        <v>0</v>
      </c>
      <c r="I38" s="147"/>
      <c r="J38" s="124" t="s">
        <v>166</v>
      </c>
      <c r="K38" s="135">
        <f>+C35</f>
        <v>5068352.99318753</v>
      </c>
      <c r="L38" s="106"/>
      <c r="M38" s="107"/>
    </row>
    <row r="39" spans="1:13" x14ac:dyDescent="0.2">
      <c r="A39" s="119">
        <v>30</v>
      </c>
      <c r="B39" s="133" t="s">
        <v>167</v>
      </c>
      <c r="C39" s="126">
        <f>'[57]Production Factor'!$D$42/1000</f>
        <v>20503307.194246825</v>
      </c>
      <c r="D39" s="126"/>
      <c r="E39" s="126"/>
      <c r="F39" s="133"/>
      <c r="G39" s="133"/>
      <c r="H39" s="88"/>
      <c r="J39" s="124" t="s">
        <v>168</v>
      </c>
      <c r="K39" s="135">
        <f>+C21</f>
        <v>8840460.579817621</v>
      </c>
      <c r="L39" s="106"/>
      <c r="M39" s="107"/>
    </row>
    <row r="40" spans="1:13" x14ac:dyDescent="0.2">
      <c r="A40" s="119">
        <v>31</v>
      </c>
      <c r="B40" s="133"/>
      <c r="C40" s="133"/>
      <c r="D40" s="152"/>
      <c r="E40" s="152"/>
      <c r="F40" s="133"/>
      <c r="G40" s="153"/>
      <c r="H40" s="88"/>
      <c r="J40" s="124" t="s">
        <v>136</v>
      </c>
      <c r="K40" s="135">
        <f>+C22</f>
        <v>3895439.2738404199</v>
      </c>
      <c r="L40" s="106"/>
      <c r="M40" s="107"/>
    </row>
    <row r="41" spans="1:13" x14ac:dyDescent="0.2">
      <c r="A41" s="119">
        <v>32</v>
      </c>
      <c r="B41" s="133"/>
      <c r="C41" s="154" t="s">
        <v>169</v>
      </c>
      <c r="D41" s="154" t="s">
        <v>170</v>
      </c>
      <c r="E41" s="154"/>
      <c r="F41" s="155"/>
      <c r="G41" s="156"/>
      <c r="H41" s="88"/>
      <c r="J41" s="124" t="s">
        <v>139</v>
      </c>
      <c r="K41" s="135">
        <f>+C23</f>
        <v>777635.66528346541</v>
      </c>
      <c r="L41" s="106"/>
      <c r="M41" s="107"/>
    </row>
    <row r="42" spans="1:13" x14ac:dyDescent="0.2">
      <c r="A42" s="119">
        <v>33</v>
      </c>
      <c r="B42" s="133"/>
      <c r="C42" s="157" t="s">
        <v>171</v>
      </c>
      <c r="D42" s="157" t="s">
        <v>171</v>
      </c>
      <c r="E42" s="157"/>
      <c r="F42" s="158"/>
      <c r="G42" s="159"/>
      <c r="H42" s="88"/>
      <c r="J42" s="124" t="s">
        <v>172</v>
      </c>
      <c r="K42" s="135">
        <f>+C24</f>
        <v>1989467.6013443223</v>
      </c>
      <c r="L42" s="106"/>
      <c r="M42" s="107"/>
    </row>
    <row r="43" spans="1:13" x14ac:dyDescent="0.2">
      <c r="A43" s="119">
        <v>34</v>
      </c>
      <c r="B43" s="133"/>
      <c r="C43" s="160" t="s">
        <v>173</v>
      </c>
      <c r="D43" s="161"/>
      <c r="E43" s="161"/>
      <c r="F43" s="154"/>
      <c r="G43" s="154"/>
      <c r="H43" s="88"/>
      <c r="J43" s="124" t="s">
        <v>140</v>
      </c>
      <c r="K43" s="162">
        <f>+C28</f>
        <v>-8666881.7085096519</v>
      </c>
      <c r="L43" s="106"/>
      <c r="M43" s="107"/>
    </row>
    <row r="44" spans="1:13" x14ac:dyDescent="0.2">
      <c r="A44" s="119">
        <v>35</v>
      </c>
      <c r="B44" s="133" t="s">
        <v>174</v>
      </c>
      <c r="C44" s="122">
        <f>D36</f>
        <v>57.490316087354387</v>
      </c>
      <c r="D44" s="122">
        <f>C44/$C$37</f>
        <v>60.445178645436549</v>
      </c>
      <c r="E44" s="122"/>
      <c r="F44" s="122"/>
      <c r="G44" s="163"/>
      <c r="J44" s="124" t="s">
        <v>137</v>
      </c>
      <c r="K44" s="162">
        <f>+C32</f>
        <v>876514.03</v>
      </c>
      <c r="L44" s="106"/>
      <c r="M44" s="107"/>
    </row>
    <row r="45" spans="1:13" x14ac:dyDescent="0.2">
      <c r="A45" s="119">
        <v>36</v>
      </c>
      <c r="B45" s="133" t="s">
        <v>175</v>
      </c>
      <c r="C45" s="122">
        <f>SUM(D14,D16:D17,D20:D22,D24,D28:D29,D32:D35)</f>
        <v>23.080874501061651</v>
      </c>
      <c r="D45" s="122">
        <f>C45/C$37</f>
        <v>24.267175368973941</v>
      </c>
      <c r="E45" s="122"/>
      <c r="F45" s="164"/>
      <c r="G45" s="133"/>
      <c r="J45" s="124" t="s">
        <v>176</v>
      </c>
      <c r="K45" s="162">
        <f>+C33</f>
        <v>169567639.20922089</v>
      </c>
      <c r="L45" s="106"/>
      <c r="M45" s="107"/>
    </row>
    <row r="46" spans="1:13" x14ac:dyDescent="0.2">
      <c r="A46" s="119">
        <v>37</v>
      </c>
      <c r="B46" s="133" t="s">
        <v>177</v>
      </c>
      <c r="C46" s="165">
        <f>SUM(D15,D18:D19,D23,D25:D27,D30:D31)</f>
        <v>34.409441586292736</v>
      </c>
      <c r="D46" s="165">
        <f>C46/C$37</f>
        <v>36.178003276462611</v>
      </c>
      <c r="E46" s="122"/>
      <c r="F46" s="164"/>
      <c r="G46" s="133"/>
      <c r="J46" s="124" t="s">
        <v>178</v>
      </c>
      <c r="K46" s="162">
        <f>+C34</f>
        <v>3531950.8300239993</v>
      </c>
      <c r="L46" s="106"/>
      <c r="M46" s="107"/>
    </row>
    <row r="47" spans="1:13" x14ac:dyDescent="0.2">
      <c r="A47" s="119">
        <v>38</v>
      </c>
      <c r="B47" s="133" t="s">
        <v>174</v>
      </c>
      <c r="C47" s="122">
        <f>SUM(C45:C46)</f>
        <v>57.490316087354387</v>
      </c>
      <c r="D47" s="122">
        <f>SUM(D45:D46)</f>
        <v>60.445178645436556</v>
      </c>
      <c r="E47" s="122"/>
      <c r="F47" s="122"/>
      <c r="G47" s="163"/>
      <c r="J47" s="124" t="s">
        <v>179</v>
      </c>
      <c r="K47" s="162">
        <f>+C31</f>
        <v>-21415123.754653782</v>
      </c>
      <c r="L47" s="106"/>
      <c r="M47" s="107"/>
    </row>
    <row r="48" spans="1:13" x14ac:dyDescent="0.2">
      <c r="A48" s="90"/>
      <c r="J48" s="124" t="s">
        <v>180</v>
      </c>
      <c r="K48" s="116">
        <f>SUM(K38:K47)</f>
        <v>164465454.71955481</v>
      </c>
      <c r="L48" s="106"/>
      <c r="M48" s="107"/>
    </row>
    <row r="49" spans="1:13" ht="15.75" thickBot="1" x14ac:dyDescent="0.3">
      <c r="A49" s="90"/>
      <c r="B49" s="166"/>
      <c r="C49" s="133"/>
      <c r="D49" s="167" t="s">
        <v>181</v>
      </c>
      <c r="E49"/>
      <c r="F49"/>
      <c r="G49"/>
      <c r="J49" s="124"/>
      <c r="K49" s="105"/>
      <c r="L49" s="106"/>
      <c r="M49" s="107"/>
    </row>
    <row r="50" spans="1:13" ht="15" x14ac:dyDescent="0.25">
      <c r="A50" s="90"/>
      <c r="B50" s="168" t="s">
        <v>182</v>
      </c>
      <c r="C50" s="169" t="s">
        <v>183</v>
      </c>
      <c r="D50" s="170" t="s">
        <v>184</v>
      </c>
      <c r="E50"/>
      <c r="F50"/>
      <c r="G50"/>
      <c r="J50" s="124" t="s">
        <v>185</v>
      </c>
      <c r="K50" s="171">
        <f>SUM(K30,K35,K48)</f>
        <v>1007858244.936576</v>
      </c>
      <c r="L50" s="106"/>
      <c r="M50" s="107"/>
    </row>
    <row r="51" spans="1:13" ht="15" x14ac:dyDescent="0.25">
      <c r="A51" s="90"/>
      <c r="B51" s="172" t="s">
        <v>186</v>
      </c>
      <c r="C51" s="173">
        <v>407</v>
      </c>
      <c r="D51" s="174">
        <f>+'[58]Electric Adj'!$AU$47</f>
        <v>4459451.03318753</v>
      </c>
      <c r="E51"/>
      <c r="F51"/>
      <c r="G51"/>
      <c r="J51" s="124"/>
      <c r="K51" s="105"/>
      <c r="L51" s="106"/>
      <c r="M51" s="107"/>
    </row>
    <row r="52" spans="1:13" ht="15" x14ac:dyDescent="0.25">
      <c r="A52" s="90"/>
      <c r="B52" s="175" t="s">
        <v>187</v>
      </c>
      <c r="C52" s="167">
        <v>407.3</v>
      </c>
      <c r="D52" s="176">
        <f>+'[58]Electric Adj'!$AU$41</f>
        <v>687420</v>
      </c>
      <c r="E52"/>
      <c r="F52"/>
      <c r="G52"/>
      <c r="J52" s="124" t="s">
        <v>188</v>
      </c>
      <c r="K52" s="171">
        <f>SUM(C14,C16:C17)</f>
        <v>170883366.49680138</v>
      </c>
      <c r="L52" s="106"/>
      <c r="M52" s="107"/>
    </row>
    <row r="53" spans="1:13" ht="15" x14ac:dyDescent="0.25">
      <c r="A53" s="90"/>
      <c r="B53" s="175" t="s">
        <v>189</v>
      </c>
      <c r="C53" s="167">
        <v>407.3</v>
      </c>
      <c r="D53" s="176">
        <f>+'[58]Electric Adj'!$AU$37</f>
        <v>2885052</v>
      </c>
      <c r="E53"/>
      <c r="F53"/>
      <c r="G53"/>
      <c r="J53" s="124"/>
      <c r="K53" s="177"/>
      <c r="L53" s="106"/>
      <c r="M53" s="107"/>
    </row>
    <row r="54" spans="1:13" ht="15.75" thickBot="1" x14ac:dyDescent="0.3">
      <c r="A54" s="90"/>
      <c r="B54" s="175" t="s">
        <v>190</v>
      </c>
      <c r="C54" s="178"/>
      <c r="D54" s="179">
        <f>SUM(D51:D53)</f>
        <v>8031923.03318753</v>
      </c>
      <c r="E54"/>
      <c r="F54"/>
      <c r="G54"/>
      <c r="J54" s="124" t="s">
        <v>191</v>
      </c>
      <c r="K54" s="180">
        <f>SUM(K50,K52)</f>
        <v>1178741611.4333773</v>
      </c>
      <c r="L54" s="106"/>
      <c r="M54" s="107"/>
    </row>
    <row r="55" spans="1:13" ht="16.5" thickTop="1" thickBot="1" x14ac:dyDescent="0.3">
      <c r="A55" s="90"/>
      <c r="B55" s="181"/>
      <c r="C55" s="182" t="s">
        <v>192</v>
      </c>
      <c r="D55" s="183">
        <f>+'[58]Electric Adj'!$AU$49-D54</f>
        <v>0</v>
      </c>
      <c r="E55"/>
      <c r="F55"/>
      <c r="G55"/>
      <c r="J55" s="184" t="s">
        <v>193</v>
      </c>
      <c r="K55" s="185">
        <f>+C36-K54</f>
        <v>0</v>
      </c>
      <c r="L55" s="106"/>
      <c r="M55" s="107"/>
    </row>
    <row r="56" spans="1:13" ht="15" x14ac:dyDescent="0.25">
      <c r="A56" s="90"/>
      <c r="E56"/>
      <c r="F56"/>
      <c r="G56"/>
      <c r="J56" s="124"/>
      <c r="K56" s="105"/>
      <c r="L56" s="106"/>
      <c r="M56" s="107"/>
    </row>
    <row r="57" spans="1:13" ht="15" x14ac:dyDescent="0.25">
      <c r="A57" s="90"/>
      <c r="B57"/>
      <c r="C57"/>
      <c r="D57"/>
      <c r="E57"/>
      <c r="F57"/>
      <c r="G57"/>
      <c r="J57" s="104" t="s">
        <v>194</v>
      </c>
      <c r="K57" s="105"/>
      <c r="L57" s="106"/>
      <c r="M57" s="107"/>
    </row>
    <row r="58" spans="1:13" ht="15" x14ac:dyDescent="0.25">
      <c r="A58" s="90"/>
      <c r="B58"/>
      <c r="C58"/>
      <c r="D58"/>
      <c r="E58"/>
      <c r="F58"/>
      <c r="G58"/>
      <c r="J58" s="124" t="s">
        <v>195</v>
      </c>
      <c r="K58" s="162">
        <f>+C18</f>
        <v>37464673.568808615</v>
      </c>
      <c r="L58" s="106"/>
      <c r="M58" s="107"/>
    </row>
    <row r="59" spans="1:13" ht="15" x14ac:dyDescent="0.25">
      <c r="A59" s="90"/>
      <c r="B59"/>
      <c r="C59"/>
      <c r="D59"/>
      <c r="J59" s="124" t="s">
        <v>196</v>
      </c>
      <c r="K59" s="162">
        <f>+C26</f>
        <v>143207932.26523876</v>
      </c>
      <c r="L59" s="106"/>
      <c r="M59" s="107"/>
    </row>
    <row r="60" spans="1:13" ht="15" x14ac:dyDescent="0.25">
      <c r="A60" s="90"/>
      <c r="B60"/>
      <c r="C60"/>
      <c r="D60"/>
      <c r="J60" s="124" t="s">
        <v>197</v>
      </c>
      <c r="K60" s="186">
        <f>SUM(K58:K59)</f>
        <v>180672605.83404738</v>
      </c>
      <c r="L60" s="106"/>
      <c r="M60" s="107"/>
    </row>
    <row r="61" spans="1:13" ht="15" x14ac:dyDescent="0.25">
      <c r="A61" s="90"/>
      <c r="B61"/>
      <c r="C61"/>
      <c r="D61"/>
      <c r="J61" s="124" t="s">
        <v>198</v>
      </c>
      <c r="K61" s="187">
        <f>+[58]Summary!$G$23</f>
        <v>180672605.83404732</v>
      </c>
      <c r="L61" s="106"/>
      <c r="M61" s="107"/>
    </row>
    <row r="62" spans="1:13" ht="15" x14ac:dyDescent="0.25">
      <c r="A62" s="90"/>
      <c r="B62"/>
      <c r="C62"/>
      <c r="D62"/>
      <c r="J62" s="184" t="s">
        <v>193</v>
      </c>
      <c r="K62" s="188">
        <f>+K60-K61</f>
        <v>0</v>
      </c>
      <c r="L62" s="106"/>
      <c r="M62" s="107"/>
    </row>
    <row r="63" spans="1:13" ht="15" x14ac:dyDescent="0.25">
      <c r="A63" s="90"/>
      <c r="B63"/>
      <c r="C63"/>
      <c r="D63"/>
      <c r="J63" s="124"/>
      <c r="K63" s="105"/>
      <c r="L63" s="106"/>
      <c r="M63" s="107"/>
    </row>
    <row r="64" spans="1:13" ht="15" x14ac:dyDescent="0.25">
      <c r="A64" s="90"/>
      <c r="B64"/>
      <c r="C64"/>
      <c r="D64"/>
      <c r="J64" s="124" t="s">
        <v>199</v>
      </c>
      <c r="K64" s="162">
        <f>+C19</f>
        <v>433447888.18948001</v>
      </c>
      <c r="L64" s="106"/>
      <c r="M64" s="107"/>
    </row>
    <row r="65" spans="1:13" ht="15" x14ac:dyDescent="0.25">
      <c r="A65" s="90"/>
      <c r="B65"/>
      <c r="C65"/>
      <c r="D65"/>
      <c r="J65" s="124" t="s">
        <v>200</v>
      </c>
      <c r="K65" s="162">
        <f>+C20</f>
        <v>8072158.7332714284</v>
      </c>
      <c r="L65" s="106"/>
      <c r="M65" s="107"/>
    </row>
    <row r="66" spans="1:13" ht="15" x14ac:dyDescent="0.25">
      <c r="A66" s="90"/>
      <c r="B66"/>
      <c r="C66"/>
      <c r="D66"/>
      <c r="J66" s="124" t="s">
        <v>201</v>
      </c>
      <c r="K66" s="162">
        <f>+C25</f>
        <v>426253.88751197996</v>
      </c>
      <c r="L66" s="106"/>
      <c r="M66" s="107"/>
    </row>
    <row r="67" spans="1:13" ht="15" x14ac:dyDescent="0.25">
      <c r="A67" s="90"/>
      <c r="B67"/>
      <c r="C67"/>
      <c r="D67"/>
      <c r="J67" s="124" t="s">
        <v>202</v>
      </c>
      <c r="K67" s="162">
        <f>+C15</f>
        <v>4733258.1026060628</v>
      </c>
      <c r="L67" s="106"/>
      <c r="M67" s="107"/>
    </row>
    <row r="68" spans="1:13" ht="15" x14ac:dyDescent="0.25">
      <c r="A68" s="90"/>
      <c r="B68"/>
      <c r="C68"/>
      <c r="D68"/>
      <c r="J68" s="124" t="s">
        <v>203</v>
      </c>
      <c r="K68" s="186">
        <f>SUM(K64:K67)</f>
        <v>446679558.91286945</v>
      </c>
      <c r="L68" s="106"/>
      <c r="M68" s="107"/>
    </row>
    <row r="69" spans="1:13" ht="15" x14ac:dyDescent="0.25">
      <c r="A69" s="90"/>
      <c r="B69"/>
      <c r="C69"/>
      <c r="D69"/>
      <c r="J69" s="124" t="s">
        <v>204</v>
      </c>
      <c r="K69" s="189">
        <f>+[58]Summary!$G$24</f>
        <v>446679558.91286945</v>
      </c>
      <c r="L69" s="106"/>
      <c r="M69" s="107"/>
    </row>
    <row r="70" spans="1:13" ht="15" x14ac:dyDescent="0.25">
      <c r="A70" s="90"/>
      <c r="B70"/>
      <c r="C70"/>
      <c r="D70"/>
      <c r="J70" s="184" t="s">
        <v>193</v>
      </c>
      <c r="K70" s="188">
        <f>+K68-K69</f>
        <v>0</v>
      </c>
      <c r="L70" s="106"/>
      <c r="M70" s="107"/>
    </row>
    <row r="71" spans="1:13" ht="15" x14ac:dyDescent="0.25">
      <c r="A71" s="90"/>
      <c r="B71"/>
      <c r="C71"/>
      <c r="D71"/>
      <c r="J71" s="124"/>
      <c r="K71" s="105"/>
      <c r="L71" s="106"/>
      <c r="M71" s="107"/>
    </row>
    <row r="72" spans="1:13" ht="15" x14ac:dyDescent="0.25">
      <c r="A72" s="90"/>
      <c r="B72"/>
      <c r="C72"/>
      <c r="D72"/>
      <c r="J72" s="124" t="s">
        <v>205</v>
      </c>
      <c r="K72" s="162">
        <f>+C27</f>
        <v>112334321.32462588</v>
      </c>
      <c r="L72" s="106"/>
      <c r="M72" s="107"/>
    </row>
    <row r="73" spans="1:13" ht="15" x14ac:dyDescent="0.25">
      <c r="A73" s="90"/>
      <c r="B73"/>
      <c r="C73"/>
      <c r="D73"/>
      <c r="J73" s="124" t="s">
        <v>206</v>
      </c>
      <c r="K73" s="189">
        <f>+[58]Summary!$G$25</f>
        <v>112334321.32462588</v>
      </c>
      <c r="L73" s="106"/>
      <c r="M73" s="107"/>
    </row>
    <row r="74" spans="1:13" ht="15" x14ac:dyDescent="0.25">
      <c r="A74" s="90"/>
      <c r="B74"/>
      <c r="C74"/>
      <c r="D74"/>
      <c r="J74" s="184" t="s">
        <v>193</v>
      </c>
      <c r="K74" s="188">
        <f>+K72-K73</f>
        <v>0</v>
      </c>
      <c r="L74" s="106"/>
      <c r="M74" s="107"/>
    </row>
    <row r="75" spans="1:13" ht="15" x14ac:dyDescent="0.25">
      <c r="A75" s="90"/>
      <c r="B75"/>
      <c r="C75"/>
      <c r="D75"/>
      <c r="J75" s="124"/>
      <c r="K75" s="105"/>
      <c r="L75" s="106"/>
      <c r="M75" s="107"/>
    </row>
    <row r="76" spans="1:13" ht="15" x14ac:dyDescent="0.25">
      <c r="A76" s="90"/>
      <c r="B76"/>
      <c r="C76"/>
      <c r="D76"/>
      <c r="J76" s="124" t="s">
        <v>207</v>
      </c>
      <c r="K76" s="162">
        <f>+C29</f>
        <v>109175792.16812748</v>
      </c>
      <c r="L76" s="106"/>
      <c r="M76" s="107"/>
    </row>
    <row r="77" spans="1:13" ht="15" x14ac:dyDescent="0.25">
      <c r="A77" s="90"/>
      <c r="B77"/>
      <c r="C77"/>
      <c r="D77"/>
      <c r="J77" s="124" t="s">
        <v>208</v>
      </c>
      <c r="K77" s="187">
        <f>+[58]Summary!$G$29</f>
        <v>109175792.16812748</v>
      </c>
      <c r="L77" s="106"/>
      <c r="M77" s="107"/>
    </row>
    <row r="78" spans="1:13" ht="15" x14ac:dyDescent="0.25">
      <c r="A78" s="90"/>
      <c r="B78"/>
      <c r="C78"/>
      <c r="D78"/>
      <c r="J78" s="184" t="s">
        <v>193</v>
      </c>
      <c r="K78" s="188">
        <f>+K76-K77</f>
        <v>0</v>
      </c>
      <c r="L78" s="106"/>
      <c r="M78" s="107"/>
    </row>
    <row r="79" spans="1:13" ht="15" x14ac:dyDescent="0.25">
      <c r="A79" s="90"/>
      <c r="B79"/>
      <c r="C79"/>
      <c r="D79"/>
      <c r="J79" s="124"/>
      <c r="K79" s="105"/>
      <c r="L79" s="106"/>
      <c r="M79" s="107"/>
    </row>
    <row r="80" spans="1:13" ht="15" x14ac:dyDescent="0.25">
      <c r="A80" s="90"/>
      <c r="B80"/>
      <c r="C80"/>
      <c r="D80"/>
      <c r="J80" s="124" t="s">
        <v>209</v>
      </c>
      <c r="K80" s="162">
        <f>+C30</f>
        <v>-5469488.0226491988</v>
      </c>
      <c r="L80" s="106"/>
      <c r="M80" s="107"/>
    </row>
    <row r="81" spans="1:13" ht="15" x14ac:dyDescent="0.25">
      <c r="A81" s="90"/>
      <c r="B81"/>
      <c r="C81"/>
      <c r="D81"/>
      <c r="J81" s="124" t="s">
        <v>210</v>
      </c>
      <c r="K81" s="189">
        <f>-[58]Summary!$G$16</f>
        <v>-5469488.0226491988</v>
      </c>
      <c r="L81" s="106"/>
      <c r="M81" s="107"/>
    </row>
    <row r="82" spans="1:13" ht="15" x14ac:dyDescent="0.25">
      <c r="A82" s="90"/>
      <c r="B82"/>
      <c r="C82"/>
      <c r="D82"/>
      <c r="J82" s="184" t="s">
        <v>193</v>
      </c>
      <c r="K82" s="188">
        <f>+K80-K81</f>
        <v>0</v>
      </c>
      <c r="L82" s="106"/>
      <c r="M82" s="107"/>
    </row>
    <row r="83" spans="1:13" ht="15" thickBot="1" x14ac:dyDescent="0.25">
      <c r="A83" s="90"/>
      <c r="C83" s="190"/>
      <c r="D83" s="190"/>
      <c r="J83" s="191"/>
      <c r="K83" s="192"/>
      <c r="L83" s="193"/>
      <c r="M83" s="194"/>
    </row>
    <row r="84" spans="1:13" x14ac:dyDescent="0.2">
      <c r="A84" s="90"/>
      <c r="C84" s="190"/>
      <c r="D84" s="190"/>
    </row>
    <row r="85" spans="1:13" x14ac:dyDescent="0.2">
      <c r="A85" s="90"/>
      <c r="C85" s="190"/>
      <c r="D85" s="190"/>
    </row>
    <row r="86" spans="1:13" x14ac:dyDescent="0.2">
      <c r="A86" s="90"/>
      <c r="C86" s="190"/>
      <c r="D86" s="190"/>
    </row>
    <row r="87" spans="1:13" x14ac:dyDescent="0.2">
      <c r="A87" s="90"/>
      <c r="C87" s="190"/>
      <c r="D87" s="190"/>
    </row>
    <row r="88" spans="1:13" x14ac:dyDescent="0.2">
      <c r="A88" s="90"/>
      <c r="C88" s="190"/>
      <c r="D88" s="190"/>
    </row>
    <row r="89" spans="1:13" x14ac:dyDescent="0.2">
      <c r="A89" s="90"/>
      <c r="C89" s="190"/>
      <c r="D89" s="190"/>
    </row>
    <row r="90" spans="1:13" x14ac:dyDescent="0.2">
      <c r="A90" s="90"/>
    </row>
    <row r="91" spans="1:13" x14ac:dyDescent="0.2">
      <c r="A91" s="90"/>
    </row>
    <row r="92" spans="1:13" x14ac:dyDescent="0.2">
      <c r="A92" s="90"/>
    </row>
    <row r="93" spans="1:13" x14ac:dyDescent="0.2">
      <c r="A93" s="90"/>
    </row>
    <row r="94" spans="1:13" x14ac:dyDescent="0.2">
      <c r="A94" s="90"/>
    </row>
    <row r="95" spans="1:13" x14ac:dyDescent="0.2">
      <c r="A95" s="90"/>
    </row>
    <row r="96" spans="1:13" x14ac:dyDescent="0.2">
      <c r="A96" s="90"/>
    </row>
    <row r="97" spans="1:1" s="86" customFormat="1" x14ac:dyDescent="0.2">
      <c r="A97" s="90"/>
    </row>
    <row r="98" spans="1:1" s="86" customFormat="1" x14ac:dyDescent="0.2">
      <c r="A98" s="90"/>
    </row>
    <row r="99" spans="1:1" s="86" customFormat="1" x14ac:dyDescent="0.2">
      <c r="A99" s="90"/>
    </row>
    <row r="100" spans="1:1" s="86" customFormat="1" x14ac:dyDescent="0.2">
      <c r="A100" s="90"/>
    </row>
    <row r="101" spans="1:1" s="86" customFormat="1" x14ac:dyDescent="0.2">
      <c r="A101" s="90"/>
    </row>
    <row r="102" spans="1:1" s="86" customFormat="1" x14ac:dyDescent="0.2">
      <c r="A102" s="90"/>
    </row>
    <row r="103" spans="1:1" s="86" customFormat="1" x14ac:dyDescent="0.2">
      <c r="A103" s="90"/>
    </row>
    <row r="104" spans="1:1" s="86" customFormat="1" x14ac:dyDescent="0.2">
      <c r="A104" s="90"/>
    </row>
    <row r="105" spans="1:1" s="86" customFormat="1" x14ac:dyDescent="0.2">
      <c r="A105" s="90"/>
    </row>
    <row r="106" spans="1:1" s="86" customFormat="1" x14ac:dyDescent="0.2">
      <c r="A106" s="90"/>
    </row>
    <row r="107" spans="1:1" s="86" customFormat="1" x14ac:dyDescent="0.2">
      <c r="A107" s="90"/>
    </row>
    <row r="108" spans="1:1" s="86" customFormat="1" x14ac:dyDescent="0.2">
      <c r="A108" s="90"/>
    </row>
    <row r="109" spans="1:1" s="86" customFormat="1" x14ac:dyDescent="0.2">
      <c r="A109" s="90"/>
    </row>
    <row r="110" spans="1:1" s="86" customFormat="1" x14ac:dyDescent="0.2">
      <c r="A110" s="90"/>
    </row>
    <row r="111" spans="1:1" s="86" customFormat="1" x14ac:dyDescent="0.2">
      <c r="A111" s="90"/>
    </row>
    <row r="112" spans="1:1" s="86" customFormat="1" x14ac:dyDescent="0.2">
      <c r="A112" s="90"/>
    </row>
    <row r="113" spans="1:1" s="86" customFormat="1" x14ac:dyDescent="0.2">
      <c r="A113" s="90"/>
    </row>
    <row r="114" spans="1:1" s="86" customFormat="1" x14ac:dyDescent="0.2">
      <c r="A114" s="90"/>
    </row>
    <row r="115" spans="1:1" s="86" customFormat="1" x14ac:dyDescent="0.2">
      <c r="A115" s="90"/>
    </row>
    <row r="116" spans="1:1" s="86" customFormat="1" x14ac:dyDescent="0.2">
      <c r="A116" s="90"/>
    </row>
    <row r="117" spans="1:1" s="86" customFormat="1" x14ac:dyDescent="0.2">
      <c r="A117" s="90"/>
    </row>
    <row r="118" spans="1:1" s="86" customFormat="1" x14ac:dyDescent="0.2">
      <c r="A118" s="90"/>
    </row>
    <row r="119" spans="1:1" s="86" customFormat="1" x14ac:dyDescent="0.2">
      <c r="A119" s="90"/>
    </row>
    <row r="120" spans="1:1" s="86" customFormat="1" x14ac:dyDescent="0.2">
      <c r="A120" s="90"/>
    </row>
    <row r="121" spans="1:1" s="86" customFormat="1" x14ac:dyDescent="0.2">
      <c r="A121" s="90"/>
    </row>
    <row r="122" spans="1:1" s="86" customFormat="1" x14ac:dyDescent="0.2">
      <c r="A122" s="90"/>
    </row>
    <row r="123" spans="1:1" s="86" customFormat="1" x14ac:dyDescent="0.2">
      <c r="A123" s="90"/>
    </row>
    <row r="124" spans="1:1" s="86" customFormat="1" x14ac:dyDescent="0.2">
      <c r="A124" s="90"/>
    </row>
    <row r="125" spans="1:1" s="86" customFormat="1" x14ac:dyDescent="0.2">
      <c r="A125" s="90"/>
    </row>
    <row r="126" spans="1:1" s="86" customFormat="1" x14ac:dyDescent="0.2">
      <c r="A126" s="90"/>
    </row>
    <row r="127" spans="1:1" s="86" customFormat="1" x14ac:dyDescent="0.2">
      <c r="A127" s="90"/>
    </row>
    <row r="128" spans="1:1" s="86" customFormat="1" x14ac:dyDescent="0.2">
      <c r="A128" s="90"/>
    </row>
    <row r="129" spans="1:1" s="86" customFormat="1" x14ac:dyDescent="0.2">
      <c r="A129" s="90"/>
    </row>
    <row r="130" spans="1:1" s="86" customFormat="1" x14ac:dyDescent="0.2">
      <c r="A130" s="90"/>
    </row>
    <row r="131" spans="1:1" s="86" customFormat="1" x14ac:dyDescent="0.2">
      <c r="A131" s="90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D01B2B-5F87-46A2-8779-4FECE52F7BD0}"/>
</file>

<file path=customXml/itemProps2.xml><?xml version="1.0" encoding="utf-8"?>
<ds:datastoreItem xmlns:ds="http://schemas.openxmlformats.org/officeDocument/2006/customXml" ds:itemID="{25E26507-E872-4F81-A13A-0D5E6B3594C3}"/>
</file>

<file path=customXml/itemProps3.xml><?xml version="1.0" encoding="utf-8"?>
<ds:datastoreItem xmlns:ds="http://schemas.openxmlformats.org/officeDocument/2006/customXml" ds:itemID="{1DE5CBE4-6988-41F5-8FA6-316E66242ACC}"/>
</file>

<file path=customXml/itemProps4.xml><?xml version="1.0" encoding="utf-8"?>
<ds:datastoreItem xmlns:ds="http://schemas.openxmlformats.org/officeDocument/2006/customXml" ds:itemID="{290CD760-4E08-41EB-BE06-4F0952816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JAP-12 Page 1</vt:lpstr>
      <vt:lpstr>JAP-12 Page 2</vt:lpstr>
      <vt:lpstr>JAP-12 Page 3</vt:lpstr>
      <vt:lpstr>Work Papers For Exhibits--&gt;</vt:lpstr>
      <vt:lpstr>2019 GRC PCA Costs</vt:lpstr>
      <vt:lpstr>Exhibit A-1</vt:lpstr>
      <vt:lpstr>'2019 GRC PCA Costs'!Print_Area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2019-06-06T22:32:03Z</cp:lastPrinted>
  <dcterms:created xsi:type="dcterms:W3CDTF">2012-10-25T22:13:28Z</dcterms:created>
  <dcterms:modified xsi:type="dcterms:W3CDTF">2019-09-10T18:06:12Z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