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Washington\"/>
    </mc:Choice>
  </mc:AlternateContent>
  <xr:revisionPtr revIDLastSave="0" documentId="13_ncr:1_{E437ED8F-8A23-408D-A87B-592D8ACFAA40}" xr6:coauthVersionLast="44" xr6:coauthVersionMax="44" xr10:uidLastSave="{00000000-0000-0000-0000-000000000000}"/>
  <bookViews>
    <workbookView xWindow="0" yWindow="0" windowWidth="20490" windowHeight="10920" activeTab="1" xr2:uid="{00000000-000D-0000-FFFF-FFFF00000000}"/>
  </bookViews>
  <sheets>
    <sheet name="PROP0SED RATES" sheetId="54" r:id="rId1"/>
    <sheet name="RR SUMMARY" sheetId="55" r:id="rId2"/>
    <sheet name="CF" sheetId="56" r:id="rId3"/>
    <sheet name="Acerno_Cache_XXXXX" sheetId="78" state="veryHidden" r:id="rId4"/>
    <sheet name="ADJ DETAIL INPUT" sheetId="1" r:id="rId5"/>
    <sheet name="ADJ SUMMARY" sheetId="3" r:id="rId6"/>
    <sheet name="DEBT CALC" sheetId="75" r:id="rId7"/>
    <sheet name="ROO INPUT" sheetId="5" r:id="rId8"/>
    <sheet name="LEAD SHEETS-DO NOT ENTER" sheetId="76" r:id="rId9"/>
    <sheet name="Recap Summary" sheetId="69" r:id="rId10"/>
  </sheets>
  <externalReferences>
    <externalReference r:id="rId11"/>
    <externalReference r:id="rId12"/>
    <externalReference r:id="rId13"/>
  </externalReferences>
  <definedNames>
    <definedName name="ID_Elec" localSheetId="2">[1]DebtCalc!#REF!</definedName>
    <definedName name="ID_Elec" localSheetId="6">'DEBT CALC'!$A$79:$F$156</definedName>
    <definedName name="ID_Elec" localSheetId="8">#REF!</definedName>
    <definedName name="ID_Elec" localSheetId="0">[2]DebtCalc!#REF!</definedName>
    <definedName name="ID_Elec" localSheetId="9">#REF!</definedName>
    <definedName name="ID_Elec" localSheetId="1">[2]DebtCalc!#REF!</definedName>
    <definedName name="ID_Gas" localSheetId="6">'DEBT CALC'!#REF!</definedName>
    <definedName name="ID_Gas" localSheetId="8">#REF!</definedName>
    <definedName name="_xlnm.Print_Area" localSheetId="4">'ADJ DETAIL INPUT'!$A$2:$AN$84</definedName>
    <definedName name="_xlnm.Print_Area" localSheetId="5">'ADJ SUMMARY'!$A$1:$F$43</definedName>
    <definedName name="_xlnm.Print_Area" localSheetId="2">CF!$A$1:$F$29</definedName>
    <definedName name="_xlnm.Print_Area" localSheetId="6">'DEBT CALC'!$A$1:$I$57</definedName>
    <definedName name="_xlnm.Print_Area" localSheetId="8">'LEAD SHEETS-DO NOT ENTER'!$A$2:$AJ$82</definedName>
    <definedName name="_xlnm.Print_Area" localSheetId="0">'PROP0SED RATES'!$A$1:$J$82</definedName>
    <definedName name="_xlnm.Print_Area" localSheetId="9">'Recap Summary'!$A$1:$R$61</definedName>
    <definedName name="_xlnm.Print_Area" localSheetId="7">'ROO INPUT'!$A$3:$G$82</definedName>
    <definedName name="_xlnm.Print_Area" localSheetId="1">'RR SUMMARY'!$A$1:$H$44,'RR SUMMARY'!$I$1:$O$19</definedName>
    <definedName name="Print_for_CBReport" localSheetId="9">'Recap Summary'!$A$11:$I$51</definedName>
    <definedName name="Print_for_Checking" localSheetId="6">'[3]ADJ SUMMARY'!$A$1:'[3]ADJ SUMMARY'!#REF!</definedName>
    <definedName name="Print_for_Checking" localSheetId="9">'Recap Summary'!$A$11:$I$51</definedName>
    <definedName name="_xlnm.Print_Titles" localSheetId="4">'ADJ DETAIL INPUT'!$A:$D,'ADJ DETAIL INPUT'!$2:$10</definedName>
    <definedName name="_xlnm.Print_Titles" localSheetId="8">'LEAD SHEETS-DO NOT ENTER'!$A:$D,'LEAD SHEETS-DO NOT ENTER'!$2:$11</definedName>
    <definedName name="Summary" localSheetId="6">#REF!</definedName>
    <definedName name="Summary" localSheetId="8">#REF!</definedName>
    <definedName name="WA_Elec" localSheetId="2">[1]DebtCalc!#REF!</definedName>
    <definedName name="WA_Elec" localSheetId="6">'DEBT CALC'!$A$1:$F$78</definedName>
    <definedName name="WA_Elec" localSheetId="8">#REF!</definedName>
    <definedName name="WA_Elec" localSheetId="0">[2]DebtCalc!#REF!</definedName>
    <definedName name="WA_Elec" localSheetId="9">#REF!</definedName>
    <definedName name="WA_Elec" localSheetId="1">[2]DebtCalc!#REF!</definedName>
    <definedName name="WA_Gas" localSheetId="6">'DEBT CALC'!#REF!</definedName>
    <definedName name="WA_Gas" localSheetId="8">#REF!</definedName>
    <definedName name="Z_5BE913A1_B14F_11D2_B0DC_0000832CDFF0_.wvu.Cols" localSheetId="4" hidden="1">'ADJ DETAIL INPUT'!$W:$AN</definedName>
    <definedName name="Z_5BE913A1_B14F_11D2_B0DC_0000832CDFF0_.wvu.Cols" localSheetId="8" hidden="1">'LEAD SHEETS-DO NOT ENTER'!$AA:$AC</definedName>
    <definedName name="Z_5BE913A1_B14F_11D2_B0DC_0000832CDFF0_.wvu.PrintArea" localSheetId="4" hidden="1">'ADJ DETAIL INPUT'!$E$11:$AN$82</definedName>
    <definedName name="Z_5BE913A1_B14F_11D2_B0DC_0000832CDFF0_.wvu.PrintArea" localSheetId="5" hidden="1">'ADJ SUMMARY'!$A$1:$F$43</definedName>
    <definedName name="Z_5BE913A1_B14F_11D2_B0DC_0000832CDFF0_.wvu.PrintArea" localSheetId="8" hidden="1">'LEAD SHEETS-DO NOT ENTER'!$E$12:$AC$83</definedName>
    <definedName name="Z_5BE913A1_B14F_11D2_B0DC_0000832CDFF0_.wvu.PrintArea" localSheetId="9" hidden="1">'Recap Summary'!$A$11:$I$51</definedName>
    <definedName name="Z_5BE913A1_B14F_11D2_B0DC_0000832CDFF0_.wvu.PrintArea" localSheetId="7" hidden="1">'ROO INPUT'!$A$3:$G$82</definedName>
    <definedName name="Z_5BE913A1_B14F_11D2_B0DC_0000832CDFF0_.wvu.PrintTitles" localSheetId="4" hidden="1">'ADJ DETAIL INPUT'!$A:$D,'ADJ DETAIL INPUT'!$2:$10</definedName>
    <definedName name="Z_5BE913A1_B14F_11D2_B0DC_0000832CDFF0_.wvu.PrintTitles" localSheetId="8" hidden="1">'LEAD SHEETS-DO NOT ENTER'!$A:$D,'LEAD SHEETS-DO NOT ENTER'!$2:$11</definedName>
    <definedName name="Z_5BE913A1_B14F_11D2_B0DC_0000832CDFF0_.wvu.Rows" localSheetId="5" hidden="1">'ADJ SUMMARY'!$26:$26,'ADJ SUMMARY'!$29:$43,'ADJ SUMMARY'!#REF!</definedName>
    <definedName name="Z_5BE913A1_B14F_11D2_B0DC_0000832CDFF0_.wvu.Rows" localSheetId="9" hidden="1">'Recap Summary'!$32:$32,'Recap Summary'!$35:$51,'Recap Summary'!#REF!</definedName>
    <definedName name="Z_A15D1964_B049_11D2_8670_0000832CEEE8_.wvu.Cols" localSheetId="4" hidden="1">'ADJ DETAIL INPUT'!$W:$AN</definedName>
    <definedName name="Z_A15D1964_B049_11D2_8670_0000832CEEE8_.wvu.Cols" localSheetId="8" hidden="1">'LEAD SHEETS-DO NOT ENTER'!$AA:$AC</definedName>
    <definedName name="Z_A15D1964_B049_11D2_8670_0000832CEEE8_.wvu.PrintArea" localSheetId="4" hidden="1">'ADJ DETAIL INPUT'!$E$11:$AN$82</definedName>
    <definedName name="Z_A15D1964_B049_11D2_8670_0000832CEEE8_.wvu.PrintArea" localSheetId="5" hidden="1">'ADJ SUMMARY'!$A$1:$F$43</definedName>
    <definedName name="Z_A15D1964_B049_11D2_8670_0000832CEEE8_.wvu.PrintArea" localSheetId="8" hidden="1">'LEAD SHEETS-DO NOT ENTER'!$E$12:$AC$83</definedName>
    <definedName name="Z_A15D1964_B049_11D2_8670_0000832CEEE8_.wvu.PrintArea" localSheetId="9" hidden="1">'Recap Summary'!$A$11:$I$51</definedName>
    <definedName name="Z_A15D1964_B049_11D2_8670_0000832CEEE8_.wvu.PrintArea" localSheetId="7" hidden="1">'ROO INPUT'!$A$3:$G$82</definedName>
    <definedName name="Z_A15D1964_B049_11D2_8670_0000832CEEE8_.wvu.PrintTitles" localSheetId="4" hidden="1">'ADJ DETAIL INPUT'!$A:$D,'ADJ DETAIL INPUT'!$2:$10</definedName>
    <definedName name="Z_A15D1964_B049_11D2_8670_0000832CEEE8_.wvu.PrintTitles" localSheetId="8" hidden="1">'LEAD SHEETS-DO NOT ENTER'!$A:$D,'LEAD SHEETS-DO NOT ENTER'!$2:$11</definedName>
    <definedName name="Z_A15D1964_B049_11D2_8670_0000832CEEE8_.wvu.Rows" localSheetId="5" hidden="1">'ADJ SUMMARY'!$26:$26,'ADJ SUMMARY'!$29:$43,'ADJ SUMMARY'!#REF!</definedName>
    <definedName name="Z_A15D1964_B049_11D2_8670_0000832CEEE8_.wvu.Rows" localSheetId="9" hidden="1">'Recap Summary'!$32:$32,'Recap Summary'!$35:$51,'Recap Summary'!#REF!</definedName>
  </definedNames>
  <calcPr calcId="18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35" i="76" l="1"/>
  <c r="N11" i="55" l="1"/>
  <c r="N13" i="55"/>
  <c r="X17" i="1"/>
  <c r="X24" i="1"/>
  <c r="X30" i="1"/>
  <c r="X36" i="1"/>
  <c r="X47" i="1"/>
  <c r="X64" i="1"/>
  <c r="X65" i="1" s="1"/>
  <c r="X70" i="1"/>
  <c r="X71" i="1" s="1"/>
  <c r="X72" i="1" l="1"/>
  <c r="X74" i="1" s="1"/>
  <c r="X81" i="1" s="1"/>
  <c r="X48" i="1"/>
  <c r="X50" i="1" s="1"/>
  <c r="X53" i="1" s="1"/>
  <c r="AI44" i="1" l="1"/>
  <c r="AF71" i="1" l="1"/>
  <c r="AF65" i="1"/>
  <c r="AF72" i="1" s="1"/>
  <c r="AF74" i="1" s="1"/>
  <c r="AF81" i="1" s="1"/>
  <c r="AF47" i="1"/>
  <c r="AF36" i="1"/>
  <c r="AF30" i="1"/>
  <c r="AF24" i="1"/>
  <c r="AF17" i="1"/>
  <c r="AF48" i="1" l="1"/>
  <c r="AF50" i="1" s="1"/>
  <c r="AF53" i="1" l="1"/>
  <c r="F305" i="5" l="1"/>
  <c r="F291" i="5"/>
  <c r="G46" i="5"/>
  <c r="F103" i="5"/>
  <c r="F222" i="5"/>
  <c r="F223" i="5"/>
  <c r="F198" i="5"/>
  <c r="F199" i="5"/>
  <c r="F200" i="5"/>
  <c r="F201" i="5"/>
  <c r="F202" i="5"/>
  <c r="F203" i="5"/>
  <c r="F204" i="5"/>
  <c r="F205" i="5"/>
  <c r="F206" i="5"/>
  <c r="F207" i="5"/>
  <c r="B15" i="69" l="1"/>
  <c r="AJ8" i="76"/>
  <c r="AK8" i="76"/>
  <c r="AJ9" i="76"/>
  <c r="AK9" i="76"/>
  <c r="AJ10" i="76"/>
  <c r="AK10" i="76"/>
  <c r="AJ12" i="76"/>
  <c r="AK12" i="76"/>
  <c r="AJ15" i="76"/>
  <c r="AK15" i="76"/>
  <c r="AJ16" i="76"/>
  <c r="AK16" i="76"/>
  <c r="AJ17" i="76"/>
  <c r="AK17" i="76"/>
  <c r="AJ22" i="76"/>
  <c r="AK22" i="76"/>
  <c r="AJ23" i="76"/>
  <c r="AK23" i="76"/>
  <c r="AJ24" i="76"/>
  <c r="AK24" i="76"/>
  <c r="AJ28" i="76"/>
  <c r="AK28" i="76"/>
  <c r="AJ29" i="76"/>
  <c r="AK29" i="76"/>
  <c r="AJ30" i="76"/>
  <c r="AK30" i="76"/>
  <c r="AJ34" i="76"/>
  <c r="AK34" i="76"/>
  <c r="AJ35" i="76"/>
  <c r="AK35" i="76"/>
  <c r="AJ36" i="76"/>
  <c r="AK36" i="76"/>
  <c r="AJ39" i="76"/>
  <c r="AK39" i="76"/>
  <c r="AJ40" i="76"/>
  <c r="AK40" i="76"/>
  <c r="AJ41" i="76"/>
  <c r="AK41" i="76"/>
  <c r="AJ44" i="76"/>
  <c r="AK44" i="76"/>
  <c r="AJ45" i="76"/>
  <c r="AK45" i="76"/>
  <c r="AJ46" i="76"/>
  <c r="AK46" i="76"/>
  <c r="AJ47" i="76"/>
  <c r="AK47" i="76"/>
  <c r="AJ56" i="76"/>
  <c r="AK56" i="76"/>
  <c r="AJ57" i="76"/>
  <c r="AK57" i="76"/>
  <c r="AJ63" i="76"/>
  <c r="AK63" i="76"/>
  <c r="AJ64" i="76"/>
  <c r="AK64" i="76"/>
  <c r="AJ65" i="76"/>
  <c r="AK65" i="76"/>
  <c r="AJ69" i="76"/>
  <c r="AK69" i="76"/>
  <c r="AJ70" i="76"/>
  <c r="AJ72" i="76" s="1"/>
  <c r="AK70" i="76"/>
  <c r="AJ71" i="76"/>
  <c r="AK71" i="76"/>
  <c r="AJ74" i="76"/>
  <c r="AK74" i="76"/>
  <c r="AJ76" i="76"/>
  <c r="AK76" i="76"/>
  <c r="AJ77" i="76"/>
  <c r="AK77" i="76"/>
  <c r="AJ78" i="76"/>
  <c r="AK78" i="76"/>
  <c r="AJ79" i="76"/>
  <c r="AK79" i="76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I8" i="76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AK72" i="76" l="1"/>
  <c r="AJ66" i="76"/>
  <c r="AK66" i="76"/>
  <c r="AK73" i="76" s="1"/>
  <c r="AK75" i="76" s="1"/>
  <c r="AK82" i="76" s="1"/>
  <c r="AK48" i="76"/>
  <c r="AK31" i="76"/>
  <c r="AK18" i="76"/>
  <c r="AJ37" i="76"/>
  <c r="AJ25" i="76"/>
  <c r="AJ48" i="76"/>
  <c r="AK37" i="76"/>
  <c r="AJ31" i="76"/>
  <c r="AK25" i="76"/>
  <c r="AJ18" i="76"/>
  <c r="AJ73" i="76"/>
  <c r="AJ75" i="76" s="1"/>
  <c r="AJ82" i="76" s="1"/>
  <c r="X48" i="76"/>
  <c r="X18" i="76"/>
  <c r="X31" i="76"/>
  <c r="I66" i="76"/>
  <c r="I25" i="76"/>
  <c r="X37" i="76"/>
  <c r="X25" i="76"/>
  <c r="X66" i="76"/>
  <c r="X72" i="76"/>
  <c r="I72" i="76"/>
  <c r="I31" i="76"/>
  <c r="I48" i="76"/>
  <c r="I37" i="76"/>
  <c r="I18" i="76"/>
  <c r="AB10" i="1"/>
  <c r="AC10" i="1" s="1"/>
  <c r="AD10" i="1" s="1"/>
  <c r="AE10" i="1" s="1"/>
  <c r="AJ49" i="76" l="1"/>
  <c r="AJ51" i="76" s="1"/>
  <c r="AK49" i="76"/>
  <c r="AK51" i="76" s="1"/>
  <c r="AF10" i="1"/>
  <c r="AG10" i="1" s="1"/>
  <c r="AH10" i="1" s="1"/>
  <c r="AI10" i="1" s="1"/>
  <c r="AJ10" i="1" s="1"/>
  <c r="AK10" i="1" s="1"/>
  <c r="AL10" i="1" s="1"/>
  <c r="X73" i="76"/>
  <c r="X75" i="76" s="1"/>
  <c r="X82" i="76" s="1"/>
  <c r="I73" i="76"/>
  <c r="I75" i="76" s="1"/>
  <c r="I82" i="76" s="1"/>
  <c r="X49" i="76"/>
  <c r="X51" i="76" s="1"/>
  <c r="I49" i="76"/>
  <c r="I51" i="76" s="1"/>
  <c r="C12" i="3"/>
  <c r="B15" i="75" s="1"/>
  <c r="B12" i="3"/>
  <c r="I71" i="1"/>
  <c r="I65" i="1"/>
  <c r="I47" i="1"/>
  <c r="I36" i="1"/>
  <c r="I30" i="1"/>
  <c r="I24" i="1"/>
  <c r="I17" i="1"/>
  <c r="AJ11" i="76" l="1"/>
  <c r="AM10" i="1"/>
  <c r="AK11" i="76"/>
  <c r="I72" i="1"/>
  <c r="I74" i="1" s="1"/>
  <c r="I81" i="1" s="1"/>
  <c r="I48" i="1"/>
  <c r="I50" i="1" s="1"/>
  <c r="I53" i="1" s="1"/>
  <c r="I54" i="76" s="1"/>
  <c r="E12" i="3" l="1"/>
  <c r="F15" i="75" s="1"/>
  <c r="G15" i="75" s="1"/>
  <c r="I15" i="69"/>
  <c r="L15" i="69" s="1"/>
  <c r="E21" i="56" l="1"/>
  <c r="E23" i="56" s="1"/>
  <c r="E25" i="56" l="1"/>
  <c r="E27" i="56" s="1"/>
  <c r="F21" i="55" s="1"/>
  <c r="L15" i="55"/>
  <c r="N15" i="55" l="1"/>
  <c r="F13" i="55" s="1"/>
  <c r="P12" i="55"/>
  <c r="AF54" i="1" l="1"/>
  <c r="AF58" i="1" s="1"/>
  <c r="X54" i="1"/>
  <c r="X58" i="1" s="1"/>
  <c r="I54" i="1"/>
  <c r="I58" i="1" s="1"/>
  <c r="E86" i="1"/>
  <c r="O10" i="69"/>
  <c r="C27" i="3"/>
  <c r="B30" i="75" s="1"/>
  <c r="B27" i="3"/>
  <c r="AF88" i="1" l="1"/>
  <c r="I55" i="76"/>
  <c r="I59" i="76" s="1"/>
  <c r="I88" i="1"/>
  <c r="H15" i="69"/>
  <c r="K15" i="69" s="1"/>
  <c r="D12" i="3"/>
  <c r="B47" i="69"/>
  <c r="B33" i="69"/>
  <c r="B31" i="69"/>
  <c r="X55" i="76" l="1"/>
  <c r="X54" i="76"/>
  <c r="X59" i="76" l="1"/>
  <c r="E27" i="3"/>
  <c r="F30" i="75" s="1"/>
  <c r="I33" i="69"/>
  <c r="L33" i="69" s="1"/>
  <c r="G30" i="75" l="1"/>
  <c r="AH71" i="1" l="1"/>
  <c r="AH65" i="1"/>
  <c r="AH47" i="1"/>
  <c r="AH36" i="1"/>
  <c r="AH30" i="1"/>
  <c r="AH24" i="1"/>
  <c r="AH17" i="1"/>
  <c r="AE71" i="1"/>
  <c r="AE65" i="1"/>
  <c r="AE36" i="1"/>
  <c r="AE30" i="1"/>
  <c r="AE24" i="1"/>
  <c r="AE17" i="1"/>
  <c r="AC71" i="1"/>
  <c r="AC65" i="1"/>
  <c r="AC72" i="1" s="1"/>
  <c r="AC74" i="1" s="1"/>
  <c r="AC81" i="1" s="1"/>
  <c r="AC54" i="1" s="1"/>
  <c r="AC47" i="1"/>
  <c r="AC36" i="1"/>
  <c r="AC30" i="1"/>
  <c r="AC24" i="1"/>
  <c r="AC17" i="1"/>
  <c r="AE72" i="1" l="1"/>
  <c r="AE74" i="1" s="1"/>
  <c r="AE81" i="1" s="1"/>
  <c r="AE54" i="1" s="1"/>
  <c r="AH72" i="1"/>
  <c r="AH74" i="1" s="1"/>
  <c r="AH81" i="1" s="1"/>
  <c r="AH54" i="1" s="1"/>
  <c r="AC48" i="1"/>
  <c r="AC50" i="1" s="1"/>
  <c r="AC53" i="1" s="1"/>
  <c r="AH48" i="1"/>
  <c r="AH50" i="1" s="1"/>
  <c r="AH53" i="1" s="1"/>
  <c r="AE48" i="1"/>
  <c r="AE50" i="1" s="1"/>
  <c r="AE53" i="1" s="1"/>
  <c r="AC58" i="1" l="1"/>
  <c r="AE58" i="1"/>
  <c r="AH58" i="1"/>
  <c r="C41" i="3"/>
  <c r="B42" i="75" s="1"/>
  <c r="B41" i="3"/>
  <c r="AL71" i="1"/>
  <c r="AL65" i="1"/>
  <c r="AL47" i="1"/>
  <c r="AL36" i="1"/>
  <c r="AL30" i="1"/>
  <c r="AL24" i="1"/>
  <c r="AL17" i="1"/>
  <c r="AL72" i="1" l="1"/>
  <c r="AL74" i="1" s="1"/>
  <c r="AL81" i="1" s="1"/>
  <c r="AL54" i="1" s="1"/>
  <c r="AJ55" i="76" s="1"/>
  <c r="AL48" i="1"/>
  <c r="AL50" i="1" s="1"/>
  <c r="AL53" i="1" s="1"/>
  <c r="AJ54" i="76" s="1"/>
  <c r="AJ59" i="76" l="1"/>
  <c r="E41" i="3"/>
  <c r="F42" i="75" s="1"/>
  <c r="G42" i="75" s="1"/>
  <c r="I47" i="69"/>
  <c r="L47" i="69" s="1"/>
  <c r="V8" i="76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I31" i="69"/>
  <c r="L31" i="69" s="1"/>
  <c r="V54" i="76"/>
  <c r="V73" i="76"/>
  <c r="V75" i="76" s="1"/>
  <c r="V82" i="76" s="1"/>
  <c r="V49" i="76"/>
  <c r="V51" i="76" s="1"/>
  <c r="A3" i="76" l="1"/>
  <c r="F306" i="5" l="1"/>
  <c r="F307" i="5"/>
  <c r="AD8" i="76" l="1"/>
  <c r="AD9" i="76"/>
  <c r="AD10" i="76"/>
  <c r="AD12" i="76"/>
  <c r="AD15" i="76"/>
  <c r="AD16" i="76"/>
  <c r="AD17" i="76"/>
  <c r="AD22" i="76"/>
  <c r="AD23" i="76"/>
  <c r="AD24" i="76"/>
  <c r="AD28" i="76"/>
  <c r="AD29" i="76"/>
  <c r="AD30" i="76"/>
  <c r="AD34" i="76"/>
  <c r="AD35" i="76"/>
  <c r="AD36" i="76"/>
  <c r="AD39" i="76"/>
  <c r="AD40" i="76"/>
  <c r="AD41" i="76"/>
  <c r="AD44" i="76"/>
  <c r="AD45" i="76"/>
  <c r="AD46" i="76"/>
  <c r="AD47" i="76"/>
  <c r="AD56" i="76"/>
  <c r="AD57" i="76"/>
  <c r="AD63" i="76"/>
  <c r="AD64" i="76"/>
  <c r="AD65" i="76"/>
  <c r="AD69" i="76"/>
  <c r="AD70" i="76"/>
  <c r="AD71" i="76"/>
  <c r="AD74" i="76"/>
  <c r="AD76" i="76"/>
  <c r="AD77" i="76"/>
  <c r="AD78" i="76"/>
  <c r="AD79" i="76"/>
  <c r="U79" i="76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AD66" i="76"/>
  <c r="U37" i="76"/>
  <c r="AD72" i="76"/>
  <c r="AD31" i="76"/>
  <c r="U31" i="76"/>
  <c r="AD37" i="76"/>
  <c r="U48" i="76"/>
  <c r="AD18" i="76"/>
  <c r="AD48" i="76"/>
  <c r="AD25" i="76"/>
  <c r="U72" i="76"/>
  <c r="Z8" i="76"/>
  <c r="Z9" i="76"/>
  <c r="Z10" i="76"/>
  <c r="Z12" i="76"/>
  <c r="Z15" i="76"/>
  <c r="Z16" i="76"/>
  <c r="Z17" i="76"/>
  <c r="Z22" i="76"/>
  <c r="Z23" i="76"/>
  <c r="Z24" i="76"/>
  <c r="Z28" i="76"/>
  <c r="Z29" i="76"/>
  <c r="Z30" i="76"/>
  <c r="Z34" i="76"/>
  <c r="Z35" i="76"/>
  <c r="Z36" i="76"/>
  <c r="Z39" i="76"/>
  <c r="Z40" i="76"/>
  <c r="Z41" i="76"/>
  <c r="Z44" i="76"/>
  <c r="Z45" i="76"/>
  <c r="Z46" i="76"/>
  <c r="Z47" i="76"/>
  <c r="Z56" i="76"/>
  <c r="Z57" i="76"/>
  <c r="Z63" i="76"/>
  <c r="Z64" i="76"/>
  <c r="Z65" i="76"/>
  <c r="Z69" i="76"/>
  <c r="Z70" i="76"/>
  <c r="Z71" i="76"/>
  <c r="Z74" i="76"/>
  <c r="Z76" i="76"/>
  <c r="Z77" i="76"/>
  <c r="Z78" i="76"/>
  <c r="Z79" i="76"/>
  <c r="AE8" i="76"/>
  <c r="AE9" i="76"/>
  <c r="AE10" i="76"/>
  <c r="AE12" i="76"/>
  <c r="AE15" i="76"/>
  <c r="AE16" i="76"/>
  <c r="AE17" i="76"/>
  <c r="AE22" i="76"/>
  <c r="AE23" i="76"/>
  <c r="AE24" i="76"/>
  <c r="AE28" i="76"/>
  <c r="AE29" i="76"/>
  <c r="AE30" i="76"/>
  <c r="AE34" i="76"/>
  <c r="AE35" i="76"/>
  <c r="AE36" i="76"/>
  <c r="AE39" i="76"/>
  <c r="AE40" i="76"/>
  <c r="AE41" i="76"/>
  <c r="AE44" i="76"/>
  <c r="AE45" i="76"/>
  <c r="AE46" i="76"/>
  <c r="AE47" i="76"/>
  <c r="AE56" i="76"/>
  <c r="AE57" i="76"/>
  <c r="AE63" i="76"/>
  <c r="AE64" i="76"/>
  <c r="AE65" i="76"/>
  <c r="AE69" i="76"/>
  <c r="AE70" i="76"/>
  <c r="AE71" i="76"/>
  <c r="AE74" i="76"/>
  <c r="AE76" i="76"/>
  <c r="AE77" i="76"/>
  <c r="AE78" i="76"/>
  <c r="AE79" i="76"/>
  <c r="B37" i="69"/>
  <c r="C31" i="3"/>
  <c r="B32" i="75" s="1"/>
  <c r="B31" i="3"/>
  <c r="AB71" i="1"/>
  <c r="AB65" i="1"/>
  <c r="AB47" i="1"/>
  <c r="AB36" i="1"/>
  <c r="AB30" i="1"/>
  <c r="AB24" i="1"/>
  <c r="AB17" i="1"/>
  <c r="U49" i="76" l="1"/>
  <c r="U51" i="76" s="1"/>
  <c r="U73" i="76"/>
  <c r="U75" i="76" s="1"/>
  <c r="U82" i="76" s="1"/>
  <c r="AD73" i="76"/>
  <c r="AD75" i="76" s="1"/>
  <c r="AD82" i="76" s="1"/>
  <c r="AD49" i="76"/>
  <c r="AD51" i="76" s="1"/>
  <c r="AB72" i="1"/>
  <c r="AB74" i="1" s="1"/>
  <c r="AB81" i="1" s="1"/>
  <c r="AB54" i="1" s="1"/>
  <c r="AE72" i="76"/>
  <c r="Z66" i="76"/>
  <c r="AE66" i="76"/>
  <c r="AE25" i="76"/>
  <c r="Z31" i="76"/>
  <c r="AE31" i="76"/>
  <c r="Z37" i="76"/>
  <c r="AE37" i="76"/>
  <c r="Z48" i="76"/>
  <c r="Z18" i="76"/>
  <c r="AE48" i="76"/>
  <c r="AE18" i="76"/>
  <c r="Z72" i="76"/>
  <c r="Z25" i="76"/>
  <c r="AB48" i="1"/>
  <c r="AB50" i="1" s="1"/>
  <c r="AB53" i="1" l="1"/>
  <c r="Z54" i="76" s="1"/>
  <c r="E31" i="3"/>
  <c r="F32" i="75" s="1"/>
  <c r="G32" i="75" s="1"/>
  <c r="I37" i="69"/>
  <c r="L37" i="69" s="1"/>
  <c r="AE49" i="76"/>
  <c r="AE51" i="76" s="1"/>
  <c r="Z73" i="76"/>
  <c r="Z75" i="76" s="1"/>
  <c r="Z82" i="76" s="1"/>
  <c r="AE73" i="76"/>
  <c r="AE75" i="76" s="1"/>
  <c r="AE82" i="76" s="1"/>
  <c r="Z49" i="76"/>
  <c r="Z51" i="76" s="1"/>
  <c r="A47" i="69" l="1"/>
  <c r="AD11" i="76"/>
  <c r="AE11" i="76" l="1"/>
  <c r="A41" i="3"/>
  <c r="A42" i="75" s="1"/>
  <c r="A31" i="3" l="1"/>
  <c r="A32" i="75" s="1"/>
  <c r="Z11" i="76"/>
  <c r="A37" i="69"/>
  <c r="S38" i="1" l="1"/>
  <c r="S43" i="1"/>
  <c r="AD47" i="1" l="1"/>
  <c r="B42" i="69" l="1"/>
  <c r="AG8" i="76" l="1"/>
  <c r="AH8" i="76"/>
  <c r="AI8" i="76"/>
  <c r="AG9" i="76"/>
  <c r="AH9" i="76"/>
  <c r="AI9" i="76"/>
  <c r="AG10" i="76"/>
  <c r="AH10" i="76"/>
  <c r="AI10" i="76"/>
  <c r="AG12" i="76"/>
  <c r="AH12" i="76"/>
  <c r="AI12" i="76"/>
  <c r="AG15" i="76"/>
  <c r="AH15" i="76"/>
  <c r="AI15" i="76"/>
  <c r="AG16" i="76"/>
  <c r="AH16" i="76"/>
  <c r="AI16" i="76"/>
  <c r="AG17" i="76"/>
  <c r="AH17" i="76"/>
  <c r="AI17" i="76"/>
  <c r="AG22" i="76"/>
  <c r="AH22" i="76"/>
  <c r="AI22" i="76"/>
  <c r="AG23" i="76"/>
  <c r="AH23" i="76"/>
  <c r="AI23" i="76"/>
  <c r="AG24" i="76"/>
  <c r="AH24" i="76"/>
  <c r="AI24" i="76"/>
  <c r="AG28" i="76"/>
  <c r="AH28" i="76"/>
  <c r="AI28" i="76"/>
  <c r="AG29" i="76"/>
  <c r="AH29" i="76"/>
  <c r="AI29" i="76"/>
  <c r="AG30" i="76"/>
  <c r="AH30" i="76"/>
  <c r="AI30" i="76"/>
  <c r="AG34" i="76"/>
  <c r="AH34" i="76"/>
  <c r="AI34" i="76"/>
  <c r="AG35" i="76"/>
  <c r="AH35" i="76"/>
  <c r="AI35" i="76"/>
  <c r="AG36" i="76"/>
  <c r="AH36" i="76"/>
  <c r="AI36" i="76"/>
  <c r="AG39" i="76"/>
  <c r="AH39" i="76"/>
  <c r="AI39" i="76"/>
  <c r="AG40" i="76"/>
  <c r="AH40" i="76"/>
  <c r="AI40" i="76"/>
  <c r="AG41" i="76"/>
  <c r="AH41" i="76"/>
  <c r="AI41" i="76"/>
  <c r="AG44" i="76"/>
  <c r="AH44" i="76"/>
  <c r="AI44" i="76"/>
  <c r="AG45" i="76"/>
  <c r="AH45" i="76"/>
  <c r="AI45" i="76"/>
  <c r="AG46" i="76"/>
  <c r="AH46" i="76"/>
  <c r="AI46" i="76"/>
  <c r="AG47" i="76"/>
  <c r="AH47" i="76"/>
  <c r="AI47" i="76"/>
  <c r="AG56" i="76"/>
  <c r="AH56" i="76"/>
  <c r="AI56" i="76"/>
  <c r="AG57" i="76"/>
  <c r="AH57" i="76"/>
  <c r="AI57" i="76"/>
  <c r="AG63" i="76"/>
  <c r="AH63" i="76"/>
  <c r="AI63" i="76"/>
  <c r="AG64" i="76"/>
  <c r="AH64" i="76"/>
  <c r="AI64" i="76"/>
  <c r="AG65" i="76"/>
  <c r="AH65" i="76"/>
  <c r="AI65" i="76"/>
  <c r="AG69" i="76"/>
  <c r="AH69" i="76"/>
  <c r="AI69" i="76"/>
  <c r="AG70" i="76"/>
  <c r="AH70" i="76"/>
  <c r="AI70" i="76"/>
  <c r="AG71" i="76"/>
  <c r="AH71" i="76"/>
  <c r="AI71" i="76"/>
  <c r="AG74" i="76"/>
  <c r="AH74" i="76"/>
  <c r="AI74" i="76"/>
  <c r="AG76" i="76"/>
  <c r="AH76" i="76"/>
  <c r="AI76" i="76"/>
  <c r="AG77" i="76"/>
  <c r="AH77" i="76"/>
  <c r="AI77" i="76"/>
  <c r="AG78" i="76"/>
  <c r="AH78" i="76"/>
  <c r="AI78" i="76"/>
  <c r="AG79" i="76"/>
  <c r="AH79" i="76"/>
  <c r="AI79" i="76"/>
  <c r="C36" i="3"/>
  <c r="B37" i="75" s="1"/>
  <c r="B36" i="3"/>
  <c r="AG71" i="1"/>
  <c r="AG65" i="1"/>
  <c r="AG47" i="1"/>
  <c r="AG36" i="1"/>
  <c r="AG30" i="1"/>
  <c r="AG24" i="1"/>
  <c r="AG17" i="1"/>
  <c r="AG72" i="1" l="1"/>
  <c r="AG74" i="1" s="1"/>
  <c r="AG81" i="1" s="1"/>
  <c r="AG54" i="1" s="1"/>
  <c r="AG48" i="1"/>
  <c r="AG50" i="1" s="1"/>
  <c r="AI25" i="76"/>
  <c r="AI37" i="76"/>
  <c r="AI31" i="76"/>
  <c r="AH72" i="76"/>
  <c r="AI18" i="76"/>
  <c r="AI48" i="76"/>
  <c r="AH66" i="76"/>
  <c r="AH48" i="76"/>
  <c r="AH31" i="76"/>
  <c r="AH18" i="76"/>
  <c r="AG48" i="76"/>
  <c r="AG31" i="76"/>
  <c r="AG18" i="76"/>
  <c r="AI66" i="76"/>
  <c r="AI72" i="76"/>
  <c r="AG66" i="76"/>
  <c r="AH37" i="76"/>
  <c r="AG37" i="76"/>
  <c r="AH25" i="76"/>
  <c r="AG25" i="76"/>
  <c r="AG72" i="76"/>
  <c r="F88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7" i="5" s="1"/>
  <c r="F105" i="5"/>
  <c r="F106" i="5"/>
  <c r="F107" i="5"/>
  <c r="F108" i="5"/>
  <c r="F22" i="5" s="1"/>
  <c r="F109" i="5"/>
  <c r="F24" i="5" s="1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197" i="5"/>
  <c r="F208" i="5"/>
  <c r="F209" i="5"/>
  <c r="F210" i="5"/>
  <c r="F211" i="5"/>
  <c r="F212" i="5"/>
  <c r="F213" i="5"/>
  <c r="F214" i="5"/>
  <c r="F215" i="5"/>
  <c r="F216" i="5"/>
  <c r="F217" i="5"/>
  <c r="F54" i="5" s="1"/>
  <c r="F218" i="5"/>
  <c r="F56" i="5" s="1"/>
  <c r="F219" i="5"/>
  <c r="F57" i="5" s="1"/>
  <c r="F220" i="5"/>
  <c r="F221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46" i="5" l="1"/>
  <c r="AG53" i="1"/>
  <c r="AE54" i="76" s="1"/>
  <c r="F29" i="5"/>
  <c r="F23" i="5"/>
  <c r="F18" i="5"/>
  <c r="I42" i="69"/>
  <c r="L42" i="69" s="1"/>
  <c r="F45" i="5"/>
  <c r="E36" i="3"/>
  <c r="F37" i="75" s="1"/>
  <c r="G37" i="75" s="1"/>
  <c r="AH49" i="76"/>
  <c r="AH51" i="76" s="1"/>
  <c r="AG49" i="76"/>
  <c r="AG51" i="76" s="1"/>
  <c r="AH73" i="76"/>
  <c r="AH75" i="76" s="1"/>
  <c r="AH82" i="76" s="1"/>
  <c r="AI73" i="76"/>
  <c r="AI75" i="76" s="1"/>
  <c r="AI82" i="76" s="1"/>
  <c r="AG73" i="76"/>
  <c r="AG75" i="76" s="1"/>
  <c r="AG82" i="76" s="1"/>
  <c r="AI49" i="76"/>
  <c r="AI51" i="76" s="1"/>
  <c r="F31" i="5"/>
  <c r="F37" i="5"/>
  <c r="F48" i="5" l="1"/>
  <c r="F25" i="5"/>
  <c r="F49" i="5" l="1"/>
  <c r="F51" i="5" s="1"/>
  <c r="F59" i="5" s="1"/>
  <c r="AB8" i="76"/>
  <c r="AB9" i="76"/>
  <c r="AB10" i="76"/>
  <c r="AB12" i="76"/>
  <c r="AB15" i="76"/>
  <c r="AB16" i="76"/>
  <c r="AB17" i="76"/>
  <c r="AB22" i="76"/>
  <c r="AB23" i="76"/>
  <c r="AB24" i="76"/>
  <c r="AB28" i="76"/>
  <c r="AB29" i="76"/>
  <c r="AB30" i="76"/>
  <c r="AB34" i="76"/>
  <c r="AB35" i="76"/>
  <c r="AB36" i="76"/>
  <c r="AB39" i="76"/>
  <c r="AB40" i="76"/>
  <c r="AB41" i="76"/>
  <c r="AB44" i="76"/>
  <c r="AB45" i="76"/>
  <c r="AB46" i="76"/>
  <c r="AB47" i="76"/>
  <c r="AB56" i="76"/>
  <c r="AB57" i="76"/>
  <c r="AB63" i="76"/>
  <c r="AB64" i="76"/>
  <c r="AB65" i="76"/>
  <c r="AB69" i="76"/>
  <c r="AB70" i="76"/>
  <c r="AB71" i="76"/>
  <c r="AB74" i="76"/>
  <c r="AB76" i="76"/>
  <c r="AB77" i="76"/>
  <c r="AB78" i="76"/>
  <c r="AB79" i="76"/>
  <c r="AB25" i="76" l="1"/>
  <c r="AB18" i="76"/>
  <c r="AB48" i="76"/>
  <c r="AB66" i="76"/>
  <c r="AB37" i="76"/>
  <c r="AB31" i="76"/>
  <c r="AB72" i="76"/>
  <c r="AD36" i="1"/>
  <c r="AB73" i="76" l="1"/>
  <c r="AB75" i="76" s="1"/>
  <c r="AB82" i="76" s="1"/>
  <c r="AB49" i="76"/>
  <c r="AB51" i="76" s="1"/>
  <c r="AC34" i="76" l="1"/>
  <c r="AC39" i="76"/>
  <c r="AC40" i="76"/>
  <c r="AC44" i="76"/>
  <c r="AC41" i="76"/>
  <c r="R35" i="76" l="1"/>
  <c r="AA43" i="1"/>
  <c r="AA38" i="1"/>
  <c r="AA35" i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B48" i="69"/>
  <c r="B44" i="69"/>
  <c r="B29" i="69"/>
  <c r="C42" i="3"/>
  <c r="B43" i="75" s="1"/>
  <c r="C38" i="3"/>
  <c r="B39" i="75" s="1"/>
  <c r="B42" i="3"/>
  <c r="B38" i="3"/>
  <c r="C30" i="3"/>
  <c r="B31" i="75" s="1"/>
  <c r="B30" i="3"/>
  <c r="C23" i="3"/>
  <c r="B26" i="75" s="1"/>
  <c r="B23" i="3"/>
  <c r="T8" i="76"/>
  <c r="T9" i="76"/>
  <c r="T10" i="76"/>
  <c r="T12" i="76"/>
  <c r="T15" i="76"/>
  <c r="T16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AI71" i="1"/>
  <c r="AI65" i="1"/>
  <c r="AI47" i="1"/>
  <c r="AI36" i="1"/>
  <c r="AI30" i="1"/>
  <c r="AI24" i="1"/>
  <c r="AI17" i="1"/>
  <c r="AI72" i="1" l="1"/>
  <c r="AI74" i="1" s="1"/>
  <c r="AI81" i="1" s="1"/>
  <c r="AI48" i="1"/>
  <c r="AI50" i="1" s="1"/>
  <c r="AI53" i="1" s="1"/>
  <c r="T18" i="76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I44" i="69" l="1"/>
  <c r="L44" i="69" s="1"/>
  <c r="AI54" i="1"/>
  <c r="E38" i="3"/>
  <c r="F39" i="75" s="1"/>
  <c r="G39" i="75" s="1"/>
  <c r="T72" i="1"/>
  <c r="T74" i="1" s="1"/>
  <c r="T81" i="1" s="1"/>
  <c r="T54" i="1" s="1"/>
  <c r="T73" i="76"/>
  <c r="T75" i="76" s="1"/>
  <c r="T82" i="76" s="1"/>
  <c r="T49" i="76"/>
  <c r="T51" i="76" s="1"/>
  <c r="AG54" i="76"/>
  <c r="T48" i="1"/>
  <c r="T50" i="1" s="1"/>
  <c r="T53" i="1" s="1"/>
  <c r="E23" i="3" l="1"/>
  <c r="F26" i="75" s="1"/>
  <c r="G26" i="75" s="1"/>
  <c r="I29" i="69"/>
  <c r="L29" i="69" s="1"/>
  <c r="T54" i="76"/>
  <c r="A2" i="54"/>
  <c r="B36" i="69" l="1"/>
  <c r="Y10" i="76"/>
  <c r="Y8" i="76"/>
  <c r="Y9" i="76"/>
  <c r="Y12" i="76"/>
  <c r="Y15" i="76"/>
  <c r="Y16" i="76"/>
  <c r="Y17" i="76"/>
  <c r="Y22" i="76"/>
  <c r="Y23" i="76"/>
  <c r="Y24" i="76"/>
  <c r="Y28" i="76"/>
  <c r="Y29" i="76"/>
  <c r="Y30" i="76"/>
  <c r="Y34" i="76"/>
  <c r="Y35" i="76"/>
  <c r="Y36" i="76"/>
  <c r="Y39" i="76"/>
  <c r="Y40" i="76"/>
  <c r="Y41" i="76"/>
  <c r="Y44" i="76"/>
  <c r="Y45" i="76"/>
  <c r="Y46" i="76"/>
  <c r="Y47" i="76"/>
  <c r="Y56" i="76"/>
  <c r="Y57" i="76"/>
  <c r="Y63" i="76"/>
  <c r="Y64" i="76"/>
  <c r="Y65" i="76"/>
  <c r="Y69" i="76"/>
  <c r="Y70" i="76"/>
  <c r="Y71" i="76"/>
  <c r="Y74" i="76"/>
  <c r="Y76" i="76"/>
  <c r="Y77" i="76"/>
  <c r="Y78" i="76"/>
  <c r="Y79" i="76"/>
  <c r="AA71" i="1"/>
  <c r="AA65" i="1"/>
  <c r="AA47" i="1"/>
  <c r="AA36" i="1"/>
  <c r="AA30" i="1"/>
  <c r="AA24" i="1"/>
  <c r="AA17" i="1"/>
  <c r="AA72" i="1" l="1"/>
  <c r="AA74" i="1" s="1"/>
  <c r="AA81" i="1" s="1"/>
  <c r="Y25" i="76"/>
  <c r="Y18" i="76"/>
  <c r="Y31" i="76"/>
  <c r="Y72" i="76"/>
  <c r="Y37" i="76"/>
  <c r="Y66" i="76"/>
  <c r="Y48" i="76"/>
  <c r="AA48" i="1"/>
  <c r="AA50" i="1" s="1"/>
  <c r="AA53" i="1" s="1"/>
  <c r="E30" i="3" l="1"/>
  <c r="F31" i="75" s="1"/>
  <c r="AA54" i="1"/>
  <c r="Y54" i="76"/>
  <c r="I36" i="69"/>
  <c r="Y73" i="76"/>
  <c r="Y75" i="76" s="1"/>
  <c r="Y82" i="76" s="1"/>
  <c r="Y49" i="76"/>
  <c r="Y51" i="76" s="1"/>
  <c r="B43" i="69"/>
  <c r="C37" i="3"/>
  <c r="B38" i="75" s="1"/>
  <c r="B37" i="3"/>
  <c r="G31" i="75" l="1"/>
  <c r="G8" i="76"/>
  <c r="H8" i="76"/>
  <c r="J8" i="76"/>
  <c r="K8" i="76"/>
  <c r="L8" i="76"/>
  <c r="M8" i="76"/>
  <c r="N8" i="76"/>
  <c r="O8" i="76"/>
  <c r="P8" i="76"/>
  <c r="Q8" i="76"/>
  <c r="R8" i="76"/>
  <c r="S8" i="76"/>
  <c r="W8" i="76"/>
  <c r="AA8" i="76"/>
  <c r="AC8" i="76"/>
  <c r="AF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AA9" i="76"/>
  <c r="AC9" i="76"/>
  <c r="AF9" i="76"/>
  <c r="G10" i="76"/>
  <c r="J10" i="76"/>
  <c r="K10" i="76"/>
  <c r="N10" i="76"/>
  <c r="O10" i="76"/>
  <c r="P10" i="76"/>
  <c r="Q10" i="76"/>
  <c r="S10" i="76"/>
  <c r="W10" i="76"/>
  <c r="AA10" i="76"/>
  <c r="AC10" i="76"/>
  <c r="AF10" i="76"/>
  <c r="J11" i="76"/>
  <c r="AA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AA12" i="76"/>
  <c r="AC12" i="76"/>
  <c r="AF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AA15" i="76"/>
  <c r="AC15" i="76"/>
  <c r="AF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AA16" i="76"/>
  <c r="AC16" i="76"/>
  <c r="AF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AA17" i="76"/>
  <c r="AC17" i="76"/>
  <c r="AF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AA22" i="76"/>
  <c r="AC22" i="76"/>
  <c r="AF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AC23" i="76"/>
  <c r="AF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AA24" i="76"/>
  <c r="AC24" i="76"/>
  <c r="AF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AC28" i="76"/>
  <c r="AF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AA29" i="76"/>
  <c r="AC29" i="76"/>
  <c r="AF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AA30" i="76"/>
  <c r="AC30" i="76"/>
  <c r="AF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AF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AA35" i="76"/>
  <c r="AC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AA36" i="76"/>
  <c r="AC36" i="76"/>
  <c r="AF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AF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AF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AF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AF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AA45" i="76"/>
  <c r="AC45" i="76"/>
  <c r="AF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AA46" i="76"/>
  <c r="AC46" i="76"/>
  <c r="AF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AA47" i="76"/>
  <c r="AC47" i="76"/>
  <c r="AF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AA56" i="76"/>
  <c r="AC56" i="76"/>
  <c r="AF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AA57" i="76"/>
  <c r="AC57" i="76"/>
  <c r="AF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AA63" i="76"/>
  <c r="AC63" i="76"/>
  <c r="AF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AA64" i="76"/>
  <c r="AC64" i="76"/>
  <c r="AF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AA65" i="76"/>
  <c r="AC65" i="76"/>
  <c r="AF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AA69" i="76"/>
  <c r="AC69" i="76"/>
  <c r="AF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AA70" i="76"/>
  <c r="AC70" i="76"/>
  <c r="AF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AA71" i="76"/>
  <c r="AC71" i="76"/>
  <c r="AF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AA74" i="76"/>
  <c r="AC74" i="76"/>
  <c r="AF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AA76" i="76"/>
  <c r="AC76" i="76"/>
  <c r="AF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AA77" i="76"/>
  <c r="AC77" i="76"/>
  <c r="AF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AA78" i="76"/>
  <c r="AC78" i="76"/>
  <c r="AF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AA79" i="76"/>
  <c r="AC79" i="76"/>
  <c r="AF79" i="76"/>
  <c r="G66" i="76" l="1"/>
  <c r="P18" i="76"/>
  <c r="J18" i="76"/>
  <c r="AA72" i="76"/>
  <c r="K72" i="76"/>
  <c r="O66" i="76"/>
  <c r="G18" i="76"/>
  <c r="H18" i="76"/>
  <c r="AF72" i="76"/>
  <c r="S72" i="76"/>
  <c r="O72" i="76"/>
  <c r="S66" i="76"/>
  <c r="K66" i="76"/>
  <c r="W72" i="76"/>
  <c r="W66" i="76"/>
  <c r="AF31" i="76"/>
  <c r="AF18" i="76"/>
  <c r="M18" i="76"/>
  <c r="AF37" i="76"/>
  <c r="H48" i="76"/>
  <c r="W48" i="76"/>
  <c r="S48" i="76"/>
  <c r="O48" i="76"/>
  <c r="K48" i="76"/>
  <c r="L72" i="76"/>
  <c r="G72" i="76"/>
  <c r="AF66" i="76"/>
  <c r="AA66" i="76"/>
  <c r="H25" i="76"/>
  <c r="W31" i="76"/>
  <c r="L18" i="76"/>
  <c r="G31" i="76"/>
  <c r="R31" i="76"/>
  <c r="J31" i="76"/>
  <c r="H31" i="76"/>
  <c r="L48" i="76"/>
  <c r="G48" i="76"/>
  <c r="AC37" i="76"/>
  <c r="N37" i="76"/>
  <c r="J37" i="76"/>
  <c r="H37" i="76"/>
  <c r="J25" i="76"/>
  <c r="M48" i="76"/>
  <c r="J48" i="76"/>
  <c r="P37" i="76"/>
  <c r="G37" i="76"/>
  <c r="R37" i="76"/>
  <c r="N31" i="76"/>
  <c r="AC18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AC48" i="76"/>
  <c r="AC31" i="76"/>
  <c r="AC25" i="76"/>
  <c r="P72" i="76"/>
  <c r="N48" i="76"/>
  <c r="R72" i="76"/>
  <c r="N72" i="76"/>
  <c r="J72" i="76"/>
  <c r="R66" i="76"/>
  <c r="N66" i="76"/>
  <c r="J66" i="76"/>
  <c r="AC72" i="76"/>
  <c r="Q66" i="76"/>
  <c r="M66" i="76"/>
  <c r="H66" i="76"/>
  <c r="AF48" i="76"/>
  <c r="W25" i="76"/>
  <c r="S25" i="76"/>
  <c r="O25" i="76"/>
  <c r="K25" i="76"/>
  <c r="W18" i="76"/>
  <c r="S18" i="76"/>
  <c r="O18" i="76"/>
  <c r="K18" i="76"/>
  <c r="Q72" i="76"/>
  <c r="M72" i="76"/>
  <c r="H72" i="76"/>
  <c r="AC66" i="76"/>
  <c r="AF25" i="76"/>
  <c r="S31" i="76"/>
  <c r="O31" i="76"/>
  <c r="K31" i="76"/>
  <c r="AA18" i="76"/>
  <c r="K73" i="76" l="1"/>
  <c r="K75" i="76" s="1"/>
  <c r="K82" i="76" s="1"/>
  <c r="AF73" i="76"/>
  <c r="AF75" i="76" s="1"/>
  <c r="AF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AA73" i="76"/>
  <c r="AA75" i="76" s="1"/>
  <c r="AA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AC73" i="76"/>
  <c r="AC75" i="76" s="1"/>
  <c r="AC82" i="76" s="1"/>
  <c r="Q73" i="76"/>
  <c r="Q75" i="76" s="1"/>
  <c r="Q82" i="76" s="1"/>
  <c r="P73" i="76"/>
  <c r="P75" i="76" s="1"/>
  <c r="P82" i="76" s="1"/>
  <c r="AF49" i="76"/>
  <c r="AF51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AC49" i="76"/>
  <c r="AC51" i="76" s="1"/>
  <c r="M73" i="76"/>
  <c r="M75" i="76" s="1"/>
  <c r="M82" i="76" s="1"/>
  <c r="H73" i="76"/>
  <c r="H75" i="76" s="1"/>
  <c r="H82" i="76" s="1"/>
  <c r="O49" i="76"/>
  <c r="O51" i="76" s="1"/>
  <c r="O59" i="76" s="1"/>
  <c r="AA44" i="76"/>
  <c r="AA48" i="76" s="1"/>
  <c r="AA39" i="76"/>
  <c r="AA34" i="76"/>
  <c r="AA37" i="76" s="1"/>
  <c r="AA41" i="76" l="1"/>
  <c r="AA40" i="76"/>
  <c r="AA28" i="76"/>
  <c r="AA31" i="76" s="1"/>
  <c r="AA23" i="76"/>
  <c r="AA25" i="76" s="1"/>
  <c r="I43" i="69" l="1"/>
  <c r="L43" i="69" s="1"/>
  <c r="AA49" i="76"/>
  <c r="AA51" i="76" s="1"/>
  <c r="F79" i="76"/>
  <c r="E37" i="3" l="1"/>
  <c r="F38" i="75" s="1"/>
  <c r="G38" i="75" s="1"/>
  <c r="AF54" i="76"/>
  <c r="F290" i="5"/>
  <c r="K10" i="1" l="1"/>
  <c r="K11" i="76" s="1"/>
  <c r="L10" i="1" l="1"/>
  <c r="L11" i="76" s="1"/>
  <c r="B20" i="69"/>
  <c r="B21" i="69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I20" i="69"/>
  <c r="K54" i="76"/>
  <c r="P10" i="1" l="1"/>
  <c r="P11" i="76" s="1"/>
  <c r="Q10" i="1" l="1"/>
  <c r="Q11" i="76" s="1"/>
  <c r="AJ84" i="54"/>
  <c r="AB52" i="55"/>
  <c r="B46" i="69"/>
  <c r="B45" i="69"/>
  <c r="R10" i="1" l="1"/>
  <c r="R11" i="76" s="1"/>
  <c r="S10" i="1" l="1"/>
  <c r="T10" i="1" s="1"/>
  <c r="U10" i="1" s="1"/>
  <c r="V10" i="1" s="1"/>
  <c r="W10" i="1" s="1"/>
  <c r="C40" i="3"/>
  <c r="B41" i="75" s="1"/>
  <c r="B40" i="3"/>
  <c r="C39" i="3"/>
  <c r="B40" i="75" s="1"/>
  <c r="B39" i="3"/>
  <c r="AK71" i="1"/>
  <c r="AK65" i="1"/>
  <c r="AK47" i="1"/>
  <c r="AK36" i="1"/>
  <c r="AK30" i="1"/>
  <c r="AK24" i="1"/>
  <c r="AK17" i="1"/>
  <c r="AM71" i="1"/>
  <c r="AM65" i="1"/>
  <c r="AM47" i="1"/>
  <c r="AM36" i="1"/>
  <c r="AM30" i="1"/>
  <c r="AM24" i="1"/>
  <c r="AM17" i="1"/>
  <c r="AJ65" i="1"/>
  <c r="AJ47" i="1"/>
  <c r="AJ36" i="1"/>
  <c r="AJ30" i="1"/>
  <c r="AJ24" i="1"/>
  <c r="AJ17" i="1"/>
  <c r="X10" i="1" l="1"/>
  <c r="X11" i="76" s="1"/>
  <c r="AJ81" i="1"/>
  <c r="U11" i="76"/>
  <c r="A31" i="69"/>
  <c r="AK72" i="1"/>
  <c r="AK74" i="1" s="1"/>
  <c r="AK81" i="1" s="1"/>
  <c r="AK54" i="1" s="1"/>
  <c r="S11" i="76"/>
  <c r="AM72" i="1"/>
  <c r="AM74" i="1" s="1"/>
  <c r="AM81" i="1" s="1"/>
  <c r="AM54" i="1" s="1"/>
  <c r="AK55" i="76" s="1"/>
  <c r="AK48" i="1"/>
  <c r="AK50" i="1" s="1"/>
  <c r="AM48" i="1"/>
  <c r="AM50" i="1" s="1"/>
  <c r="AM53" i="1" s="1"/>
  <c r="AK54" i="76" s="1"/>
  <c r="AJ48" i="1"/>
  <c r="AJ50" i="1" s="1"/>
  <c r="AJ53" i="1" s="1"/>
  <c r="AK59" i="76" l="1"/>
  <c r="A33" i="69"/>
  <c r="A27" i="3"/>
  <c r="A30" i="75" s="1"/>
  <c r="AK53" i="1"/>
  <c r="AI54" i="76" s="1"/>
  <c r="AH54" i="76"/>
  <c r="A25" i="3"/>
  <c r="A28" i="75" s="1"/>
  <c r="V11" i="76"/>
  <c r="I48" i="69"/>
  <c r="L48" i="69" s="1"/>
  <c r="E42" i="3"/>
  <c r="F43" i="75" s="1"/>
  <c r="G43" i="75" s="1"/>
  <c r="A29" i="69"/>
  <c r="A23" i="3"/>
  <c r="A26" i="75" s="1"/>
  <c r="T11" i="76"/>
  <c r="I45" i="69"/>
  <c r="E40" i="3"/>
  <c r="F41" i="75" s="1"/>
  <c r="G41" i="75" s="1"/>
  <c r="I46" i="69"/>
  <c r="L46" i="69" s="1"/>
  <c r="L36" i="69"/>
  <c r="E39" i="3"/>
  <c r="F40" i="75" s="1"/>
  <c r="G40" i="75" l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U36" i="1" l="1"/>
  <c r="U30" i="1"/>
  <c r="U24" i="1"/>
  <c r="U17" i="1"/>
  <c r="Q36" i="1" l="1"/>
  <c r="P36" i="1"/>
  <c r="R36" i="1"/>
  <c r="Q30" i="1"/>
  <c r="P30" i="1"/>
  <c r="R30" i="1"/>
  <c r="Q24" i="1"/>
  <c r="P24" i="1"/>
  <c r="R24" i="1"/>
  <c r="Q17" i="1"/>
  <c r="P17" i="1"/>
  <c r="R17" i="1"/>
  <c r="G52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36" i="5"/>
  <c r="F237" i="5"/>
  <c r="F63" i="5" s="1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64" i="5" s="1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65" i="5" s="1"/>
  <c r="F267" i="5"/>
  <c r="F268" i="5"/>
  <c r="F269" i="5"/>
  <c r="F270" i="5"/>
  <c r="F271" i="5"/>
  <c r="F272" i="5"/>
  <c r="F273" i="5"/>
  <c r="F70" i="5" s="1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2" i="5"/>
  <c r="F293" i="5"/>
  <c r="F294" i="5"/>
  <c r="F74" i="5" s="1"/>
  <c r="F295" i="5"/>
  <c r="F296" i="5"/>
  <c r="F299" i="5"/>
  <c r="F300" i="5"/>
  <c r="F301" i="5"/>
  <c r="F302" i="5"/>
  <c r="F303" i="5"/>
  <c r="F304" i="5"/>
  <c r="F308" i="5"/>
  <c r="F79" i="5" s="1"/>
  <c r="F309" i="5"/>
  <c r="F310" i="5"/>
  <c r="F311" i="5"/>
  <c r="F312" i="5"/>
  <c r="F78" i="5" l="1"/>
  <c r="E78" i="5" s="1"/>
  <c r="G73" i="5"/>
  <c r="G75" i="5" s="1"/>
  <c r="G82" i="5" s="1"/>
  <c r="F66" i="5"/>
  <c r="F76" i="5"/>
  <c r="E76" i="5" s="1"/>
  <c r="F71" i="5"/>
  <c r="E77" i="5"/>
  <c r="F69" i="5"/>
  <c r="G49" i="5"/>
  <c r="G51" i="5" s="1"/>
  <c r="G59" i="5" s="1"/>
  <c r="E45" i="1"/>
  <c r="E46" i="76" s="1"/>
  <c r="F82" i="76"/>
  <c r="E79" i="5"/>
  <c r="I55" i="54"/>
  <c r="I72" i="54"/>
  <c r="I66" i="54"/>
  <c r="I31" i="54"/>
  <c r="I25" i="54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Y77" i="1" s="1"/>
  <c r="I73" i="54"/>
  <c r="I75" i="54" s="1"/>
  <c r="I81" i="54" s="1"/>
  <c r="F79" i="54"/>
  <c r="E79" i="76"/>
  <c r="Y45" i="1"/>
  <c r="F46" i="54"/>
  <c r="F55" i="54"/>
  <c r="E55" i="76"/>
  <c r="F77" i="54" l="1"/>
  <c r="E78" i="76"/>
  <c r="F78" i="54"/>
  <c r="A4" i="75"/>
  <c r="A82" i="75" s="1"/>
  <c r="B34" i="3"/>
  <c r="B33" i="3"/>
  <c r="B32" i="3"/>
  <c r="B26" i="3"/>
  <c r="B35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40" i="75"/>
  <c r="C139" i="75"/>
  <c r="B126" i="75"/>
  <c r="F124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4" i="1" l="1"/>
  <c r="G24" i="1"/>
  <c r="H24" i="1"/>
  <c r="S24" i="1"/>
  <c r="J24" i="1"/>
  <c r="L24" i="1"/>
  <c r="M24" i="1"/>
  <c r="O24" i="1"/>
  <c r="W24" i="1"/>
  <c r="AD24" i="1"/>
  <c r="AD17" i="1"/>
  <c r="Y42" i="1" l="1"/>
  <c r="A3" i="54"/>
  <c r="C4" i="56" s="1"/>
  <c r="A4" i="54"/>
  <c r="A1" i="54"/>
  <c r="A4" i="1"/>
  <c r="A4" i="76" s="1"/>
  <c r="A5" i="1"/>
  <c r="A5" i="76" s="1"/>
  <c r="A2" i="1"/>
  <c r="F10" i="1"/>
  <c r="A1" i="3" l="1"/>
  <c r="A2" i="76"/>
  <c r="AB11" i="76"/>
  <c r="A4" i="3"/>
  <c r="A4" i="55"/>
  <c r="G10" i="1"/>
  <c r="G11" i="76" s="1"/>
  <c r="F11" i="76"/>
  <c r="AC11" i="76" l="1"/>
  <c r="H10" i="1"/>
  <c r="H11" i="76" l="1"/>
  <c r="I10" i="1"/>
  <c r="A42" i="69"/>
  <c r="A36" i="3"/>
  <c r="A37" i="75" s="1"/>
  <c r="A48" i="69"/>
  <c r="A30" i="3"/>
  <c r="A31" i="75" s="1"/>
  <c r="Y11" i="76"/>
  <c r="A36" i="69"/>
  <c r="A42" i="3"/>
  <c r="A43" i="75" s="1"/>
  <c r="E28" i="5"/>
  <c r="E34" i="5"/>
  <c r="A12" i="3" l="1"/>
  <c r="A15" i="75" s="1"/>
  <c r="I11" i="76"/>
  <c r="A15" i="69"/>
  <c r="A37" i="3"/>
  <c r="A38" i="75" s="1"/>
  <c r="A43" i="69"/>
  <c r="AF11" i="76"/>
  <c r="AG11" i="76" l="1"/>
  <c r="A38" i="3"/>
  <c r="A39" i="75" s="1"/>
  <c r="A44" i="69"/>
  <c r="C35" i="3"/>
  <c r="B36" i="75" s="1"/>
  <c r="B41" i="69"/>
  <c r="Y76" i="1" l="1"/>
  <c r="A39" i="3" l="1"/>
  <c r="A40" i="75" s="1"/>
  <c r="AH11" i="76"/>
  <c r="A45" i="69"/>
  <c r="Y78" i="1"/>
  <c r="AD54" i="76" l="1"/>
  <c r="A40" i="3"/>
  <c r="A41" i="75" s="1"/>
  <c r="A46" i="69"/>
  <c r="AI11" i="76"/>
  <c r="I41" i="69"/>
  <c r="L41" i="69" s="1"/>
  <c r="E35" i="3"/>
  <c r="F36" i="75" s="1"/>
  <c r="G36" i="75" s="1"/>
  <c r="E62" i="1"/>
  <c r="E68" i="1"/>
  <c r="E69" i="76" s="1"/>
  <c r="E69" i="1"/>
  <c r="E73" i="1"/>
  <c r="E75" i="1"/>
  <c r="E76" i="76" s="1"/>
  <c r="E14" i="1"/>
  <c r="Y14" i="1" s="1"/>
  <c r="AN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B40" i="69"/>
  <c r="A40" i="69"/>
  <c r="B39" i="69"/>
  <c r="A39" i="69"/>
  <c r="B38" i="69"/>
  <c r="A38" i="69"/>
  <c r="B32" i="69"/>
  <c r="B30" i="69"/>
  <c r="B26" i="69"/>
  <c r="B25" i="69"/>
  <c r="B27" i="69"/>
  <c r="B24" i="69"/>
  <c r="B23" i="69"/>
  <c r="B22" i="69"/>
  <c r="B19" i="69"/>
  <c r="B28" i="69"/>
  <c r="B14" i="69"/>
  <c r="A14" i="69"/>
  <c r="B13" i="69"/>
  <c r="A13" i="69"/>
  <c r="B12" i="69"/>
  <c r="A12" i="69"/>
  <c r="B11" i="69"/>
  <c r="A11" i="69"/>
  <c r="C24" i="3"/>
  <c r="B27" i="75" s="1"/>
  <c r="A34" i="3"/>
  <c r="A35" i="75" s="1"/>
  <c r="C34" i="3"/>
  <c r="B35" i="75" s="1"/>
  <c r="A33" i="3"/>
  <c r="A34" i="75" s="1"/>
  <c r="C33" i="3"/>
  <c r="B34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32" i="3"/>
  <c r="A33" i="75" s="1"/>
  <c r="C32" i="3"/>
  <c r="B33" i="75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F34" i="54"/>
  <c r="N10" i="69"/>
  <c r="E87" i="1"/>
  <c r="AF89" i="1" s="1"/>
  <c r="AF83" i="1" s="1"/>
  <c r="E63" i="76"/>
  <c r="E66" i="76" s="1"/>
  <c r="Y62" i="1"/>
  <c r="E41" i="76"/>
  <c r="E15" i="76"/>
  <c r="H15" i="54"/>
  <c r="Y70" i="1"/>
  <c r="E71" i="76"/>
  <c r="Y56" i="1"/>
  <c r="E57" i="76"/>
  <c r="F44" i="54"/>
  <c r="E44" i="76"/>
  <c r="Y35" i="1"/>
  <c r="E36" i="76"/>
  <c r="E37" i="76" s="1"/>
  <c r="F28" i="54"/>
  <c r="E28" i="76"/>
  <c r="Y73" i="1"/>
  <c r="E74" i="76"/>
  <c r="Y46" i="1"/>
  <c r="E47" i="76"/>
  <c r="Y55" i="1"/>
  <c r="E56" i="76"/>
  <c r="E25" i="76"/>
  <c r="Y69" i="1"/>
  <c r="E70" i="76"/>
  <c r="F74" i="54"/>
  <c r="F36" i="54"/>
  <c r="F57" i="54"/>
  <c r="Y75" i="1"/>
  <c r="F76" i="54"/>
  <c r="H29" i="5"/>
  <c r="E31" i="5"/>
  <c r="H31" i="5" s="1"/>
  <c r="Y68" i="1"/>
  <c r="E71" i="1"/>
  <c r="E24" i="1"/>
  <c r="E47" i="1"/>
  <c r="E65" i="1"/>
  <c r="Y43" i="1"/>
  <c r="Y27" i="1"/>
  <c r="E30" i="1"/>
  <c r="F29" i="54"/>
  <c r="Y28" i="1"/>
  <c r="F47" i="54"/>
  <c r="F39" i="54"/>
  <c r="Y38" i="1"/>
  <c r="F30" i="54"/>
  <c r="Y29" i="1"/>
  <c r="F24" i="54"/>
  <c r="Y23" i="1"/>
  <c r="F64" i="54"/>
  <c r="Y63" i="1"/>
  <c r="F54" i="54"/>
  <c r="F40" i="54"/>
  <c r="Y39" i="1"/>
  <c r="Y33" i="1"/>
  <c r="F22" i="54"/>
  <c r="Y21" i="1"/>
  <c r="AN21" i="1" s="1"/>
  <c r="H22" i="54" s="1"/>
  <c r="F65" i="54"/>
  <c r="Y64" i="1"/>
  <c r="F41" i="54"/>
  <c r="Y40" i="1"/>
  <c r="F35" i="54"/>
  <c r="Y34" i="1"/>
  <c r="F23" i="54"/>
  <c r="Y22" i="1"/>
  <c r="F63" i="54"/>
  <c r="F16" i="54"/>
  <c r="Y15" i="1"/>
  <c r="F45" i="54"/>
  <c r="Y44" i="1"/>
  <c r="F15" i="54"/>
  <c r="F56" i="54"/>
  <c r="W47" i="1"/>
  <c r="F69" i="54"/>
  <c r="S71" i="1"/>
  <c r="F71" i="54"/>
  <c r="E66" i="5"/>
  <c r="E48" i="5"/>
  <c r="H48" i="5" s="1"/>
  <c r="E18" i="5"/>
  <c r="H18" i="5" s="1"/>
  <c r="H17" i="5"/>
  <c r="E72" i="5"/>
  <c r="H72" i="5" s="1"/>
  <c r="E25" i="5"/>
  <c r="L47" i="1"/>
  <c r="O47" i="1"/>
  <c r="F70" i="54"/>
  <c r="O30" i="1"/>
  <c r="U47" i="1"/>
  <c r="U48" i="1" s="1"/>
  <c r="G36" i="1"/>
  <c r="M30" i="1"/>
  <c r="G30" i="1"/>
  <c r="M36" i="1"/>
  <c r="J36" i="1"/>
  <c r="F30" i="1"/>
  <c r="S36" i="1"/>
  <c r="L36" i="1"/>
  <c r="M47" i="1"/>
  <c r="R47" i="1"/>
  <c r="P47" i="1"/>
  <c r="Q47" i="1"/>
  <c r="U71" i="1"/>
  <c r="Q65" i="1"/>
  <c r="M65" i="1"/>
  <c r="H65" i="1"/>
  <c r="S30" i="1"/>
  <c r="J30" i="1"/>
  <c r="AD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AD65" i="1"/>
  <c r="U65" i="1"/>
  <c r="P71" i="1"/>
  <c r="O65" i="1"/>
  <c r="L65" i="1"/>
  <c r="J71" i="1"/>
  <c r="G71" i="1"/>
  <c r="G47" i="1"/>
  <c r="J47" i="1"/>
  <c r="AD71" i="1"/>
  <c r="J65" i="1"/>
  <c r="G65" i="1"/>
  <c r="E16" i="1"/>
  <c r="N15" i="69" l="1"/>
  <c r="I89" i="1"/>
  <c r="I83" i="1" s="1"/>
  <c r="W72" i="1"/>
  <c r="W74" i="1" s="1"/>
  <c r="W81" i="1" s="1"/>
  <c r="I32" i="69" s="1"/>
  <c r="J72" i="1"/>
  <c r="R72" i="1"/>
  <c r="O72" i="1"/>
  <c r="O74" i="1" s="1"/>
  <c r="L72" i="1"/>
  <c r="L74" i="1" s="1"/>
  <c r="S72" i="1"/>
  <c r="S74" i="1" s="1"/>
  <c r="U72" i="1"/>
  <c r="U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AD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F48" i="54"/>
  <c r="F66" i="54"/>
  <c r="J48" i="1"/>
  <c r="J50" i="1" s="1"/>
  <c r="F48" i="1"/>
  <c r="F50" i="1" s="1"/>
  <c r="M48" i="1"/>
  <c r="M50" i="1" s="1"/>
  <c r="O48" i="1"/>
  <c r="O50" i="1" s="1"/>
  <c r="AD48" i="1"/>
  <c r="AD50" i="1" s="1"/>
  <c r="S48" i="1"/>
  <c r="S50" i="1" s="1"/>
  <c r="S53" i="1" s="1"/>
  <c r="G48" i="1"/>
  <c r="AA54" i="76"/>
  <c r="Y47" i="1"/>
  <c r="Y36" i="1"/>
  <c r="F31" i="54"/>
  <c r="F37" i="54"/>
  <c r="F72" i="54"/>
  <c r="F25" i="54"/>
  <c r="E49" i="5"/>
  <c r="E51" i="5" s="1"/>
  <c r="E59" i="5" s="1"/>
  <c r="E48" i="1"/>
  <c r="Y24" i="1"/>
  <c r="Y16" i="1"/>
  <c r="H25" i="5"/>
  <c r="U50" i="1"/>
  <c r="F17" i="54"/>
  <c r="F18" i="54" s="1"/>
  <c r="F53" i="1" l="1"/>
  <c r="F54" i="76" s="1"/>
  <c r="P53" i="1"/>
  <c r="P54" i="76" s="1"/>
  <c r="R53" i="1"/>
  <c r="R54" i="76" s="1"/>
  <c r="AD53" i="1"/>
  <c r="AB54" i="76" s="1"/>
  <c r="J53" i="1"/>
  <c r="J54" i="76" s="1"/>
  <c r="H53" i="1"/>
  <c r="H54" i="76" s="1"/>
  <c r="U53" i="1"/>
  <c r="U54" i="76" s="1"/>
  <c r="M53" i="1"/>
  <c r="M54" i="76" s="1"/>
  <c r="E26" i="3"/>
  <c r="F29" i="75" s="1"/>
  <c r="G29" i="75" s="1"/>
  <c r="E10" i="3"/>
  <c r="F13" i="75" s="1"/>
  <c r="G13" i="75" s="1"/>
  <c r="I13" i="69"/>
  <c r="L13" i="69" s="1"/>
  <c r="F73" i="54"/>
  <c r="F75" i="54" s="1"/>
  <c r="F81" i="54" s="1"/>
  <c r="E75" i="76"/>
  <c r="E82" i="76" s="1"/>
  <c r="Y17" i="1"/>
  <c r="E49" i="76"/>
  <c r="E18" i="76"/>
  <c r="U81" i="1"/>
  <c r="S81" i="1"/>
  <c r="S54" i="1" s="1"/>
  <c r="O81" i="1"/>
  <c r="I24" i="69" s="1"/>
  <c r="L81" i="1"/>
  <c r="L54" i="1" s="1"/>
  <c r="H82" i="5"/>
  <c r="AD74" i="1"/>
  <c r="J74" i="1"/>
  <c r="M74" i="1"/>
  <c r="P74" i="1"/>
  <c r="F74" i="1"/>
  <c r="R74" i="1"/>
  <c r="Q54" i="76"/>
  <c r="Q74" i="1"/>
  <c r="Q81" i="1" s="1"/>
  <c r="Q54" i="1" s="1"/>
  <c r="H74" i="1"/>
  <c r="H81" i="1" s="1"/>
  <c r="F49" i="54"/>
  <c r="F51" i="54" s="1"/>
  <c r="F59" i="54" s="1"/>
  <c r="AC54" i="76"/>
  <c r="S54" i="76"/>
  <c r="L54" i="76"/>
  <c r="N54" i="76"/>
  <c r="L45" i="69"/>
  <c r="H51" i="5"/>
  <c r="Y71" i="1"/>
  <c r="Y30" i="1"/>
  <c r="Y48" i="1" s="1"/>
  <c r="L32" i="69"/>
  <c r="H49" i="5"/>
  <c r="Y65" i="1"/>
  <c r="G50" i="1"/>
  <c r="G53" i="1" s="1"/>
  <c r="I11" i="69"/>
  <c r="E8" i="3"/>
  <c r="E11" i="75" s="1"/>
  <c r="E44" i="75" s="1"/>
  <c r="E50" i="1"/>
  <c r="E24" i="3" l="1"/>
  <c r="F27" i="75" s="1"/>
  <c r="G27" i="75" s="1"/>
  <c r="U54" i="1"/>
  <c r="E11" i="3"/>
  <c r="F14" i="75" s="1"/>
  <c r="G14" i="75" s="1"/>
  <c r="H54" i="1"/>
  <c r="I26" i="69"/>
  <c r="L26" i="69" s="1"/>
  <c r="E18" i="3"/>
  <c r="F21" i="75" s="1"/>
  <c r="G21" i="75" s="1"/>
  <c r="E22" i="3"/>
  <c r="F25" i="75" s="1"/>
  <c r="G25" i="75" s="1"/>
  <c r="Y72" i="1"/>
  <c r="Y74" i="1" s="1"/>
  <c r="Y81" i="1" s="1"/>
  <c r="I21" i="69"/>
  <c r="L21" i="69" s="1"/>
  <c r="E15" i="3"/>
  <c r="F18" i="75" s="1"/>
  <c r="G18" i="75" s="1"/>
  <c r="I28" i="69"/>
  <c r="L28" i="69" s="1"/>
  <c r="I23" i="69"/>
  <c r="L23" i="69" s="1"/>
  <c r="E20" i="3"/>
  <c r="F23" i="75" s="1"/>
  <c r="G23" i="75" s="1"/>
  <c r="E51" i="76"/>
  <c r="E59" i="76" s="1"/>
  <c r="I30" i="69"/>
  <c r="L30" i="69" s="1"/>
  <c r="I14" i="69"/>
  <c r="L14" i="69" s="1"/>
  <c r="E17" i="3"/>
  <c r="F20" i="75" s="1"/>
  <c r="G20" i="75" s="1"/>
  <c r="G54" i="76"/>
  <c r="P81" i="1"/>
  <c r="AD81" i="1"/>
  <c r="AD54" i="1" s="1"/>
  <c r="J81" i="1"/>
  <c r="J54" i="1" s="1"/>
  <c r="M81" i="1"/>
  <c r="M54" i="1" s="1"/>
  <c r="R81" i="1"/>
  <c r="R54" i="1" s="1"/>
  <c r="F81" i="1"/>
  <c r="F54" i="1" s="1"/>
  <c r="E34" i="3"/>
  <c r="F35" i="75" s="1"/>
  <c r="G35" i="75" s="1"/>
  <c r="I40" i="69"/>
  <c r="L40" i="69" s="1"/>
  <c r="Y50" i="1"/>
  <c r="E58" i="1"/>
  <c r="E82" i="1" s="1"/>
  <c r="G11" i="75"/>
  <c r="L24" i="69"/>
  <c r="L20" i="69"/>
  <c r="L11" i="69"/>
  <c r="E19" i="3" l="1"/>
  <c r="F22" i="75" s="1"/>
  <c r="G22" i="75" s="1"/>
  <c r="P54" i="1"/>
  <c r="G15" i="54"/>
  <c r="I25" i="69"/>
  <c r="L25" i="69" s="1"/>
  <c r="I19" i="69"/>
  <c r="L19" i="69" s="1"/>
  <c r="E21" i="3"/>
  <c r="F24" i="75" s="1"/>
  <c r="G24" i="75" s="1"/>
  <c r="E32" i="3"/>
  <c r="F33" i="75" s="1"/>
  <c r="G33" i="75" s="1"/>
  <c r="I22" i="69"/>
  <c r="L22" i="69" s="1"/>
  <c r="E13" i="3"/>
  <c r="F16" i="75" s="1"/>
  <c r="I27" i="69"/>
  <c r="L27" i="69" s="1"/>
  <c r="O58" i="1"/>
  <c r="E16" i="3"/>
  <c r="F19" i="75" s="1"/>
  <c r="G19" i="75" s="1"/>
  <c r="E33" i="3"/>
  <c r="F34" i="75" s="1"/>
  <c r="G34" i="75" s="1"/>
  <c r="I39" i="69"/>
  <c r="L39" i="69" s="1"/>
  <c r="I38" i="69"/>
  <c r="L38" i="69" s="1"/>
  <c r="I12" i="69"/>
  <c r="E9" i="3"/>
  <c r="F12" i="75" s="1"/>
  <c r="F17" i="69"/>
  <c r="H59" i="5"/>
  <c r="E84" i="5"/>
  <c r="H11" i="69"/>
  <c r="D8" i="3"/>
  <c r="F8" i="3" s="1"/>
  <c r="F82" i="54"/>
  <c r="F44" i="75" l="1"/>
  <c r="G16" i="75"/>
  <c r="G12" i="75"/>
  <c r="D18" i="3"/>
  <c r="H24" i="69"/>
  <c r="K24" i="69" s="1"/>
  <c r="N24" i="69" s="1"/>
  <c r="L12" i="69"/>
  <c r="I17" i="69"/>
  <c r="I34" i="69" s="1"/>
  <c r="I50" i="69" s="1"/>
  <c r="E28" i="3"/>
  <c r="E43" i="3" s="1"/>
  <c r="F34" i="69"/>
  <c r="F50" i="69" s="1"/>
  <c r="K11" i="69"/>
  <c r="G44" i="75" l="1"/>
  <c r="L17" i="69"/>
  <c r="L34" i="69" s="1"/>
  <c r="E17" i="69"/>
  <c r="E34" i="69" s="1"/>
  <c r="E50" i="69" s="1"/>
  <c r="N11" i="69"/>
  <c r="L50" i="69" l="1"/>
  <c r="AN15" i="1" l="1"/>
  <c r="H16" i="54" s="1"/>
  <c r="F25" i="55" s="1"/>
  <c r="AN64" i="1"/>
  <c r="H65" i="54" s="1"/>
  <c r="AN34" i="1"/>
  <c r="H35" i="54" s="1"/>
  <c r="AN22" i="1"/>
  <c r="H23" i="54" s="1"/>
  <c r="AN45" i="1"/>
  <c r="H46" i="54" s="1"/>
  <c r="AN70" i="1"/>
  <c r="H71" i="54" s="1"/>
  <c r="AN35" i="1"/>
  <c r="H36" i="54" s="1"/>
  <c r="AN78" i="1"/>
  <c r="H79" i="54" s="1"/>
  <c r="AN46" i="1"/>
  <c r="H47" i="54" s="1"/>
  <c r="AN40" i="1"/>
  <c r="H41" i="54" s="1"/>
  <c r="AN38" i="1"/>
  <c r="H39" i="54" s="1"/>
  <c r="AN75" i="1"/>
  <c r="H76" i="54" s="1"/>
  <c r="AN27" i="1"/>
  <c r="H28" i="54" s="1"/>
  <c r="AN56" i="1"/>
  <c r="H57" i="54" s="1"/>
  <c r="AN28" i="1"/>
  <c r="H29" i="54" s="1"/>
  <c r="AN44" i="1"/>
  <c r="H45" i="54" s="1"/>
  <c r="AN16" i="1"/>
  <c r="H17" i="54" s="1"/>
  <c r="AN23" i="1"/>
  <c r="H24" i="54" s="1"/>
  <c r="AN55" i="1"/>
  <c r="H56" i="54" s="1"/>
  <c r="AN39" i="1"/>
  <c r="H40" i="54" s="1"/>
  <c r="AN68" i="1"/>
  <c r="H69" i="54" s="1"/>
  <c r="AN69" i="1"/>
  <c r="H70" i="54" s="1"/>
  <c r="AN73" i="1"/>
  <c r="H74" i="54" s="1"/>
  <c r="AN29" i="1"/>
  <c r="H30" i="54" s="1"/>
  <c r="AN63" i="1"/>
  <c r="H64" i="54" s="1"/>
  <c r="AN33" i="1"/>
  <c r="H34" i="54" s="1"/>
  <c r="AN43" i="1"/>
  <c r="H44" i="54" s="1"/>
  <c r="AN76" i="1"/>
  <c r="H77" i="54" s="1"/>
  <c r="AN77" i="1"/>
  <c r="H78" i="54" s="1"/>
  <c r="AN62" i="1"/>
  <c r="H63" i="54" s="1"/>
  <c r="AN36" i="1" l="1"/>
  <c r="AN47" i="1"/>
  <c r="AN71" i="1"/>
  <c r="AN24" i="1"/>
  <c r="AN65" i="1"/>
  <c r="AN30" i="1"/>
  <c r="AN17" i="1"/>
  <c r="G22" i="54" l="1"/>
  <c r="AN72" i="1"/>
  <c r="AN74" i="1" s="1"/>
  <c r="AN81" i="1" s="1"/>
  <c r="F11" i="55" s="1"/>
  <c r="AN48" i="1"/>
  <c r="AN50" i="1" s="1"/>
  <c r="J29" i="54" l="1"/>
  <c r="J35" i="54" l="1"/>
  <c r="G71" i="54"/>
  <c r="G69" i="54"/>
  <c r="G39" i="54"/>
  <c r="J74" i="54"/>
  <c r="G77" i="54"/>
  <c r="G36" i="54"/>
  <c r="G70" i="54"/>
  <c r="G29" i="54"/>
  <c r="J71" i="54"/>
  <c r="J77" i="54"/>
  <c r="J79" i="54"/>
  <c r="G79" i="54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J78" i="54"/>
  <c r="G78" i="54"/>
  <c r="G63" i="54"/>
  <c r="J63" i="54"/>
  <c r="J16" i="54"/>
  <c r="G16" i="54"/>
  <c r="H18" i="54"/>
  <c r="G40" i="54"/>
  <c r="J40" i="54"/>
  <c r="G47" i="54"/>
  <c r="J47" i="54"/>
  <c r="J30" i="54"/>
  <c r="G30" i="54"/>
  <c r="G46" i="54"/>
  <c r="J46" i="54"/>
  <c r="G45" i="54"/>
  <c r="J45" i="54"/>
  <c r="G44" i="54"/>
  <c r="H48" i="54"/>
  <c r="G72" i="54" l="1"/>
  <c r="G64" i="54"/>
  <c r="G66" i="54" s="1"/>
  <c r="J34" i="54"/>
  <c r="H37" i="54"/>
  <c r="H49" i="54" s="1"/>
  <c r="H51" i="54" s="1"/>
  <c r="G34" i="54"/>
  <c r="G37" i="54" s="1"/>
  <c r="H66" i="54"/>
  <c r="H73" i="54" s="1"/>
  <c r="H75" i="54" s="1"/>
  <c r="H81" i="54" s="1"/>
  <c r="J64" i="54"/>
  <c r="J66" i="54" s="1"/>
  <c r="J72" i="54"/>
  <c r="J25" i="54"/>
  <c r="G31" i="54"/>
  <c r="J31" i="54"/>
  <c r="G25" i="54"/>
  <c r="G18" i="54"/>
  <c r="G48" i="54"/>
  <c r="G73" i="54" l="1"/>
  <c r="G75" i="54" s="1"/>
  <c r="G81" i="54" s="1"/>
  <c r="J73" i="54"/>
  <c r="J75" i="54" s="1"/>
  <c r="J81" i="54" s="1"/>
  <c r="G49" i="54"/>
  <c r="G51" i="54" s="1"/>
  <c r="A19" i="69" l="1"/>
  <c r="A13" i="3"/>
  <c r="A16" i="75" s="1"/>
  <c r="A14" i="3" l="1"/>
  <c r="A17" i="75" s="1"/>
  <c r="A20" i="69"/>
  <c r="A21" i="69" l="1"/>
  <c r="A15" i="3"/>
  <c r="A18" i="75" s="1"/>
  <c r="A22" i="69" l="1"/>
  <c r="A16" i="3"/>
  <c r="A19" i="75" s="1"/>
  <c r="A23" i="69" l="1"/>
  <c r="A17" i="3"/>
  <c r="A20" i="75" s="1"/>
  <c r="A24" i="69" l="1"/>
  <c r="A18" i="3"/>
  <c r="A21" i="75" s="1"/>
  <c r="A25" i="69" l="1"/>
  <c r="A19" i="3"/>
  <c r="A22" i="75" s="1"/>
  <c r="A26" i="69" l="1"/>
  <c r="A20" i="3"/>
  <c r="A23" i="75" s="1"/>
  <c r="A27" i="69" l="1"/>
  <c r="A21" i="3"/>
  <c r="A24" i="75" s="1"/>
  <c r="A22" i="3" l="1"/>
  <c r="A25" i="75" s="1"/>
  <c r="A28" i="69"/>
  <c r="A24" i="3" l="1"/>
  <c r="A27" i="75" s="1"/>
  <c r="A30" i="69"/>
  <c r="A41" i="69" l="1"/>
  <c r="A35" i="3"/>
  <c r="A36" i="75" s="1"/>
  <c r="A32" i="69" l="1"/>
  <c r="E8" i="75"/>
  <c r="A26" i="3"/>
  <c r="A29" i="75" s="1"/>
  <c r="E48" i="75" l="1"/>
  <c r="I43" i="75" s="1"/>
  <c r="AL58" i="1"/>
  <c r="S55" i="76"/>
  <c r="S59" i="76" s="1"/>
  <c r="E88" i="1"/>
  <c r="E89" i="1" s="1"/>
  <c r="E83" i="1" s="1"/>
  <c r="G55" i="76"/>
  <c r="G59" i="76" s="1"/>
  <c r="AK58" i="1"/>
  <c r="P58" i="1"/>
  <c r="J55" i="76"/>
  <c r="J59" i="76" s="1"/>
  <c r="R58" i="1"/>
  <c r="M55" i="76"/>
  <c r="M59" i="76" s="1"/>
  <c r="O15" i="69"/>
  <c r="P15" i="69" s="1"/>
  <c r="F15" i="55"/>
  <c r="K55" i="76"/>
  <c r="K59" i="76" s="1"/>
  <c r="L58" i="1"/>
  <c r="N55" i="76"/>
  <c r="N59" i="76" s="1"/>
  <c r="AG55" i="76"/>
  <c r="AG59" i="76" s="1"/>
  <c r="H55" i="76"/>
  <c r="H59" i="76" s="1"/>
  <c r="T55" i="76"/>
  <c r="T59" i="76" s="1"/>
  <c r="AA58" i="1"/>
  <c r="U55" i="76"/>
  <c r="U59" i="76" s="1"/>
  <c r="AB55" i="76"/>
  <c r="AB59" i="76" s="1"/>
  <c r="F58" i="1"/>
  <c r="AF55" i="76"/>
  <c r="AF59" i="76" s="1"/>
  <c r="I15" i="75" l="1"/>
  <c r="I32" i="75"/>
  <c r="I35" i="75"/>
  <c r="I36" i="75"/>
  <c r="I39" i="75"/>
  <c r="I41" i="75"/>
  <c r="I42" i="75"/>
  <c r="I37" i="75"/>
  <c r="I38" i="75"/>
  <c r="I40" i="75"/>
  <c r="I33" i="75"/>
  <c r="I34" i="75"/>
  <c r="I30" i="75"/>
  <c r="O47" i="69"/>
  <c r="AJ58" i="1"/>
  <c r="AJ88" i="1" s="1"/>
  <c r="D41" i="3"/>
  <c r="H47" i="69"/>
  <c r="K47" i="69" s="1"/>
  <c r="N47" i="69" s="1"/>
  <c r="D27" i="3"/>
  <c r="H33" i="69"/>
  <c r="K33" i="69" s="1"/>
  <c r="N33" i="69" s="1"/>
  <c r="O31" i="69"/>
  <c r="O33" i="69"/>
  <c r="X88" i="1"/>
  <c r="E50" i="75"/>
  <c r="E54" i="75" s="1"/>
  <c r="AC88" i="1"/>
  <c r="AE88" i="1"/>
  <c r="AH88" i="1"/>
  <c r="V55" i="76"/>
  <c r="V59" i="76" s="1"/>
  <c r="V58" i="1"/>
  <c r="AL88" i="1"/>
  <c r="I18" i="75"/>
  <c r="I20" i="75"/>
  <c r="I24" i="75"/>
  <c r="I21" i="75"/>
  <c r="I25" i="75"/>
  <c r="I28" i="75"/>
  <c r="I31" i="75"/>
  <c r="I23" i="75"/>
  <c r="I22" i="75"/>
  <c r="I29" i="75"/>
  <c r="I27" i="75"/>
  <c r="I26" i="75"/>
  <c r="I19" i="75"/>
  <c r="I17" i="75"/>
  <c r="V88" i="1"/>
  <c r="AD55" i="76"/>
  <c r="AD59" i="76" s="1"/>
  <c r="Z55" i="76"/>
  <c r="Z59" i="76" s="1"/>
  <c r="AB58" i="1"/>
  <c r="AG58" i="1"/>
  <c r="H42" i="69" s="1"/>
  <c r="K42" i="69" s="1"/>
  <c r="N42" i="69" s="1"/>
  <c r="AE55" i="76"/>
  <c r="AE59" i="76" s="1"/>
  <c r="O37" i="69"/>
  <c r="S58" i="1"/>
  <c r="D22" i="3" s="1"/>
  <c r="O88" i="1"/>
  <c r="G58" i="1"/>
  <c r="H13" i="69" s="1"/>
  <c r="K13" i="69" s="1"/>
  <c r="N13" i="69" s="1"/>
  <c r="O23" i="69"/>
  <c r="O24" i="69"/>
  <c r="P24" i="69" s="1"/>
  <c r="O39" i="69"/>
  <c r="O27" i="69"/>
  <c r="O40" i="69"/>
  <c r="O44" i="69"/>
  <c r="O26" i="69"/>
  <c r="O30" i="69"/>
  <c r="O36" i="69"/>
  <c r="O41" i="69"/>
  <c r="O29" i="69"/>
  <c r="O46" i="69"/>
  <c r="O25" i="69"/>
  <c r="I12" i="75"/>
  <c r="I16" i="75"/>
  <c r="AH55" i="76"/>
  <c r="AH59" i="76" s="1"/>
  <c r="R55" i="76"/>
  <c r="R59" i="76" s="1"/>
  <c r="I13" i="75"/>
  <c r="AI55" i="76"/>
  <c r="AI59" i="76" s="1"/>
  <c r="O48" i="69"/>
  <c r="AM58" i="1"/>
  <c r="D42" i="3" s="1"/>
  <c r="AC55" i="76"/>
  <c r="AC59" i="76" s="1"/>
  <c r="J58" i="1"/>
  <c r="H19" i="69" s="1"/>
  <c r="K19" i="69" s="1"/>
  <c r="N19" i="69" s="1"/>
  <c r="F48" i="75"/>
  <c r="I11" i="75"/>
  <c r="M58" i="1"/>
  <c r="D16" i="3" s="1"/>
  <c r="I14" i="75"/>
  <c r="F55" i="76"/>
  <c r="F59" i="76" s="1"/>
  <c r="P55" i="76"/>
  <c r="P59" i="76" s="1"/>
  <c r="O14" i="69"/>
  <c r="O13" i="69"/>
  <c r="O21" i="69"/>
  <c r="O19" i="69"/>
  <c r="O43" i="69"/>
  <c r="O20" i="69"/>
  <c r="O12" i="69"/>
  <c r="N58" i="1"/>
  <c r="D17" i="3" s="1"/>
  <c r="O45" i="69"/>
  <c r="O32" i="69"/>
  <c r="O38" i="69"/>
  <c r="O42" i="69"/>
  <c r="O11" i="69"/>
  <c r="P11" i="69" s="1"/>
  <c r="O22" i="69"/>
  <c r="O28" i="69"/>
  <c r="K58" i="1"/>
  <c r="D14" i="3" s="1"/>
  <c r="AI58" i="1"/>
  <c r="D38" i="3" s="1"/>
  <c r="U58" i="1"/>
  <c r="D24" i="3" s="1"/>
  <c r="T58" i="1"/>
  <c r="D23" i="3" s="1"/>
  <c r="L55" i="76"/>
  <c r="L59" i="76" s="1"/>
  <c r="H58" i="1"/>
  <c r="D11" i="3" s="1"/>
  <c r="AA55" i="76"/>
  <c r="AA59" i="76" s="1"/>
  <c r="Y54" i="1"/>
  <c r="AN54" i="1" s="1"/>
  <c r="H55" i="54" s="1"/>
  <c r="AD58" i="1"/>
  <c r="D33" i="3" s="1"/>
  <c r="Q55" i="76"/>
  <c r="Q59" i="76" s="1"/>
  <c r="Q58" i="1"/>
  <c r="H26" i="69" s="1"/>
  <c r="K26" i="69" s="1"/>
  <c r="N26" i="69" s="1"/>
  <c r="Y55" i="76"/>
  <c r="Y59" i="76" s="1"/>
  <c r="D9" i="3"/>
  <c r="H12" i="69"/>
  <c r="F88" i="1"/>
  <c r="D15" i="3"/>
  <c r="H21" i="69"/>
  <c r="K21" i="69" s="1"/>
  <c r="N21" i="69" s="1"/>
  <c r="L88" i="1"/>
  <c r="D32" i="3"/>
  <c r="H38" i="69"/>
  <c r="K38" i="69" s="1"/>
  <c r="N38" i="69" s="1"/>
  <c r="H40" i="69"/>
  <c r="K40" i="69" s="1"/>
  <c r="N40" i="69" s="1"/>
  <c r="D34" i="3"/>
  <c r="D40" i="3"/>
  <c r="H46" i="69"/>
  <c r="K46" i="69" s="1"/>
  <c r="N46" i="69" s="1"/>
  <c r="AK88" i="1"/>
  <c r="D19" i="3"/>
  <c r="H25" i="69"/>
  <c r="K25" i="69" s="1"/>
  <c r="N25" i="69" s="1"/>
  <c r="P88" i="1"/>
  <c r="D30" i="3"/>
  <c r="H36" i="69"/>
  <c r="K36" i="69" s="1"/>
  <c r="N36" i="69" s="1"/>
  <c r="AA88" i="1"/>
  <c r="D21" i="3"/>
  <c r="H27" i="69"/>
  <c r="K27" i="69" s="1"/>
  <c r="N27" i="69" s="1"/>
  <c r="R88" i="1"/>
  <c r="I44" i="75" l="1"/>
  <c r="P47" i="69"/>
  <c r="H45" i="69"/>
  <c r="K45" i="69" s="1"/>
  <c r="N45" i="69" s="1"/>
  <c r="P45" i="69" s="1"/>
  <c r="D39" i="3"/>
  <c r="P33" i="69"/>
  <c r="AC89" i="1"/>
  <c r="AC83" i="1" s="1"/>
  <c r="R89" i="1"/>
  <c r="R83" i="1" s="1"/>
  <c r="AJ89" i="1"/>
  <c r="AJ83" i="1" s="1"/>
  <c r="AA89" i="1"/>
  <c r="AA83" i="1" s="1"/>
  <c r="L89" i="1"/>
  <c r="L83" i="1" s="1"/>
  <c r="V89" i="1"/>
  <c r="V83" i="1" s="1"/>
  <c r="AK89" i="1"/>
  <c r="AK83" i="1" s="1"/>
  <c r="O89" i="1"/>
  <c r="O83" i="1" s="1"/>
  <c r="AH89" i="1"/>
  <c r="AH83" i="1" s="1"/>
  <c r="P89" i="1"/>
  <c r="P83" i="1" s="1"/>
  <c r="F89" i="1"/>
  <c r="F83" i="1" s="1"/>
  <c r="AL89" i="1"/>
  <c r="AL83" i="1" s="1"/>
  <c r="AE89" i="1"/>
  <c r="AE83" i="1" s="1"/>
  <c r="X89" i="1"/>
  <c r="X83" i="1" s="1"/>
  <c r="D25" i="3"/>
  <c r="H31" i="69"/>
  <c r="K31" i="69" s="1"/>
  <c r="N31" i="69" s="1"/>
  <c r="P31" i="69" s="1"/>
  <c r="I50" i="75"/>
  <c r="I57" i="75" s="1"/>
  <c r="F50" i="75"/>
  <c r="G50" i="75" s="1"/>
  <c r="D35" i="3"/>
  <c r="H41" i="69"/>
  <c r="K41" i="69" s="1"/>
  <c r="N41" i="69" s="1"/>
  <c r="P41" i="69" s="1"/>
  <c r="AG88" i="1"/>
  <c r="D36" i="3"/>
  <c r="H37" i="69"/>
  <c r="K37" i="69" s="1"/>
  <c r="N37" i="69" s="1"/>
  <c r="P37" i="69" s="1"/>
  <c r="D31" i="3"/>
  <c r="AB88" i="1"/>
  <c r="S88" i="1"/>
  <c r="H28" i="69"/>
  <c r="K28" i="69" s="1"/>
  <c r="N28" i="69" s="1"/>
  <c r="P28" i="69" s="1"/>
  <c r="N88" i="1"/>
  <c r="K88" i="1"/>
  <c r="D10" i="3"/>
  <c r="G88" i="1"/>
  <c r="H48" i="69"/>
  <c r="K48" i="69" s="1"/>
  <c r="N48" i="69" s="1"/>
  <c r="P48" i="69" s="1"/>
  <c r="D37" i="3"/>
  <c r="P27" i="69"/>
  <c r="P40" i="69"/>
  <c r="P46" i="69"/>
  <c r="H43" i="69"/>
  <c r="K43" i="69" s="1"/>
  <c r="N43" i="69" s="1"/>
  <c r="P43" i="69" s="1"/>
  <c r="P36" i="69"/>
  <c r="P26" i="69"/>
  <c r="P25" i="69"/>
  <c r="O17" i="69"/>
  <c r="O34" i="69" s="1"/>
  <c r="O50" i="69" s="1"/>
  <c r="J88" i="1"/>
  <c r="AM88" i="1"/>
  <c r="T88" i="1"/>
  <c r="P42" i="69"/>
  <c r="D13" i="3"/>
  <c r="H29" i="69"/>
  <c r="K29" i="69" s="1"/>
  <c r="N29" i="69" s="1"/>
  <c r="P29" i="69" s="1"/>
  <c r="M88" i="1"/>
  <c r="H22" i="69"/>
  <c r="K22" i="69" s="1"/>
  <c r="N22" i="69" s="1"/>
  <c r="P22" i="69" s="1"/>
  <c r="H20" i="69"/>
  <c r="K20" i="69" s="1"/>
  <c r="N20" i="69" s="1"/>
  <c r="P20" i="69" s="1"/>
  <c r="H44" i="69"/>
  <c r="K44" i="69" s="1"/>
  <c r="N44" i="69" s="1"/>
  <c r="P44" i="69" s="1"/>
  <c r="P13" i="69"/>
  <c r="AI88" i="1"/>
  <c r="P38" i="69"/>
  <c r="H23" i="69"/>
  <c r="K23" i="69" s="1"/>
  <c r="N23" i="69" s="1"/>
  <c r="P23" i="69" s="1"/>
  <c r="P21" i="69"/>
  <c r="P19" i="69"/>
  <c r="U88" i="1"/>
  <c r="H30" i="69"/>
  <c r="K30" i="69" s="1"/>
  <c r="N30" i="69" s="1"/>
  <c r="P30" i="69" s="1"/>
  <c r="Q88" i="1"/>
  <c r="H39" i="69"/>
  <c r="K39" i="69" s="1"/>
  <c r="N39" i="69" s="1"/>
  <c r="P39" i="69" s="1"/>
  <c r="H88" i="1"/>
  <c r="H14" i="69"/>
  <c r="K14" i="69" s="1"/>
  <c r="N14" i="69" s="1"/>
  <c r="P14" i="69" s="1"/>
  <c r="AD88" i="1"/>
  <c r="D20" i="3"/>
  <c r="K12" i="69"/>
  <c r="E57" i="75"/>
  <c r="W53" i="1" s="1"/>
  <c r="Y53" i="1" s="1"/>
  <c r="J58" i="75" l="1"/>
  <c r="AD89" i="1"/>
  <c r="AD83" i="1" s="1"/>
  <c r="K89" i="1"/>
  <c r="K83" i="1" s="1"/>
  <c r="AB89" i="1"/>
  <c r="AB83" i="1" s="1"/>
  <c r="U89" i="1"/>
  <c r="U83" i="1" s="1"/>
  <c r="AI89" i="1"/>
  <c r="AI83" i="1" s="1"/>
  <c r="J89" i="1"/>
  <c r="J83" i="1" s="1"/>
  <c r="S89" i="1"/>
  <c r="S83" i="1" s="1"/>
  <c r="AG89" i="1"/>
  <c r="AG83" i="1" s="1"/>
  <c r="Q89" i="1"/>
  <c r="Q83" i="1" s="1"/>
  <c r="M89" i="1"/>
  <c r="M83" i="1" s="1"/>
  <c r="T89" i="1"/>
  <c r="T83" i="1" s="1"/>
  <c r="N89" i="1"/>
  <c r="N83" i="1" s="1"/>
  <c r="H89" i="1"/>
  <c r="H83" i="1" s="1"/>
  <c r="AM89" i="1"/>
  <c r="AM83" i="1" s="1"/>
  <c r="G89" i="1"/>
  <c r="G83" i="1" s="1"/>
  <c r="F54" i="75"/>
  <c r="H17" i="69"/>
  <c r="N12" i="69"/>
  <c r="K17" i="69"/>
  <c r="J55" i="54" l="1"/>
  <c r="G55" i="54"/>
  <c r="F57" i="75"/>
  <c r="G57" i="75" s="1"/>
  <c r="G54" i="75"/>
  <c r="W58" i="1"/>
  <c r="W54" i="76"/>
  <c r="W59" i="76" s="1"/>
  <c r="P12" i="69"/>
  <c r="N17" i="69"/>
  <c r="Y58" i="1" l="1"/>
  <c r="Y88" i="1" s="1"/>
  <c r="AN53" i="1"/>
  <c r="H54" i="54" s="1"/>
  <c r="H32" i="69"/>
  <c r="D26" i="3"/>
  <c r="D28" i="3" s="1"/>
  <c r="W88" i="1"/>
  <c r="F28" i="3" l="1"/>
  <c r="D43" i="3"/>
  <c r="Y89" i="1"/>
  <c r="Y83" i="1" s="1"/>
  <c r="W89" i="1"/>
  <c r="W83" i="1" s="1"/>
  <c r="AN58" i="1"/>
  <c r="F17" i="55" s="1"/>
  <c r="K32" i="69"/>
  <c r="H34" i="69"/>
  <c r="F43" i="3" l="1"/>
  <c r="AN88" i="1"/>
  <c r="N32" i="69"/>
  <c r="K34" i="69"/>
  <c r="K50" i="69" l="1"/>
  <c r="H50" i="69"/>
  <c r="AN89" i="1"/>
  <c r="AN83" i="1" s="1"/>
  <c r="P32" i="69"/>
  <c r="N34" i="69"/>
  <c r="N50" i="69" s="1"/>
  <c r="O51" i="69" s="1"/>
  <c r="O54" i="69" s="1"/>
  <c r="H59" i="54" l="1"/>
  <c r="H82" i="54" s="1"/>
  <c r="G54" i="54"/>
  <c r="G59" i="54" s="1"/>
  <c r="F19" i="55"/>
  <c r="F23" i="55" l="1"/>
  <c r="O60" i="69" l="1"/>
  <c r="J12" i="56"/>
  <c r="J17" i="56" s="1"/>
  <c r="I44" i="54" s="1"/>
  <c r="I48" i="54" s="1"/>
  <c r="F27" i="55"/>
  <c r="O55" i="69"/>
  <c r="O56" i="69" s="1"/>
  <c r="F31" i="55"/>
  <c r="I15" i="54" l="1"/>
  <c r="J15" i="54" s="1"/>
  <c r="J18" i="54" s="1"/>
  <c r="J15" i="56"/>
  <c r="I39" i="54" s="1"/>
  <c r="J39" i="54" s="1"/>
  <c r="P60" i="69"/>
  <c r="J19" i="56"/>
  <c r="I36" i="54" s="1"/>
  <c r="J36" i="54" s="1"/>
  <c r="J37" i="54" s="1"/>
  <c r="I18" i="54"/>
  <c r="J44" i="54"/>
  <c r="J48" i="54" s="1"/>
  <c r="I37" i="54" l="1"/>
  <c r="I49" i="54" s="1"/>
  <c r="I51" i="54" s="1"/>
  <c r="J49" i="54"/>
  <c r="J51" i="54" s="1"/>
  <c r="J21" i="56"/>
  <c r="J23" i="56" s="1"/>
  <c r="J25" i="56" s="1"/>
  <c r="J27" i="56" s="1"/>
  <c r="J29" i="56" s="1"/>
  <c r="J30" i="56" s="1"/>
  <c r="I54" i="54" l="1"/>
  <c r="J54" i="54" s="1"/>
  <c r="J59" i="54" s="1"/>
  <c r="J82" i="54" s="1"/>
  <c r="I59" i="5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60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  <comment ref="J101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<sst xmlns="http://schemas.openxmlformats.org/spreadsheetml/2006/main" count="930" uniqueCount="548">
  <si>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</si>
  <si>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</si>
  <si>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</si>
  <si>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</si>
  <si>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</si>
  <si>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</si>
  <si>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</si>
  <si>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</si>
  <si>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</si>
  <si>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</si>
  <si>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</si>
  <si>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</si>
  <si>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</si>
  <si>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</si>
  <si>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</si>
  <si>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</si>
  <si>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</si>
  <si>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</si>
  <si>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</si>
  <si>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</si>
  <si>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</si>
  <si>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</si>
  <si>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</si>
  <si>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</si>
  <si>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</si>
  <si>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</si>
  <si>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</si>
  <si>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</si>
  <si>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</si>
  <si>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</si>
  <si>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</si>
  <si>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</si>
  <si>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</si>
  <si>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</si>
  <si>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</si>
  <si>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</si>
  <si>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</si>
  <si>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</si>
  <si>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</si>
  <si>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</si>
  <si>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</si>
  <si>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</si>
  <si>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</si>
  <si>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</si>
  <si>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</si>
  <si>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</si>
  <si>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</si>
  <si>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</si>
  <si>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</si>
  <si>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</si>
  <si>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</si>
  <si>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</si>
  <si>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</si>
  <si>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</si>
  <si>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</si>
  <si>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</si>
  <si>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</si>
  <si>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</si>
  <si>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</si>
  <si>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</si>
  <si>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</si>
  <si>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</si>
  <si>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</si>
  <si>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</si>
  <si>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</si>
  <si>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</si>
  <si>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</si>
  <si>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</si>
  <si>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</si>
  <si>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</si>
  <si>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</si>
  <si>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</si>
  <si>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</si>
  <si>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</si>
  <si>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</si>
  <si>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</si>
  <si>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</si>
  <si>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</si>
  <si>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</si>
  <si>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</si>
  <si>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</si>
  <si>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</si>
  <si>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</si>
  <si>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</si>
  <si>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</si>
  <si>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</si>
  <si>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</si>
  <si>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</si>
  <si>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</si>
  <si>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</si>
  <si>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</si>
  <si>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</si>
  <si>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</si>
  <si>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</si>
  <si>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</si>
  <si>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</si>
  <si>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</si>
  <si>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</si>
  <si>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</si>
  <si>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</si>
  <si>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</si>
  <si>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</si>
  <si>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</si>
  <si>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</si>
  <si>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</si>
  <si>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</si>
  <si>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</si>
  <si>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</si>
  <si>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</si>
  <si>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</si>
  <si>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</si>
  <si>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</si>
  <si>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</si>
  <si>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</si>
  <si>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</si>
  <si>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</si>
  <si>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</si>
  <si>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</si>
  <si>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</si>
  <si>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</si>
  <si>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</si>
  <si>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</si>
  <si>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</si>
  <si>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 xml:space="preserve">     Pro Forma Total</t>
  </si>
  <si>
    <t>Restate Debt Interest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</si>
  <si>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</si>
  <si>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</si>
  <si>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</si>
  <si>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</si>
  <si>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</si>
  <si>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</si>
  <si>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</si>
  <si>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</si>
  <si>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</si>
  <si>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</si>
  <si>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</si>
  <si>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</si>
  <si>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</si>
  <si>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</si>
  <si>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</si>
  <si>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</si>
  <si>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</si>
  <si>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WITH PRESENT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</si>
  <si>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</si>
  <si>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</si>
  <si>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</si>
  <si>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</si>
  <si>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</si>
  <si>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</si>
  <si>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</si>
  <si>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</si>
  <si>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</si>
  <si>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</si>
  <si>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</si>
  <si>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</si>
  <si>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</si>
  <si>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</si>
  <si>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</si>
  <si>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</si>
  <si>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</si>
  <si>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 xml:space="preserve">Karen </t>
  </si>
  <si>
    <t>Benefits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</si>
  <si>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</si>
  <si>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</si>
  <si>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</si>
  <si>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</si>
  <si>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</si>
  <si>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</si>
  <si>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</si>
  <si>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Total Revenue Requirement Difference</t>
  </si>
  <si>
    <t>Comparison of Revenue Requirement Revised Adjustments</t>
  </si>
  <si>
    <t>Filed Revenue Requirement</t>
  </si>
  <si>
    <t xml:space="preserve">Adjusted Revenue Requirement </t>
  </si>
  <si>
    <t>NET PLANT</t>
  </si>
  <si>
    <t xml:space="preserve">WORKING CAPITAL </t>
  </si>
  <si>
    <t>WORKING CAPITAL</t>
  </si>
  <si>
    <t>rounding</t>
  </si>
  <si>
    <t>flow through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</si>
  <si>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</si>
  <si>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</si>
  <si>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</si>
  <si>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</si>
  <si>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</si>
  <si>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</si>
  <si>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</si>
  <si>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</si>
  <si>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</si>
  <si>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</si>
  <si>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</si>
  <si>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</si>
  <si>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</si>
  <si>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</si>
  <si>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</si>
  <si>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</si>
  <si>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</si>
  <si>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</si>
  <si>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</si>
  <si>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</si>
  <si>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</si>
  <si>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</si>
  <si>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</si>
  <si>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</si>
  <si>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</si>
  <si>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</si>
  <si>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</si>
  <si>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</si>
  <si>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</si>
  <si>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</si>
  <si>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</si>
  <si>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</si>
  <si>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</si>
  <si>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</si>
  <si>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</si>
  <si>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</si>
  <si>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</si>
  <si>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</si>
  <si>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</si>
  <si>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</si>
  <si>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</si>
  <si>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</si>
  <si>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</si>
  <si>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</si>
  <si>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</si>
  <si>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</si>
  <si>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</si>
  <si>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</si>
  <si>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</si>
  <si>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</si>
  <si>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</si>
  <si>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</si>
  <si>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</si>
  <si>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</si>
  <si>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</si>
  <si>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</si>
  <si>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</si>
  <si>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</si>
  <si>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</si>
  <si>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</si>
  <si>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</si>
  <si>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</si>
  <si>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</si>
  <si>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</si>
  <si>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</si>
  <si>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</si>
  <si>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</si>
  <si>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</si>
  <si>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</si>
  <si>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</si>
  <si>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</si>
  <si>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</si>
  <si>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</si>
  <si>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</si>
  <si>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</si>
  <si>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</si>
  <si>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</si>
  <si>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</si>
  <si>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</si>
  <si>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</si>
  <si>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</si>
  <si>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</si>
  <si>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</si>
  <si>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</si>
  <si>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</si>
  <si>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</si>
  <si>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</si>
  <si>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</si>
  <si>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</si>
  <si>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</si>
  <si>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</si>
  <si>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</si>
  <si>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</si>
  <si>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</si>
  <si>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</si>
  <si>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</si>
  <si>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</si>
  <si>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</si>
  <si>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</si>
  <si>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</si>
  <si>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</si>
  <si>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</si>
  <si>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</si>
  <si>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</si>
  <si>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</si>
  <si>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</si>
  <si>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</si>
  <si>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</si>
  <si>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</si>
  <si>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</si>
  <si>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</si>
  <si>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</si>
  <si>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</si>
  <si>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</si>
  <si>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</si>
  <si>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</si>
  <si>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</si>
  <si>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</si>
  <si>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</si>
  <si>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</si>
  <si>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</si>
  <si>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</si>
  <si>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</si>
  <si>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</si>
  <si>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</si>
  <si>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</si>
  <si>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</si>
  <si>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</si>
  <si>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</si>
  <si>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</si>
  <si>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</si>
  <si>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</si>
  <si>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</si>
  <si>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</si>
  <si>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</si>
  <si>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</si>
  <si>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</si>
  <si>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</si>
  <si>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</si>
  <si>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</si>
  <si>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</si>
  <si>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</si>
  <si>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</si>
  <si>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</si>
  <si>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</si>
  <si>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</si>
  <si>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</si>
  <si>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</si>
  <si>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</si>
  <si>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</si>
  <si>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</si>
  <si>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</si>
  <si>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</si>
  <si>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</si>
  <si>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</si>
  <si>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</si>
  <si>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</si>
  <si>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</si>
  <si>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</si>
  <si>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</si>
  <si>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</si>
  <si>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</si>
  <si>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</si>
  <si>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</si>
  <si>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</si>
  <si>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</si>
  <si>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</si>
  <si>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</si>
  <si>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</si>
  <si>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</si>
  <si>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</si>
  <si>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</si>
  <si>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</si>
  <si>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</si>
  <si>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</si>
  <si>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</si>
  <si>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</si>
  <si>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</si>
  <si>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</si>
  <si>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</si>
  <si>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</si>
  <si>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</si>
  <si>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</si>
  <si>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</si>
  <si>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</si>
  <si>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</si>
  <si>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</si>
  <si>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</si>
  <si>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</si>
  <si>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</si>
  <si>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</si>
  <si>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</si>
  <si>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</si>
  <si>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</si>
  <si>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</si>
  <si>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</si>
  <si>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</si>
  <si>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</si>
  <si>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</si>
  <si>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</si>
  <si>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</si>
  <si>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</si>
  <si>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</si>
  <si>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</si>
  <si>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</si>
  <si>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</si>
  <si>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</si>
  <si>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</si>
  <si>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</si>
  <si>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</si>
  <si>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</si>
  <si>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</si>
  <si>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</si>
  <si>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</si>
  <si>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</si>
  <si>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</si>
  <si>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</si>
  <si>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</si>
  <si>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</si>
  <si>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</si>
  <si>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</si>
  <si>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</si>
  <si>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</si>
  <si>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</si>
  <si>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</si>
  <si>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</si>
  <si>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</si>
  <si>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</si>
  <si>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</si>
  <si>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</si>
  <si>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</si>
  <si>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</si>
  <si>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</si>
  <si>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</si>
  <si>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</si>
  <si>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</si>
  <si>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</si>
  <si>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</si>
  <si>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</si>
  <si>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</si>
  <si>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</si>
  <si>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</si>
  <si>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</si>
  <si>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</si>
  <si>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</si>
  <si>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</si>
  <si>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</si>
  <si>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</si>
  <si>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>PF-STtl</t>
  </si>
  <si>
    <t>O&amp;M</t>
  </si>
  <si>
    <t>Offsets</t>
  </si>
  <si>
    <t xml:space="preserve">FIT / </t>
  </si>
  <si>
    <t xml:space="preserve">DFIT </t>
  </si>
  <si>
    <t>Revenue requirement</t>
  </si>
  <si>
    <t>Pro Forma Adjustments</t>
  </si>
  <si>
    <t>G-RPT</t>
  </si>
  <si>
    <t>G-PPT</t>
  </si>
  <si>
    <t>Working</t>
  </si>
  <si>
    <t>G-WC</t>
  </si>
  <si>
    <t>Karen</t>
  </si>
  <si>
    <t>ADFIT - Common Plant (283750 from C-DTX)</t>
  </si>
  <si>
    <t xml:space="preserve">Pro Forma </t>
  </si>
  <si>
    <t>Restated</t>
  </si>
  <si>
    <t>(1)</t>
  </si>
  <si>
    <t xml:space="preserve">Normalization </t>
  </si>
  <si>
    <t>Adjusted</t>
  </si>
  <si>
    <t>WASHINGTON NATURAL GAS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</si>
  <si>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</si>
  <si>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</si>
  <si>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</si>
  <si>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</si>
  <si>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</si>
  <si>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</si>
  <si>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</si>
  <si>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</si>
  <si>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G-PREV</t>
  </si>
  <si>
    <t>Amortization</t>
  </si>
  <si>
    <t>Tara</t>
  </si>
  <si>
    <t>Provision for Rate Refund</t>
  </si>
  <si>
    <t>Idaho Earnings Test Amortization</t>
  </si>
  <si>
    <t xml:space="preserve">RATE OF RETURN </t>
  </si>
  <si>
    <t>Project Compass Deferral - ID</t>
  </si>
  <si>
    <t>407468</t>
  </si>
  <si>
    <t>RESTATEMENT ADJUSTMENTS</t>
  </si>
  <si>
    <t>PRO FORMA ADJUSTMENTS</t>
  </si>
  <si>
    <t>Capital Adds</t>
  </si>
  <si>
    <t>G-POFF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</si>
  <si>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</si>
  <si>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</si>
  <si>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</si>
  <si>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</si>
  <si>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</si>
  <si>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</si>
  <si>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</si>
  <si>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 xml:space="preserve">Joel </t>
  </si>
  <si>
    <t>G-PLEAP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</si>
  <si>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</si>
  <si>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</si>
  <si>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</si>
  <si>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</si>
  <si>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</si>
  <si>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</si>
  <si>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</si>
  <si>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</si>
  <si>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</si>
  <si>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IS/IT</t>
  </si>
  <si>
    <t>Employee</t>
  </si>
  <si>
    <t>ACTUAL</t>
  </si>
  <si>
    <t>LEAP Deferral</t>
  </si>
  <si>
    <t>AMA Rate</t>
  </si>
  <si>
    <t>Base to EOP</t>
  </si>
  <si>
    <t>Natural Gas</t>
  </si>
  <si>
    <t>Revenue Conversion Factor Rebuttal</t>
  </si>
  <si>
    <t>Revenue Requirement Rebuttal</t>
  </si>
  <si>
    <t>RESULTS</t>
  </si>
  <si>
    <t xml:space="preserve">  Federal Income Tax @ 21%</t>
  </si>
  <si>
    <t>WORKING CAsITAL</t>
  </si>
  <si>
    <t>TWELVE MONTHS ENDED DECEMBER 31, 2018</t>
  </si>
  <si>
    <t>Base Rate Change</t>
  </si>
  <si>
    <t>(000's of</t>
  </si>
  <si>
    <t>Dollars)</t>
  </si>
  <si>
    <t>Common</t>
  </si>
  <si>
    <t>Proposed Capital Structure</t>
  </si>
  <si>
    <t>Remove</t>
  </si>
  <si>
    <t>AMI</t>
  </si>
  <si>
    <t>G-AMI</t>
  </si>
  <si>
    <t>Non-Utility</t>
  </si>
  <si>
    <t>Restate 2018</t>
  </si>
  <si>
    <t>G-EOP18</t>
  </si>
  <si>
    <t>Recurring Expense</t>
  </si>
  <si>
    <t>G-PCAP</t>
  </si>
  <si>
    <t>Fee Free</t>
  </si>
  <si>
    <t xml:space="preserve">Insurance </t>
  </si>
  <si>
    <t>Open</t>
  </si>
  <si>
    <t>G-PIT</t>
  </si>
  <si>
    <t>G-PDEP</t>
  </si>
  <si>
    <t>G-PFEE</t>
  </si>
  <si>
    <t>G-PINS</t>
  </si>
  <si>
    <t>G-P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</si>
  <si>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</si>
  <si>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</si>
  <si>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</si>
  <si>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</si>
  <si>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</si>
  <si>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</si>
  <si>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</si>
  <si>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</si>
  <si>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</si>
  <si>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</si>
  <si>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</si>
  <si>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MDM System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</si>
  <si>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</si>
  <si>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</si>
  <si>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</si>
  <si>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</si>
  <si>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</si>
  <si>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</si>
  <si>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Joel/Tara</t>
  </si>
  <si>
    <t>Joe/Tara</t>
  </si>
  <si>
    <t>Revenue Requirement - 2020</t>
  </si>
  <si>
    <t>Liz</t>
  </si>
  <si>
    <t>April 1, 2020</t>
  </si>
  <si>
    <t>04.2020</t>
  </si>
  <si>
    <t>04.01.2020</t>
  </si>
  <si>
    <t>WITH 04.01.2020 PROPOSED RATES</t>
  </si>
  <si>
    <t>Prior</t>
  </si>
  <si>
    <t>2019 Major</t>
  </si>
  <si>
    <t>CALCULATION OF RECOMMENDED GENERAL REVENUE REQUIREMENT</t>
  </si>
  <si>
    <t>RECOMMENDED COST OF CAPITAL</t>
  </si>
  <si>
    <t>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</si>
</sst>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000.00"/>
    <numFmt numFmtId="176" formatCode="0000"/>
    <numFmt numFmtId="177" formatCode="_(* #,##0.00000_);_(* \(#,##0.00000\);_(* &quot;-&quot;_);_(@_)"/>
    <numFmt numFmtId="178" formatCode="_(* #,##0.000000_);_(* \(#,##0.000000\);_(* &quot;-&quot;_);_(@_)"/>
    <numFmt numFmtId="179" formatCode="_(* #,##0.000000_);_(* \(#,##0.000000\);_(* &quot;-&quot;??_);_(@_)"/>
    <numFmt numFmtId="180" formatCode="0.00000"/>
  </numFmts>
  <fonts count="65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0"/>
      <color indexed="57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b/>
      <u/>
      <sz val="9"/>
      <name val="Times New Roman"/>
      <family val="1"/>
    </font>
    <font>
      <sz val="10"/>
      <color rgb="FF00206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9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Arial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7" fillId="0" borderId="0"/>
    <xf numFmtId="44" fontId="1" fillId="0" borderId="0" applyFont="0" applyFill="0" applyBorder="0" applyAlignment="0" applyProtection="0"/>
    <xf numFmtId="0" fontId="43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7" fillId="0" borderId="0"/>
    <xf numFmtId="43" fontId="47" fillId="0" borderId="0" applyFont="0" applyFill="0" applyBorder="0" applyAlignment="0" applyProtection="0"/>
    <xf numFmtId="0" fontId="37" fillId="0" borderId="0"/>
  </cellStyleXfs>
  <cellXfs count="795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0" fontId="9" fillId="0" borderId="10" xfId="0" applyFont="1" applyBorder="1" applyAlignment="1">
      <alignment horizontal="center"/>
    </xf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5" fontId="13" fillId="0" borderId="0" xfId="0" applyNumberFormat="1" applyFont="1"/>
    <xf numFmtId="37" fontId="9" fillId="0" borderId="3" xfId="0" applyNumberFormat="1" applyFont="1" applyBorder="1"/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37" fontId="13" fillId="0" borderId="0" xfId="0" applyNumberFormat="1" applyFont="1"/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0" fillId="0" borderId="0" xfId="0" applyNumberFormat="1" applyFont="1"/>
    <xf numFmtId="14" fontId="20" fillId="0" borderId="0" xfId="0" applyNumberFormat="1" applyFont="1"/>
    <xf numFmtId="0" fontId="20" fillId="0" borderId="0" xfId="0" applyFont="1"/>
    <xf numFmtId="169" fontId="20" fillId="0" borderId="0" xfId="0" applyNumberFormat="1" applyFont="1" applyAlignment="1">
      <alignment horizontal="right"/>
    </xf>
    <xf numFmtId="169" fontId="9" fillId="0" borderId="0" xfId="0" applyNumberFormat="1" applyFont="1"/>
    <xf numFmtId="169" fontId="21" fillId="0" borderId="0" xfId="0" applyNumberFormat="1" applyFont="1" applyAlignment="1">
      <alignment horizontal="center"/>
    </xf>
    <xf numFmtId="5" fontId="9" fillId="0" borderId="0" xfId="1" applyNumberFormat="1" applyFont="1"/>
    <xf numFmtId="173" fontId="9" fillId="0" borderId="0" xfId="1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0" fontId="23" fillId="0" borderId="0" xfId="0" applyFont="1"/>
    <xf numFmtId="0" fontId="16" fillId="0" borderId="0" xfId="0" applyFont="1" applyAlignment="1">
      <alignment horizontal="center"/>
    </xf>
    <xf numFmtId="10" fontId="16" fillId="0" borderId="0" xfId="7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37" fontId="13" fillId="0" borderId="0" xfId="0" applyNumberFormat="1" applyFont="1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3" fontId="25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5" fontId="15" fillId="0" borderId="0" xfId="0" applyNumberFormat="1" applyFont="1"/>
    <xf numFmtId="37" fontId="15" fillId="0" borderId="0" xfId="0" applyNumberFormat="1" applyFont="1"/>
    <xf numFmtId="0" fontId="26" fillId="0" borderId="0" xfId="0" applyFont="1"/>
    <xf numFmtId="5" fontId="16" fillId="0" borderId="0" xfId="0" applyNumberFormat="1" applyFont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5" fillId="0" borderId="0" xfId="0" applyFont="1" applyAlignment="1">
      <alignment horizontal="center"/>
    </xf>
    <xf numFmtId="3" fontId="3" fillId="0" borderId="0" xfId="5" applyNumberFormat="1" applyFont="1"/>
    <xf numFmtId="0" fontId="25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5" fontId="27" fillId="0" borderId="0" xfId="0" applyNumberFormat="1" applyFont="1" applyFill="1" applyBorder="1"/>
    <xf numFmtId="0" fontId="28" fillId="0" borderId="0" xfId="0" applyFont="1" applyFill="1" applyBorder="1"/>
    <xf numFmtId="0" fontId="29" fillId="0" borderId="0" xfId="0" applyFont="1" applyAlignment="1">
      <alignment horizontal="center"/>
    </xf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3" fillId="0" borderId="16" xfId="0" applyNumberFormat="1" applyFont="1" applyBorder="1"/>
    <xf numFmtId="5" fontId="9" fillId="0" borderId="0" xfId="0" applyNumberFormat="1" applyFont="1" applyFill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2" fillId="0" borderId="0" xfId="0" applyNumberFormat="1" applyFont="1"/>
    <xf numFmtId="3" fontId="33" fillId="0" borderId="0" xfId="6" applyNumberFormat="1" applyFont="1" applyFill="1"/>
    <xf numFmtId="3" fontId="33" fillId="0" borderId="0" xfId="5" applyNumberFormat="1" applyFont="1" applyFill="1"/>
    <xf numFmtId="0" fontId="33" fillId="0" borderId="0" xfId="6" applyNumberFormat="1" applyFont="1" applyAlignment="1">
      <alignment horizontal="left"/>
    </xf>
    <xf numFmtId="0" fontId="33" fillId="0" borderId="0" xfId="6" applyFont="1"/>
    <xf numFmtId="3" fontId="35" fillId="0" borderId="0" xfId="6" applyNumberFormat="1" applyFont="1" applyFill="1"/>
    <xf numFmtId="3" fontId="33" fillId="0" borderId="0" xfId="6" applyNumberFormat="1" applyFont="1"/>
    <xf numFmtId="3" fontId="34" fillId="0" borderId="0" xfId="6" applyNumberFormat="1" applyFont="1"/>
    <xf numFmtId="3" fontId="36" fillId="0" borderId="0" xfId="6" applyNumberFormat="1" applyFont="1"/>
    <xf numFmtId="3" fontId="34" fillId="0" borderId="0" xfId="6" applyNumberFormat="1" applyFont="1" applyAlignment="1"/>
    <xf numFmtId="0" fontId="34" fillId="0" borderId="0" xfId="6" applyNumberFormat="1" applyFont="1" applyAlignment="1">
      <alignment horizontal="center"/>
    </xf>
    <xf numFmtId="0" fontId="34" fillId="0" borderId="0" xfId="6" applyFont="1" applyAlignment="1">
      <alignment horizontal="center"/>
    </xf>
    <xf numFmtId="3" fontId="34" fillId="0" borderId="0" xfId="6" applyNumberFormat="1" applyFont="1" applyAlignment="1">
      <alignment horizontal="center"/>
    </xf>
    <xf numFmtId="0" fontId="34" fillId="0" borderId="1" xfId="6" applyNumberFormat="1" applyFont="1" applyBorder="1" applyAlignment="1">
      <alignment horizont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3" fillId="0" borderId="4" xfId="6" applyFont="1" applyBorder="1"/>
    <xf numFmtId="3" fontId="34" fillId="0" borderId="1" xfId="6" applyNumberFormat="1" applyFont="1" applyBorder="1" applyAlignment="1">
      <alignment horizontal="center"/>
    </xf>
    <xf numFmtId="0" fontId="34" fillId="0" borderId="5" xfId="6" applyNumberFormat="1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4" fillId="0" borderId="0" xfId="6" applyFont="1" applyBorder="1" applyAlignment="1">
      <alignment horizontal="center"/>
    </xf>
    <xf numFmtId="0" fontId="33" fillId="0" borderId="7" xfId="6" applyFont="1" applyBorder="1"/>
    <xf numFmtId="3" fontId="34" fillId="0" borderId="5" xfId="6" applyNumberFormat="1" applyFont="1" applyBorder="1" applyAlignment="1">
      <alignment horizontal="center"/>
    </xf>
    <xf numFmtId="0" fontId="34" fillId="0" borderId="8" xfId="6" applyNumberFormat="1" applyFont="1" applyBorder="1" applyAlignment="1">
      <alignment horizontal="center"/>
    </xf>
    <xf numFmtId="0" fontId="34" fillId="0" borderId="9" xfId="6" applyFont="1" applyBorder="1" applyAlignment="1">
      <alignment horizontal="center"/>
    </xf>
    <xf numFmtId="0" fontId="34" fillId="0" borderId="10" xfId="6" applyFont="1" applyBorder="1" applyAlignment="1">
      <alignment horizontal="center"/>
    </xf>
    <xf numFmtId="0" fontId="34" fillId="0" borderId="11" xfId="6" applyFont="1" applyBorder="1" applyAlignment="1">
      <alignment horizontal="center"/>
    </xf>
    <xf numFmtId="3" fontId="34" fillId="0" borderId="8" xfId="6" applyNumberFormat="1" applyFont="1" applyBorder="1" applyAlignment="1">
      <alignment horizontal="center"/>
    </xf>
    <xf numFmtId="0" fontId="33" fillId="0" borderId="0" xfId="6" applyNumberFormat="1" applyFont="1" applyAlignment="1">
      <alignment horizontal="center"/>
    </xf>
    <xf numFmtId="5" fontId="33" fillId="0" borderId="0" xfId="6" applyNumberFormat="1" applyFont="1"/>
    <xf numFmtId="37" fontId="33" fillId="0" borderId="0" xfId="6" applyNumberFormat="1" applyFont="1"/>
    <xf numFmtId="0" fontId="33" fillId="0" borderId="0" xfId="6" applyNumberFormat="1" applyFont="1" applyBorder="1" applyAlignment="1">
      <alignment horizontal="center"/>
    </xf>
    <xf numFmtId="37" fontId="33" fillId="0" borderId="0" xfId="6" applyNumberFormat="1" applyFont="1" applyBorder="1"/>
    <xf numFmtId="0" fontId="33" fillId="0" borderId="0" xfId="6" applyFont="1" applyBorder="1"/>
    <xf numFmtId="0" fontId="33" fillId="0" borderId="0" xfId="6" applyNumberFormat="1" applyFont="1" applyFill="1" applyAlignment="1">
      <alignment horizontal="left"/>
    </xf>
    <xf numFmtId="0" fontId="33" fillId="0" borderId="0" xfId="6" applyFont="1" applyFill="1"/>
    <xf numFmtId="0" fontId="33" fillId="0" borderId="0" xfId="5" applyFont="1" applyFill="1"/>
    <xf numFmtId="10" fontId="33" fillId="0" borderId="0" xfId="7" applyNumberFormat="1" applyFont="1" applyFill="1"/>
    <xf numFmtId="0" fontId="33" fillId="0" borderId="0" xfId="6" applyNumberFormat="1" applyFont="1" applyFill="1" applyAlignment="1">
      <alignment horizontal="center"/>
    </xf>
    <xf numFmtId="0" fontId="33" fillId="0" borderId="0" xfId="5" applyFont="1" applyFill="1" applyAlignment="1">
      <alignment horizontal="right"/>
    </xf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3" fillId="0" borderId="0" xfId="6" applyFont="1" applyAlignment="1">
      <alignment horizontal="left"/>
    </xf>
    <xf numFmtId="4" fontId="34" fillId="0" borderId="0" xfId="6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3" fillId="0" borderId="0" xfId="6" applyNumberFormat="1" applyFont="1"/>
    <xf numFmtId="41" fontId="33" fillId="0" borderId="10" xfId="6" applyNumberFormat="1" applyFont="1" applyBorder="1"/>
    <xf numFmtId="41" fontId="33" fillId="0" borderId="0" xfId="6" applyNumberFormat="1" applyFont="1" applyFill="1"/>
    <xf numFmtId="41" fontId="33" fillId="0" borderId="15" xfId="6" applyNumberFormat="1" applyFont="1" applyBorder="1"/>
    <xf numFmtId="41" fontId="33" fillId="0" borderId="0" xfId="6" applyNumberFormat="1" applyFont="1" applyBorder="1"/>
    <xf numFmtId="41" fontId="33" fillId="0" borderId="0" xfId="5" applyNumberFormat="1" applyFont="1" applyFill="1"/>
    <xf numFmtId="41" fontId="38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1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2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3" fillId="0" borderId="10" xfId="13" applyNumberFormat="1" applyFont="1" applyFill="1" applyBorder="1"/>
    <xf numFmtId="3" fontId="42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3" fillId="0" borderId="0" xfId="7" applyNumberFormat="1" applyFont="1"/>
    <xf numFmtId="42" fontId="33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5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5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 applyFill="1" applyAlignment="1">
      <alignment horizontal="center"/>
    </xf>
    <xf numFmtId="3" fontId="44" fillId="0" borderId="0" xfId="0" applyNumberFormat="1" applyFont="1" applyFill="1"/>
    <xf numFmtId="175" fontId="44" fillId="0" borderId="0" xfId="0" applyNumberFormat="1" applyFont="1" applyAlignment="1">
      <alignment horizontal="center"/>
    </xf>
    <xf numFmtId="176" fontId="44" fillId="0" borderId="0" xfId="0" applyNumberFormat="1" applyFont="1"/>
    <xf numFmtId="176" fontId="44" fillId="0" borderId="0" xfId="0" applyNumberFormat="1" applyFont="1" applyAlignment="1">
      <alignment horizontal="center"/>
    </xf>
    <xf numFmtId="0" fontId="44" fillId="0" borderId="0" xfId="0" applyFont="1"/>
    <xf numFmtId="175" fontId="44" fillId="4" borderId="0" xfId="0" applyNumberFormat="1" applyFont="1" applyFill="1"/>
    <xf numFmtId="3" fontId="44" fillId="4" borderId="0" xfId="0" applyNumberFormat="1" applyFont="1" applyFill="1"/>
    <xf numFmtId="176" fontId="44" fillId="4" borderId="0" xfId="0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3" fontId="0" fillId="0" borderId="0" xfId="0" applyNumberFormat="1"/>
    <xf numFmtId="176" fontId="0" fillId="0" borderId="0" xfId="0" applyNumberFormat="1" applyAlignment="1">
      <alignment horizontal="center"/>
    </xf>
    <xf numFmtId="176" fontId="0" fillId="4" borderId="0" xfId="0" applyNumberFormat="1" applyFill="1" applyAlignment="1">
      <alignment horizontal="center"/>
    </xf>
    <xf numFmtId="3" fontId="0" fillId="4" borderId="0" xfId="0" applyNumberFormat="1" applyFill="1"/>
    <xf numFmtId="175" fontId="0" fillId="0" borderId="0" xfId="0" applyNumberFormat="1"/>
    <xf numFmtId="0" fontId="0" fillId="0" borderId="0" xfId="0" applyFont="1"/>
    <xf numFmtId="175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4" fillId="0" borderId="0" xfId="6" applyNumberFormat="1" applyFont="1"/>
    <xf numFmtId="42" fontId="33" fillId="0" borderId="12" xfId="6" applyNumberFormat="1" applyFont="1" applyBorder="1"/>
    <xf numFmtId="42" fontId="34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7" fontId="33" fillId="0" borderId="0" xfId="5" applyNumberFormat="1" applyFont="1" applyFill="1"/>
    <xf numFmtId="10" fontId="33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0" fontId="10" fillId="0" borderId="0" xfId="0" applyFont="1" applyFill="1"/>
    <xf numFmtId="0" fontId="20" fillId="0" borderId="0" xfId="0" applyFont="1" applyFill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166" fontId="46" fillId="0" borderId="0" xfId="0" applyNumberFormat="1" applyFont="1" applyFill="1"/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5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41" fontId="9" fillId="0" borderId="0" xfId="0" applyNumberFormat="1" applyFont="1"/>
    <xf numFmtId="3" fontId="5" fillId="5" borderId="0" xfId="6" applyNumberFormat="1" applyFont="1" applyFill="1"/>
    <xf numFmtId="10" fontId="5" fillId="5" borderId="0" xfId="7" applyNumberFormat="1" applyFont="1" applyFill="1"/>
    <xf numFmtId="168" fontId="3" fillId="0" borderId="0" xfId="6" applyNumberFormat="1" applyFont="1" applyFill="1"/>
    <xf numFmtId="41" fontId="5" fillId="0" borderId="0" xfId="6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0" fontId="3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5" fontId="15" fillId="0" borderId="0" xfId="0" applyNumberFormat="1" applyFont="1"/>
    <xf numFmtId="0" fontId="9" fillId="0" borderId="0" xfId="0" applyFont="1" applyFill="1" applyBorder="1"/>
    <xf numFmtId="0" fontId="9" fillId="0" borderId="0" xfId="0" applyFont="1" applyFill="1"/>
    <xf numFmtId="0" fontId="13" fillId="0" borderId="0" xfId="0" applyFont="1" applyFill="1"/>
    <xf numFmtId="5" fontId="16" fillId="0" borderId="0" xfId="0" applyNumberFormat="1" applyFont="1"/>
    <xf numFmtId="5" fontId="9" fillId="0" borderId="0" xfId="0" applyNumberFormat="1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169" fontId="9" fillId="0" borderId="0" xfId="17" applyNumberFormat="1" applyFont="1"/>
    <xf numFmtId="3" fontId="3" fillId="0" borderId="0" xfId="5" applyNumberFormat="1" applyFont="1" applyFill="1"/>
    <xf numFmtId="4" fontId="5" fillId="0" borderId="0" xfId="6" applyNumberFormat="1" applyFont="1" applyAlignment="1">
      <alignment horizontal="center"/>
    </xf>
    <xf numFmtId="42" fontId="3" fillId="0" borderId="12" xfId="6" applyNumberFormat="1" applyFont="1" applyBorder="1"/>
    <xf numFmtId="10" fontId="3" fillId="0" borderId="0" xfId="7" applyNumberFormat="1" applyFont="1" applyFill="1"/>
    <xf numFmtId="0" fontId="28" fillId="0" borderId="23" xfId="0" applyFont="1" applyFill="1" applyBorder="1" applyAlignment="1">
      <alignment horizontal="center"/>
    </xf>
    <xf numFmtId="0" fontId="48" fillId="0" borderId="0" xfId="0" applyFont="1" applyAlignment="1">
      <alignment horizontal="left"/>
    </xf>
    <xf numFmtId="3" fontId="48" fillId="0" borderId="0" xfId="0" applyNumberFormat="1" applyFont="1" applyAlignment="1">
      <alignment horizontal="left"/>
    </xf>
    <xf numFmtId="3" fontId="48" fillId="0" borderId="0" xfId="0" applyNumberFormat="1" applyFont="1" applyFill="1" applyAlignment="1">
      <alignment horizontal="left"/>
    </xf>
    <xf numFmtId="49" fontId="48" fillId="0" borderId="0" xfId="0" applyNumberFormat="1" applyFont="1" applyAlignment="1">
      <alignment horizontal="left"/>
    </xf>
    <xf numFmtId="3" fontId="48" fillId="0" borderId="0" xfId="0" applyNumberFormat="1" applyFont="1"/>
    <xf numFmtId="3" fontId="48" fillId="0" borderId="0" xfId="0" applyNumberFormat="1" applyFont="1" applyFill="1"/>
    <xf numFmtId="0" fontId="48" fillId="0" borderId="0" xfId="0" applyFont="1"/>
    <xf numFmtId="3" fontId="48" fillId="4" borderId="0" xfId="0" applyNumberFormat="1" applyFont="1" applyFill="1"/>
    <xf numFmtId="175" fontId="4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/>
    <xf numFmtId="0" fontId="9" fillId="0" borderId="0" xfId="0" applyFont="1" applyFill="1"/>
    <xf numFmtId="0" fontId="10" fillId="0" borderId="0" xfId="0" applyFont="1" applyBorder="1" applyAlignment="1">
      <alignment horizontal="left"/>
    </xf>
    <xf numFmtId="3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left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2" fontId="3" fillId="0" borderId="0" xfId="6" applyNumberFormat="1" applyFont="1"/>
    <xf numFmtId="41" fontId="5" fillId="5" borderId="9" xfId="6" applyNumberFormat="1" applyFont="1" applyFill="1" applyBorder="1"/>
    <xf numFmtId="3" fontId="5" fillId="5" borderId="6" xfId="6" applyNumberFormat="1" applyFont="1" applyFill="1" applyBorder="1" applyAlignment="1">
      <alignment horizontal="center"/>
    </xf>
    <xf numFmtId="3" fontId="5" fillId="5" borderId="6" xfId="6" applyNumberFormat="1" applyFont="1" applyFill="1" applyBorder="1"/>
    <xf numFmtId="42" fontId="5" fillId="5" borderId="6" xfId="6" applyNumberFormat="1" applyFont="1" applyFill="1" applyBorder="1"/>
    <xf numFmtId="41" fontId="5" fillId="5" borderId="6" xfId="6" applyNumberFormat="1" applyFont="1" applyFill="1" applyBorder="1"/>
    <xf numFmtId="42" fontId="5" fillId="5" borderId="32" xfId="6" applyNumberFormat="1" applyFont="1" applyFill="1" applyBorder="1"/>
    <xf numFmtId="41" fontId="5" fillId="5" borderId="13" xfId="6" applyNumberFormat="1" applyFont="1" applyFill="1" applyBorder="1"/>
    <xf numFmtId="3" fontId="3" fillId="0" borderId="0" xfId="6" applyNumberFormat="1" applyFont="1" applyBorder="1"/>
    <xf numFmtId="3" fontId="3" fillId="0" borderId="0" xfId="5" applyNumberFormat="1" applyFont="1" applyFill="1" applyBorder="1"/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37" fontId="13" fillId="0" borderId="0" xfId="0" applyNumberFormat="1" applyFont="1" applyFill="1" applyBorder="1"/>
    <xf numFmtId="5" fontId="15" fillId="0" borderId="0" xfId="0" applyNumberFormat="1" applyFont="1" applyBorder="1"/>
    <xf numFmtId="5" fontId="16" fillId="0" borderId="0" xfId="0" applyNumberFormat="1" applyFont="1" applyBorder="1"/>
    <xf numFmtId="178" fontId="3" fillId="0" borderId="0" xfId="5" applyNumberFormat="1" applyFont="1" applyFill="1"/>
    <xf numFmtId="5" fontId="3" fillId="0" borderId="0" xfId="0" applyNumberFormat="1" applyFont="1" applyFill="1"/>
    <xf numFmtId="4" fontId="13" fillId="0" borderId="22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5" fillId="0" borderId="1" xfId="0" quotePrefix="1" applyNumberFormat="1" applyFont="1" applyBorder="1" applyAlignment="1">
      <alignment horizontal="center"/>
    </xf>
    <xf numFmtId="173" fontId="9" fillId="0" borderId="0" xfId="0" applyNumberFormat="1" applyFont="1"/>
    <xf numFmtId="0" fontId="28" fillId="4" borderId="33" xfId="0" applyFont="1" applyFill="1" applyBorder="1" applyAlignment="1">
      <alignment horizontal="left"/>
    </xf>
    <xf numFmtId="173" fontId="9" fillId="0" borderId="0" xfId="0" applyNumberFormat="1" applyFont="1" applyBorder="1"/>
    <xf numFmtId="1" fontId="9" fillId="0" borderId="0" xfId="0" applyNumberFormat="1" applyFont="1"/>
    <xf numFmtId="0" fontId="9" fillId="0" borderId="0" xfId="0" applyFont="1" applyAlignment="1">
      <alignment horizontal="center"/>
    </xf>
    <xf numFmtId="3" fontId="10" fillId="0" borderId="0" xfId="0" applyNumberFormat="1" applyFont="1" applyFill="1" applyAlignment="1"/>
    <xf numFmtId="41" fontId="5" fillId="5" borderId="2" xfId="4" applyNumberFormat="1" applyFont="1" applyFill="1" applyBorder="1" applyAlignment="1">
      <alignment horizontal="center"/>
    </xf>
    <xf numFmtId="41" fontId="5" fillId="5" borderId="6" xfId="20" applyNumberFormat="1" applyFont="1" applyFill="1" applyBorder="1" applyAlignment="1">
      <alignment horizontal="center"/>
    </xf>
    <xf numFmtId="3" fontId="5" fillId="5" borderId="9" xfId="6" applyNumberFormat="1" applyFont="1" applyFill="1" applyBorder="1" applyAlignment="1">
      <alignment horizontal="center"/>
    </xf>
    <xf numFmtId="10" fontId="10" fillId="0" borderId="0" xfId="0" applyNumberFormat="1" applyFont="1" applyBorder="1" applyAlignment="1">
      <alignment horizontal="center"/>
    </xf>
    <xf numFmtId="37" fontId="32" fillId="0" borderId="0" xfId="5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176" fontId="48" fillId="4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center"/>
    </xf>
    <xf numFmtId="0" fontId="5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6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6" fillId="0" borderId="0" xfId="5" applyNumberFormat="1" applyFont="1" applyAlignment="1">
      <alignment horizontal="left"/>
    </xf>
    <xf numFmtId="0" fontId="28" fillId="0" borderId="0" xfId="0" applyFont="1" applyAlignment="1">
      <alignment horizontal="centerContinuous"/>
    </xf>
    <xf numFmtId="0" fontId="28" fillId="0" borderId="0" xfId="0" applyFont="1" applyFill="1"/>
    <xf numFmtId="0" fontId="27" fillId="0" borderId="0" xfId="0" applyFont="1"/>
    <xf numFmtId="0" fontId="52" fillId="0" borderId="0" xfId="0" applyFo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5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2" fillId="0" borderId="0" xfId="0" applyFont="1" applyFill="1"/>
    <xf numFmtId="3" fontId="28" fillId="0" borderId="0" xfId="0" applyNumberFormat="1" applyFont="1" applyFill="1" applyAlignment="1"/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28" fillId="0" borderId="8" xfId="0" applyFont="1" applyBorder="1" applyAlignment="1">
      <alignment horizontal="center"/>
    </xf>
    <xf numFmtId="0" fontId="27" fillId="0" borderId="0" xfId="0" applyFont="1" applyBorder="1"/>
    <xf numFmtId="0" fontId="27" fillId="0" borderId="0" xfId="0" applyFont="1" applyAlignment="1">
      <alignment horizontal="center"/>
    </xf>
    <xf numFmtId="42" fontId="27" fillId="0" borderId="0" xfId="0" applyNumberFormat="1" applyFont="1"/>
    <xf numFmtId="5" fontId="27" fillId="0" borderId="0" xfId="0" applyNumberFormat="1" applyFont="1"/>
    <xf numFmtId="10" fontId="27" fillId="0" borderId="10" xfId="7" applyNumberFormat="1" applyFont="1" applyBorder="1"/>
    <xf numFmtId="10" fontId="27" fillId="0" borderId="0" xfId="7" applyNumberFormat="1" applyFont="1" applyBorder="1"/>
    <xf numFmtId="170" fontId="27" fillId="0" borderId="0" xfId="7" applyNumberFormat="1" applyFont="1" applyBorder="1"/>
    <xf numFmtId="42" fontId="27" fillId="0" borderId="10" xfId="0" applyNumberFormat="1" applyFont="1" applyBorder="1"/>
    <xf numFmtId="42" fontId="27" fillId="0" borderId="0" xfId="0" applyNumberFormat="1" applyFont="1" applyBorder="1"/>
    <xf numFmtId="37" fontId="27" fillId="0" borderId="0" xfId="20" applyNumberFormat="1" applyFont="1" applyFill="1"/>
    <xf numFmtId="169" fontId="27" fillId="0" borderId="0" xfId="0" applyNumberFormat="1" applyFont="1"/>
    <xf numFmtId="0" fontId="43" fillId="0" borderId="0" xfId="0" applyFont="1" applyAlignment="1">
      <alignment horizontal="right"/>
    </xf>
    <xf numFmtId="5" fontId="28" fillId="0" borderId="18" xfId="0" applyNumberFormat="1" applyFont="1" applyFill="1" applyBorder="1"/>
    <xf numFmtId="5" fontId="28" fillId="0" borderId="0" xfId="0" applyNumberFormat="1" applyFont="1" applyFill="1" applyBorder="1"/>
    <xf numFmtId="10" fontId="28" fillId="0" borderId="16" xfId="7" applyNumberFormat="1" applyFont="1" applyBorder="1"/>
    <xf numFmtId="10" fontId="28" fillId="0" borderId="0" xfId="7" applyNumberFormat="1" applyFont="1" applyBorder="1"/>
    <xf numFmtId="37" fontId="27" fillId="0" borderId="0" xfId="5" applyNumberFormat="1" applyFont="1"/>
    <xf numFmtId="42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37" fontId="27" fillId="4" borderId="22" xfId="20" applyNumberFormat="1" applyFont="1" applyFill="1" applyBorder="1"/>
    <xf numFmtId="37" fontId="27" fillId="4" borderId="0" xfId="20" applyNumberFormat="1" applyFont="1" applyFill="1" applyBorder="1"/>
    <xf numFmtId="0" fontId="28" fillId="4" borderId="0" xfId="0" applyFont="1" applyFill="1" applyBorder="1" applyAlignment="1">
      <alignment horizontal="center"/>
    </xf>
    <xf numFmtId="37" fontId="53" fillId="4" borderId="0" xfId="20" applyNumberFormat="1" applyFont="1" applyFill="1" applyBorder="1"/>
    <xf numFmtId="0" fontId="28" fillId="4" borderId="23" xfId="0" applyFont="1" applyFill="1" applyBorder="1" applyAlignment="1">
      <alignment horizontal="center"/>
    </xf>
    <xf numFmtId="0" fontId="27" fillId="4" borderId="0" xfId="0" applyFont="1" applyFill="1" applyBorder="1"/>
    <xf numFmtId="0" fontId="28" fillId="4" borderId="10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37" fontId="27" fillId="0" borderId="0" xfId="20" applyNumberFormat="1" applyFont="1" applyFill="1" applyBorder="1"/>
    <xf numFmtId="37" fontId="27" fillId="4" borderId="23" xfId="20" applyNumberFormat="1" applyFont="1" applyFill="1" applyBorder="1"/>
    <xf numFmtId="167" fontId="27" fillId="4" borderId="0" xfId="7" applyNumberFormat="1" applyFont="1" applyFill="1" applyBorder="1"/>
    <xf numFmtId="10" fontId="27" fillId="4" borderId="23" xfId="7" applyNumberFormat="1" applyFont="1" applyFill="1" applyBorder="1"/>
    <xf numFmtId="10" fontId="27" fillId="4" borderId="0" xfId="7" applyNumberFormat="1" applyFont="1" applyFill="1" applyBorder="1"/>
    <xf numFmtId="170" fontId="53" fillId="4" borderId="0" xfId="7" applyNumberFormat="1" applyFont="1" applyFill="1" applyBorder="1"/>
    <xf numFmtId="10" fontId="27" fillId="4" borderId="16" xfId="7" applyNumberFormat="1" applyFont="1" applyFill="1" applyBorder="1"/>
    <xf numFmtId="10" fontId="27" fillId="4" borderId="31" xfId="7" applyNumberFormat="1" applyFont="1" applyFill="1" applyBorder="1"/>
    <xf numFmtId="37" fontId="27" fillId="4" borderId="24" xfId="20" applyNumberFormat="1" applyFont="1" applyFill="1" applyBorder="1"/>
    <xf numFmtId="0" fontId="27" fillId="4" borderId="25" xfId="0" applyFont="1" applyFill="1" applyBorder="1"/>
    <xf numFmtId="10" fontId="27" fillId="4" borderId="25" xfId="7" applyNumberFormat="1" applyFont="1" applyFill="1" applyBorder="1"/>
    <xf numFmtId="10" fontId="53" fillId="4" borderId="25" xfId="7" applyNumberFormat="1" applyFont="1" applyFill="1" applyBorder="1"/>
    <xf numFmtId="10" fontId="27" fillId="4" borderId="26" xfId="7" applyNumberFormat="1" applyFont="1" applyFill="1" applyBorder="1"/>
    <xf numFmtId="0" fontId="53" fillId="0" borderId="0" xfId="0" applyFont="1"/>
    <xf numFmtId="0" fontId="53" fillId="0" borderId="0" xfId="0" applyFont="1" applyBorder="1"/>
    <xf numFmtId="41" fontId="27" fillId="0" borderId="0" xfId="0" applyNumberFormat="1" applyFont="1" applyFill="1" applyBorder="1"/>
    <xf numFmtId="0" fontId="53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10" fontId="53" fillId="0" borderId="0" xfId="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7" fontId="53" fillId="0" borderId="0" xfId="20" applyNumberFormat="1" applyFont="1" applyFill="1" applyBorder="1"/>
    <xf numFmtId="0" fontId="27" fillId="0" borderId="0" xfId="0" applyFont="1" applyFill="1" applyBorder="1" applyAlignment="1">
      <alignment horizontal="left"/>
    </xf>
    <xf numFmtId="5" fontId="27" fillId="0" borderId="0" xfId="7" applyNumberFormat="1" applyFont="1" applyFill="1" applyBorder="1"/>
    <xf numFmtId="180" fontId="27" fillId="0" borderId="0" xfId="0" applyNumberFormat="1" applyFont="1" applyFill="1" applyBorder="1"/>
    <xf numFmtId="174" fontId="27" fillId="0" borderId="0" xfId="0" applyNumberFormat="1" applyFont="1" applyFill="1" applyBorder="1"/>
    <xf numFmtId="3" fontId="27" fillId="0" borderId="0" xfId="13" applyNumberFormat="1" applyFont="1" applyFill="1" applyBorder="1" applyAlignment="1">
      <alignment horizontal="left"/>
    </xf>
    <xf numFmtId="173" fontId="27" fillId="0" borderId="0" xfId="0" applyNumberFormat="1" applyFont="1" applyFill="1" applyBorder="1"/>
    <xf numFmtId="1" fontId="27" fillId="0" borderId="0" xfId="0" applyNumberFormat="1" applyFont="1" applyFill="1" applyBorder="1"/>
    <xf numFmtId="169" fontId="10" fillId="0" borderId="0" xfId="0" applyNumberFormat="1" applyFont="1" applyFill="1"/>
    <xf numFmtId="169" fontId="9" fillId="0" borderId="0" xfId="0" applyNumberFormat="1" applyFont="1" applyFill="1"/>
    <xf numFmtId="169" fontId="9" fillId="0" borderId="0" xfId="17" applyNumberFormat="1" applyFont="1" applyFill="1"/>
    <xf numFmtId="169" fontId="15" fillId="0" borderId="0" xfId="0" applyNumberFormat="1" applyFont="1" applyFill="1"/>
    <xf numFmtId="169" fontId="9" fillId="0" borderId="15" xfId="0" applyNumberFormat="1" applyFont="1" applyFill="1" applyBorder="1"/>
    <xf numFmtId="10" fontId="22" fillId="0" borderId="0" xfId="0" applyNumberFormat="1" applyFont="1" applyFill="1"/>
    <xf numFmtId="179" fontId="3" fillId="0" borderId="0" xfId="6" applyNumberFormat="1" applyFont="1" applyFill="1"/>
    <xf numFmtId="3" fontId="5" fillId="0" borderId="8" xfId="6" quotePrefix="1" applyNumberFormat="1" applyFont="1" applyFill="1" applyBorder="1" applyAlignment="1">
      <alignment horizontal="center"/>
    </xf>
    <xf numFmtId="3" fontId="45" fillId="0" borderId="0" xfId="13" applyNumberFormat="1" applyFont="1" applyFill="1"/>
    <xf numFmtId="0" fontId="11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41" fontId="58" fillId="0" borderId="0" xfId="5" applyNumberFormat="1" applyFont="1" applyFill="1"/>
    <xf numFmtId="3" fontId="58" fillId="0" borderId="0" xfId="6" applyNumberFormat="1" applyFont="1" applyFill="1"/>
    <xf numFmtId="3" fontId="59" fillId="0" borderId="0" xfId="6" applyNumberFormat="1" applyFont="1" applyFill="1" applyAlignment="1">
      <alignment horizontal="center"/>
    </xf>
    <xf numFmtId="0" fontId="59" fillId="0" borderId="0" xfId="6" applyNumberFormat="1" applyFont="1" applyFill="1" applyAlignment="1">
      <alignment horizontal="center"/>
    </xf>
    <xf numFmtId="3" fontId="59" fillId="0" borderId="1" xfId="6" applyNumberFormat="1" applyFont="1" applyFill="1" applyBorder="1" applyAlignment="1">
      <alignment horizontal="center"/>
    </xf>
    <xf numFmtId="3" fontId="59" fillId="0" borderId="5" xfId="6" applyNumberFormat="1" applyFont="1" applyFill="1" applyBorder="1" applyAlignment="1">
      <alignment horizontal="center"/>
    </xf>
    <xf numFmtId="3" fontId="59" fillId="0" borderId="8" xfId="6" applyNumberFormat="1" applyFont="1" applyFill="1" applyBorder="1" applyAlignment="1">
      <alignment horizontal="center"/>
    </xf>
    <xf numFmtId="4" fontId="59" fillId="0" borderId="0" xfId="6" applyNumberFormat="1" applyFont="1" applyFill="1" applyBorder="1" applyAlignment="1">
      <alignment horizontal="center"/>
    </xf>
    <xf numFmtId="42" fontId="58" fillId="0" borderId="0" xfId="4" applyNumberFormat="1" applyFont="1" applyFill="1"/>
    <xf numFmtId="41" fontId="58" fillId="0" borderId="0" xfId="4" applyNumberFormat="1" applyFont="1" applyFill="1"/>
    <xf numFmtId="41" fontId="58" fillId="0" borderId="10" xfId="4" applyNumberFormat="1" applyFont="1" applyFill="1" applyBorder="1"/>
    <xf numFmtId="41" fontId="58" fillId="0" borderId="0" xfId="6" applyNumberFormat="1" applyFont="1" applyFill="1"/>
    <xf numFmtId="41" fontId="58" fillId="0" borderId="0" xfId="4" applyNumberFormat="1" applyFont="1" applyFill="1" applyBorder="1"/>
    <xf numFmtId="41" fontId="58" fillId="0" borderId="10" xfId="6" applyNumberFormat="1" applyFont="1" applyFill="1" applyBorder="1"/>
    <xf numFmtId="42" fontId="58" fillId="0" borderId="12" xfId="6" applyNumberFormat="1" applyFont="1" applyFill="1" applyBorder="1"/>
    <xf numFmtId="41" fontId="58" fillId="0" borderId="15" xfId="6" applyNumberFormat="1" applyFont="1" applyFill="1" applyBorder="1"/>
    <xf numFmtId="41" fontId="58" fillId="0" borderId="0" xfId="6" applyNumberFormat="1" applyFont="1" applyFill="1" applyBorder="1"/>
    <xf numFmtId="42" fontId="59" fillId="0" borderId="12" xfId="6" applyNumberFormat="1" applyFont="1" applyFill="1" applyBorder="1"/>
    <xf numFmtId="3" fontId="58" fillId="0" borderId="0" xfId="5" applyNumberFormat="1" applyFont="1" applyFill="1"/>
    <xf numFmtId="3" fontId="58" fillId="0" borderId="0" xfId="5" applyNumberFormat="1" applyFont="1" applyFill="1" applyBorder="1"/>
    <xf numFmtId="3" fontId="58" fillId="0" borderId="0" xfId="6" applyNumberFormat="1" applyFont="1" applyFill="1" applyBorder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0" fontId="28" fillId="0" borderId="0" xfId="0" applyFont="1" applyFill="1" applyAlignment="1"/>
    <xf numFmtId="176" fontId="48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3" fontId="4" fillId="2" borderId="0" xfId="1" applyNumberFormat="1" applyFont="1" applyFill="1"/>
    <xf numFmtId="3" fontId="49" fillId="0" borderId="0" xfId="22" applyNumberFormat="1" applyFo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0" xfId="4" applyNumberFormat="1" applyFont="1" applyFill="1" applyBorder="1"/>
    <xf numFmtId="3" fontId="3" fillId="0" borderId="0" xfId="6" applyNumberFormat="1" applyFont="1" applyFill="1"/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2" fontId="3" fillId="0" borderId="12" xfId="6" applyNumberFormat="1" applyFont="1" applyFill="1" applyBorder="1"/>
    <xf numFmtId="41" fontId="3" fillId="0" borderId="15" xfId="6" applyNumberFormat="1" applyFont="1" applyFill="1" applyBorder="1"/>
    <xf numFmtId="41" fontId="3" fillId="0" borderId="0" xfId="6" applyNumberFormat="1" applyFont="1" applyFill="1" applyBorder="1"/>
    <xf numFmtId="42" fontId="5" fillId="0" borderId="12" xfId="6" applyNumberFormat="1" applyFont="1" applyFill="1" applyBorder="1"/>
    <xf numFmtId="41" fontId="3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41" fontId="5" fillId="0" borderId="0" xfId="20" applyNumberFormat="1" applyFont="1" applyFill="1" applyBorder="1" applyAlignment="1">
      <alignment vertical="center" wrapText="1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5" xfId="20" quotePrefix="1" applyNumberFormat="1" applyFont="1" applyFill="1" applyBorder="1" applyAlignment="1">
      <alignment horizontal="center"/>
    </xf>
    <xf numFmtId="41" fontId="5" fillId="0" borderId="8" xfId="20" applyNumberFormat="1" applyFont="1" applyFill="1" applyBorder="1" applyAlignment="1">
      <alignment horizontal="center"/>
    </xf>
    <xf numFmtId="2" fontId="5" fillId="0" borderId="0" xfId="10" applyNumberFormat="1" applyFont="1" applyFill="1" applyBorder="1" applyAlignment="1" applyProtection="1">
      <alignment horizontal="center"/>
    </xf>
    <xf numFmtId="41" fontId="5" fillId="0" borderId="0" xfId="20" applyNumberFormat="1" applyFont="1" applyFill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5" fillId="0" borderId="0" xfId="6" quotePrefix="1" applyNumberFormat="1" applyFont="1" applyFill="1" applyBorder="1" applyAlignment="1">
      <alignment horizontal="center"/>
    </xf>
    <xf numFmtId="42" fontId="5" fillId="0" borderId="0" xfId="6" applyNumberFormat="1" applyFont="1" applyBorder="1"/>
    <xf numFmtId="10" fontId="5" fillId="0" borderId="0" xfId="7" quotePrefix="1" applyNumberFormat="1" applyFont="1" applyBorder="1" applyAlignment="1">
      <alignment horizontal="center"/>
    </xf>
    <xf numFmtId="14" fontId="28" fillId="0" borderId="10" xfId="0" quotePrefix="1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vertical="top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0" fontId="5" fillId="0" borderId="0" xfId="6" applyNumberFormat="1" applyFont="1" applyFill="1" applyAlignment="1">
      <alignment horizontal="center"/>
    </xf>
    <xf numFmtId="3" fontId="3" fillId="0" borderId="0" xfId="6" applyNumberFormat="1" applyFont="1" applyFill="1" applyAlignment="1">
      <alignment horizontal="center"/>
    </xf>
    <xf numFmtId="173" fontId="3" fillId="0" borderId="0" xfId="1" applyNumberFormat="1" applyFont="1" applyFill="1"/>
    <xf numFmtId="3" fontId="5" fillId="0" borderId="4" xfId="6" applyNumberFormat="1" applyFont="1" applyFill="1" applyBorder="1" applyAlignment="1">
      <alignment horizontal="center"/>
    </xf>
    <xf numFmtId="3" fontId="5" fillId="0" borderId="7" xfId="6" applyNumberFormat="1" applyFont="1" applyFill="1" applyBorder="1" applyAlignment="1">
      <alignment horizontal="center"/>
    </xf>
    <xf numFmtId="3" fontId="5" fillId="0" borderId="11" xfId="6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49" fillId="0" borderId="0" xfId="22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1" fillId="0" borderId="0" xfId="0" applyFont="1" applyFill="1"/>
    <xf numFmtId="0" fontId="34" fillId="0" borderId="0" xfId="6" applyNumberFormat="1" applyFont="1" applyFill="1" applyAlignment="1">
      <alignment horizontal="center"/>
    </xf>
    <xf numFmtId="3" fontId="62" fillId="0" borderId="0" xfId="6" applyNumberFormat="1" applyFont="1" applyFill="1" applyAlignment="1">
      <alignment horizontal="center"/>
    </xf>
    <xf numFmtId="3" fontId="34" fillId="0" borderId="1" xfId="6" applyNumberFormat="1" applyFont="1" applyFill="1" applyBorder="1" applyAlignment="1">
      <alignment horizontal="center"/>
    </xf>
    <xf numFmtId="3" fontId="34" fillId="0" borderId="5" xfId="5" applyNumberFormat="1" applyFont="1" applyFill="1" applyBorder="1" applyAlignment="1">
      <alignment horizontal="center"/>
    </xf>
    <xf numFmtId="3" fontId="34" fillId="0" borderId="8" xfId="6" applyNumberFormat="1" applyFont="1" applyFill="1" applyBorder="1" applyAlignment="1">
      <alignment horizontal="center"/>
    </xf>
    <xf numFmtId="4" fontId="34" fillId="0" borderId="0" xfId="6" applyNumberFormat="1" applyFont="1" applyFill="1" applyBorder="1" applyAlignment="1">
      <alignment horizontal="center"/>
    </xf>
    <xf numFmtId="3" fontId="34" fillId="0" borderId="0" xfId="6" applyNumberFormat="1" applyFont="1" applyFill="1" applyAlignment="1">
      <alignment horizontal="center"/>
    </xf>
    <xf numFmtId="42" fontId="33" fillId="0" borderId="0" xfId="4" applyNumberFormat="1" applyFont="1" applyFill="1"/>
    <xf numFmtId="41" fontId="33" fillId="0" borderId="0" xfId="4" applyNumberFormat="1" applyFont="1" applyFill="1"/>
    <xf numFmtId="41" fontId="33" fillId="0" borderId="10" xfId="4" applyNumberFormat="1" applyFont="1" applyFill="1" applyBorder="1"/>
    <xf numFmtId="173" fontId="33" fillId="0" borderId="0" xfId="1" applyNumberFormat="1" applyFont="1" applyFill="1"/>
    <xf numFmtId="41" fontId="33" fillId="0" borderId="10" xfId="6" applyNumberFormat="1" applyFont="1" applyFill="1" applyBorder="1"/>
    <xf numFmtId="42" fontId="33" fillId="0" borderId="12" xfId="6" applyNumberFormat="1" applyFont="1" applyFill="1" applyBorder="1"/>
    <xf numFmtId="41" fontId="33" fillId="0" borderId="15" xfId="6" applyNumberFormat="1" applyFont="1" applyFill="1" applyBorder="1"/>
    <xf numFmtId="41" fontId="33" fillId="0" borderId="0" xfId="6" applyNumberFormat="1" applyFont="1" applyFill="1" applyBorder="1"/>
    <xf numFmtId="41" fontId="33" fillId="0" borderId="0" xfId="4" applyNumberFormat="1" applyFont="1" applyFill="1" applyBorder="1"/>
    <xf numFmtId="42" fontId="34" fillId="0" borderId="12" xfId="6" applyNumberFormat="1" applyFont="1" applyFill="1" applyBorder="1"/>
    <xf numFmtId="3" fontId="33" fillId="0" borderId="0" xfId="5" applyNumberFormat="1" applyFont="1" applyFill="1" applyBorder="1"/>
    <xf numFmtId="3" fontId="33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60" fillId="0" borderId="0" xfId="6" applyNumberFormat="1" applyFont="1" applyFill="1" applyAlignment="1">
      <alignment horizontal="center"/>
    </xf>
    <xf numFmtId="41" fontId="9" fillId="0" borderId="3" xfId="1" applyNumberFormat="1" applyFont="1" applyBorder="1"/>
    <xf numFmtId="0" fontId="10" fillId="0" borderId="0" xfId="20" applyFont="1" applyFill="1" applyBorder="1"/>
    <xf numFmtId="10" fontId="10" fillId="0" borderId="0" xfId="20" applyNumberFormat="1" applyFont="1" applyFill="1" applyBorder="1" applyAlignment="1">
      <alignment horizontal="right"/>
    </xf>
    <xf numFmtId="174" fontId="10" fillId="0" borderId="0" xfId="2" applyNumberFormat="1" applyFont="1" applyFill="1" applyBorder="1"/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right"/>
    </xf>
    <xf numFmtId="37" fontId="63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Border="1"/>
    <xf numFmtId="5" fontId="9" fillId="0" borderId="0" xfId="0" applyNumberFormat="1" applyFont="1" applyFill="1" applyBorder="1" applyAlignment="1"/>
    <xf numFmtId="10" fontId="9" fillId="0" borderId="38" xfId="7" applyNumberFormat="1" applyFont="1" applyFill="1" applyBorder="1"/>
    <xf numFmtId="41" fontId="3" fillId="0" borderId="0" xfId="6" applyNumberFormat="1" applyFont="1" applyFill="1" applyAlignment="1">
      <alignment horizontal="right"/>
    </xf>
    <xf numFmtId="10" fontId="3" fillId="0" borderId="0" xfId="7" applyNumberFormat="1" applyFont="1" applyBorder="1"/>
    <xf numFmtId="173" fontId="3" fillId="0" borderId="0" xfId="1" applyNumberFormat="1" applyFont="1" applyBorder="1"/>
    <xf numFmtId="41" fontId="5" fillId="0" borderId="0" xfId="20" applyNumberFormat="1" applyFont="1" applyFill="1" applyBorder="1" applyAlignment="1">
      <alignment vertical="top"/>
    </xf>
    <xf numFmtId="41" fontId="5" fillId="0" borderId="0" xfId="20" applyNumberFormat="1" applyFont="1" applyFill="1" applyBorder="1" applyAlignment="1">
      <alignment horizontal="center" vertical="top"/>
    </xf>
    <xf numFmtId="41" fontId="5" fillId="0" borderId="10" xfId="20" applyNumberFormat="1" applyFont="1" applyFill="1" applyBorder="1" applyAlignment="1">
      <alignment vertical="top"/>
    </xf>
    <xf numFmtId="42" fontId="3" fillId="0" borderId="0" xfId="4" applyNumberFormat="1" applyFont="1" applyFill="1" applyBorder="1"/>
    <xf numFmtId="173" fontId="3" fillId="0" borderId="0" xfId="1" applyNumberFormat="1" applyFont="1" applyFill="1" applyBorder="1"/>
    <xf numFmtId="41" fontId="60" fillId="0" borderId="0" xfId="6" applyNumberFormat="1" applyFont="1" applyFill="1" applyBorder="1"/>
    <xf numFmtId="0" fontId="64" fillId="0" borderId="0" xfId="0" applyFont="1" applyFill="1" applyBorder="1" applyAlignment="1">
      <alignment horizontal="left"/>
    </xf>
    <xf numFmtId="42" fontId="5" fillId="0" borderId="0" xfId="0" applyNumberFormat="1" applyFont="1" applyFill="1" applyBorder="1"/>
    <xf numFmtId="10" fontId="28" fillId="0" borderId="3" xfId="7" applyNumberFormat="1" applyFont="1" applyBorder="1"/>
    <xf numFmtId="0" fontId="46" fillId="0" borderId="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2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10" fontId="9" fillId="0" borderId="0" xfId="7" applyNumberFormat="1" applyFont="1" applyFill="1" applyBorder="1" applyAlignment="1">
      <alignment horizontal="center"/>
    </xf>
    <xf numFmtId="10" fontId="10" fillId="0" borderId="0" xfId="7" applyNumberFormat="1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5" fontId="10" fillId="0" borderId="0" xfId="0" applyNumberFormat="1" applyFont="1" applyFill="1" applyBorder="1" applyAlignment="1"/>
    <xf numFmtId="41" fontId="29" fillId="5" borderId="13" xfId="0" quotePrefix="1" applyNumberFormat="1" applyFont="1" applyFill="1" applyBorder="1" applyAlignment="1">
      <alignment horizontal="center"/>
    </xf>
    <xf numFmtId="41" fontId="29" fillId="5" borderId="15" xfId="0" quotePrefix="1" applyNumberFormat="1" applyFont="1" applyFill="1" applyBorder="1" applyAlignment="1">
      <alignment horizontal="center"/>
    </xf>
    <xf numFmtId="41" fontId="29" fillId="5" borderId="14" xfId="0" quotePrefix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wrapText="1"/>
    </xf>
    <xf numFmtId="37" fontId="10" fillId="0" borderId="36" xfId="20" applyNumberFormat="1" applyFont="1" applyFill="1" applyBorder="1" applyAlignment="1">
      <alignment horizontal="center" wrapText="1"/>
    </xf>
    <xf numFmtId="37" fontId="10" fillId="0" borderId="37" xfId="2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0" xfId="5" applyNumberFormat="1" applyFont="1" applyAlignment="1">
      <alignment horizontal="center"/>
    </xf>
    <xf numFmtId="0" fontId="10" fillId="0" borderId="0" xfId="2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4" borderId="19" xfId="0" applyFont="1" applyFill="1" applyBorder="1" applyAlignment="1">
      <alignment horizontal="center"/>
    </xf>
    <xf numFmtId="0" fontId="28" fillId="4" borderId="20" xfId="0" applyFont="1" applyFill="1" applyBorder="1" applyAlignment="1">
      <alignment horizontal="center"/>
    </xf>
    <xf numFmtId="0" fontId="28" fillId="4" borderId="2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/>
    </xf>
    <xf numFmtId="41" fontId="59" fillId="0" borderId="0" xfId="6" applyNumberFormat="1" applyFont="1" applyFill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7" xfId="13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4" fontId="39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0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83</xdr:row>
      <xdr:rowOff>8283</xdr:rowOff>
    </xdr:from>
    <xdr:to>
      <xdr:col>25</xdr:col>
      <xdr:colOff>914400</xdr:colOff>
      <xdr:row>83</xdr:row>
      <xdr:rowOff>554935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274373" y="12162183"/>
          <a:ext cx="5899702" cy="546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The Restated TOTAL column does not represent 12/31/2018 Test Period Commission Basis results of operation on a normalized basis (CBR basis). Differences exists due to inclusion of proposed cost of debt (pro forma versus CBR actual cost of debt) impacting Adjustment 2.14 above, and the inclusion</a:t>
          </a:r>
          <a:r>
            <a:rPr lang="en-US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Restate 2018 AMA Rate base to EOP adjustment 2.15.</a:t>
          </a:r>
          <a:endParaRPr lang="en-US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01m107/2005/2005%20WA%20E%20&amp;%20G%20General%20Case/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/>
  <dimension ref="A1:AQ84"/>
  <sheetViews>
    <sheetView workbookViewId="0">
      <selection activeCell="M21" sqref="M21"/>
    </sheetView>
  </sheetViews>
  <sheetFormatPr defaultColWidth="9.140625" defaultRowHeight="12.75"/>
  <cols>
    <col min="1" max="1" width="4.7109375" style="73" customWidth="1"/>
    <col min="2" max="3" width="1.7109375" style="72" customWidth="1"/>
    <col min="4" max="4" width="2.7109375" style="72" customWidth="1"/>
    <col min="5" max="5" width="33.5703125" style="40" customWidth="1"/>
    <col min="6" max="6" width="18.85546875" style="40" customWidth="1"/>
    <col min="7" max="7" width="15.5703125" style="40" customWidth="1"/>
    <col min="8" max="8" width="16.28515625" style="40" customWidth="1"/>
    <col min="9" max="9" width="17.42578125" style="40" customWidth="1"/>
    <col min="10" max="10" width="16.4257812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ht="15">
      <c r="A1" s="522" t="str">
        <f>'ROO INPUT'!A3:C3</f>
        <v>AVISTA UTILITIES</v>
      </c>
      <c r="D1" s="73"/>
      <c r="F1" s="501"/>
      <c r="G1" s="501"/>
    </row>
    <row r="2" spans="1:43" ht="15" customHeight="1">
      <c r="A2" s="522" t="str">
        <f>'ADJ DETAIL INPUT'!A3</f>
        <v>WASHINGTON NATURAL GAS</v>
      </c>
      <c r="D2" s="73"/>
      <c r="G2" s="127"/>
      <c r="H2" s="128"/>
      <c r="I2" s="128"/>
      <c r="J2" s="124"/>
      <c r="K2" s="124"/>
      <c r="L2" s="124"/>
      <c r="M2" s="124"/>
      <c r="N2" s="124"/>
    </row>
    <row r="3" spans="1:43" s="460" customFormat="1" ht="15" customHeight="1">
      <c r="A3" s="522" t="str">
        <f>'ROO INPUT'!A5:C5</f>
        <v>TWELVE MONTHS ENDED DECEMBER 31, 2018</v>
      </c>
      <c r="B3" s="72"/>
      <c r="C3" s="72"/>
      <c r="D3" s="73"/>
      <c r="E3" s="157"/>
      <c r="F3" s="157"/>
      <c r="G3" s="127"/>
      <c r="H3" s="128"/>
      <c r="I3" s="128"/>
      <c r="J3" s="463"/>
      <c r="K3" s="463"/>
      <c r="L3" s="463"/>
      <c r="M3" s="463"/>
      <c r="N3" s="463"/>
    </row>
    <row r="4" spans="1:43" ht="15">
      <c r="A4" s="522" t="str">
        <f>'ROO INPUT'!A6:C6</f>
        <v xml:space="preserve">(000'S OF DOLLARS)   </v>
      </c>
      <c r="D4" s="73"/>
    </row>
    <row r="5" spans="1:43" ht="13.5" thickBot="1">
      <c r="D5" s="73"/>
    </row>
    <row r="6" spans="1:43" ht="14.25">
      <c r="D6" s="73"/>
      <c r="F6" s="757" t="s">
        <v>539</v>
      </c>
      <c r="G6" s="758"/>
      <c r="H6" s="758"/>
      <c r="I6" s="758"/>
      <c r="J6" s="759"/>
      <c r="AD6" s="124"/>
      <c r="AE6" s="359"/>
      <c r="AF6" s="360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</row>
    <row r="7" spans="1:43">
      <c r="A7" s="74"/>
      <c r="B7" s="74"/>
      <c r="C7" s="75"/>
      <c r="D7" s="75"/>
      <c r="E7" s="74"/>
      <c r="F7" s="76" t="s">
        <v>142</v>
      </c>
      <c r="G7" s="77"/>
      <c r="H7" s="78"/>
      <c r="I7" s="78" t="s">
        <v>542</v>
      </c>
      <c r="J7" s="78"/>
      <c r="P7" s="124"/>
      <c r="Y7" s="124"/>
      <c r="Z7" s="124"/>
      <c r="AD7" s="124"/>
      <c r="AE7" s="365"/>
      <c r="AF7" s="366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</row>
    <row r="8" spans="1:43">
      <c r="A8" s="79"/>
      <c r="B8" s="80"/>
      <c r="C8" s="81"/>
      <c r="D8" s="82"/>
      <c r="E8" s="83"/>
      <c r="F8" s="42" t="s">
        <v>143</v>
      </c>
      <c r="G8" s="42"/>
      <c r="H8" s="495" t="s">
        <v>540</v>
      </c>
      <c r="I8" s="42" t="s">
        <v>144</v>
      </c>
      <c r="J8" s="495" t="s">
        <v>541</v>
      </c>
      <c r="AE8" s="361"/>
      <c r="AF8" s="362"/>
    </row>
    <row r="9" spans="1:43">
      <c r="A9" s="84" t="s">
        <v>7</v>
      </c>
      <c r="B9" s="85"/>
      <c r="C9" s="86"/>
      <c r="D9" s="87"/>
      <c r="E9" s="88"/>
      <c r="F9" s="44" t="s">
        <v>8</v>
      </c>
      <c r="G9" s="44" t="s">
        <v>25</v>
      </c>
      <c r="H9" s="44" t="s">
        <v>443</v>
      </c>
      <c r="I9" s="44" t="s">
        <v>145</v>
      </c>
      <c r="J9" s="44" t="s">
        <v>144</v>
      </c>
      <c r="AE9" s="361"/>
      <c r="AF9" s="362"/>
    </row>
    <row r="10" spans="1:43">
      <c r="A10" s="89" t="s">
        <v>16</v>
      </c>
      <c r="B10" s="90"/>
      <c r="C10" s="91"/>
      <c r="D10" s="92"/>
      <c r="E10" s="93" t="s">
        <v>17</v>
      </c>
      <c r="F10" s="46" t="s">
        <v>18</v>
      </c>
      <c r="G10" s="46" t="s">
        <v>117</v>
      </c>
      <c r="H10" s="46" t="s">
        <v>25</v>
      </c>
      <c r="I10" s="46" t="s">
        <v>146</v>
      </c>
      <c r="J10" s="46" t="s">
        <v>25</v>
      </c>
      <c r="AE10" s="361"/>
      <c r="AF10" s="362"/>
    </row>
    <row r="11" spans="1:43">
      <c r="A11" s="94"/>
      <c r="B11" s="94"/>
      <c r="C11" s="95"/>
      <c r="D11" s="95"/>
      <c r="E11" s="95" t="s">
        <v>26</v>
      </c>
      <c r="F11" s="47" t="s">
        <v>27</v>
      </c>
      <c r="G11" s="47" t="s">
        <v>28</v>
      </c>
      <c r="H11" s="47" t="s">
        <v>29</v>
      </c>
      <c r="I11" s="47" t="s">
        <v>30</v>
      </c>
      <c r="J11" s="47" t="s">
        <v>31</v>
      </c>
      <c r="AE11" s="361"/>
      <c r="AF11" s="362"/>
    </row>
    <row r="12" spans="1:43" ht="3.75" customHeight="1">
      <c r="A12" s="94"/>
      <c r="B12" s="94"/>
      <c r="C12" s="95"/>
      <c r="D12" s="95"/>
      <c r="E12" s="95"/>
      <c r="F12" s="47"/>
      <c r="G12" s="47"/>
      <c r="H12" s="47"/>
      <c r="I12" s="47"/>
      <c r="J12" s="47"/>
      <c r="AE12" s="361"/>
      <c r="AF12" s="362"/>
    </row>
    <row r="13" spans="1:43" ht="2.25" customHeight="1">
      <c r="A13" s="94"/>
      <c r="B13" s="94"/>
      <c r="C13" s="95"/>
      <c r="D13" s="95"/>
      <c r="E13" s="95"/>
      <c r="F13" s="47"/>
      <c r="G13" s="47"/>
      <c r="H13" s="47"/>
      <c r="I13" s="47"/>
      <c r="J13" s="47"/>
      <c r="AE13" s="361"/>
      <c r="AF13" s="362"/>
    </row>
    <row r="14" spans="1:43">
      <c r="A14" s="2"/>
      <c r="B14" s="1" t="s">
        <v>32</v>
      </c>
      <c r="C14" s="1"/>
      <c r="D14" s="1"/>
      <c r="E14" s="1"/>
      <c r="F14" s="69"/>
      <c r="G14" s="69"/>
      <c r="J14" s="40"/>
      <c r="AE14" s="361"/>
      <c r="AF14" s="362"/>
    </row>
    <row r="15" spans="1:43">
      <c r="A15" s="2">
        <v>1</v>
      </c>
      <c r="B15" s="3"/>
      <c r="C15" s="3" t="s">
        <v>33</v>
      </c>
      <c r="D15" s="3"/>
      <c r="E15" s="3"/>
      <c r="F15" s="70">
        <f>'ADJ DETAIL INPUT'!E14</f>
        <v>140625</v>
      </c>
      <c r="G15" s="70">
        <f>H15-F15</f>
        <v>-51873</v>
      </c>
      <c r="H15" s="70">
        <f>'ADJ DETAIL INPUT'!AN14</f>
        <v>88752</v>
      </c>
      <c r="I15" s="423">
        <f>CF!J12</f>
        <v>3762</v>
      </c>
      <c r="J15" s="70">
        <f>H15+I15</f>
        <v>92514</v>
      </c>
      <c r="AE15" s="361"/>
      <c r="AF15" s="362"/>
    </row>
    <row r="16" spans="1:43">
      <c r="A16" s="2">
        <v>2</v>
      </c>
      <c r="B16" s="1"/>
      <c r="C16" s="4" t="s">
        <v>34</v>
      </c>
      <c r="D16" s="4"/>
      <c r="E16" s="4"/>
      <c r="F16" s="304">
        <f>'ADJ DETAIL INPUT'!E15</f>
        <v>5088</v>
      </c>
      <c r="G16" s="304">
        <f>H16-F16</f>
        <v>-133</v>
      </c>
      <c r="H16" s="304">
        <f>'ADJ DETAIL INPUT'!AN15</f>
        <v>4955</v>
      </c>
      <c r="I16" s="304"/>
      <c r="J16" s="304">
        <f>H16+I16</f>
        <v>4955</v>
      </c>
      <c r="AE16" s="361"/>
      <c r="AF16" s="362"/>
    </row>
    <row r="17" spans="1:32">
      <c r="A17" s="2">
        <v>3</v>
      </c>
      <c r="B17" s="1"/>
      <c r="C17" s="4" t="s">
        <v>35</v>
      </c>
      <c r="D17" s="4"/>
      <c r="E17" s="4"/>
      <c r="F17" s="306">
        <f>'ADJ DETAIL INPUT'!E16</f>
        <v>50681</v>
      </c>
      <c r="G17" s="306">
        <f>H17-F17</f>
        <v>-50348</v>
      </c>
      <c r="H17" s="306">
        <f>'ADJ DETAIL INPUT'!AN16</f>
        <v>333</v>
      </c>
      <c r="I17" s="306"/>
      <c r="J17" s="306">
        <f>H17+I17</f>
        <v>333</v>
      </c>
      <c r="AE17" s="361"/>
      <c r="AF17" s="362"/>
    </row>
    <row r="18" spans="1:32">
      <c r="A18" s="2">
        <v>4</v>
      </c>
      <c r="B18" s="1" t="s">
        <v>36</v>
      </c>
      <c r="C18" s="4"/>
      <c r="D18" s="4"/>
      <c r="E18" s="4"/>
      <c r="F18" s="304">
        <f>SUM(F15:F17)</f>
        <v>196394</v>
      </c>
      <c r="G18" s="304">
        <f t="shared" ref="G18:J18" si="0">SUM(G15:G17)</f>
        <v>-102354</v>
      </c>
      <c r="H18" s="304">
        <f t="shared" si="0"/>
        <v>94040</v>
      </c>
      <c r="I18" s="304">
        <f t="shared" si="0"/>
        <v>3762</v>
      </c>
      <c r="J18" s="304">
        <f t="shared" si="0"/>
        <v>97802</v>
      </c>
      <c r="AE18" s="361"/>
      <c r="AF18" s="362"/>
    </row>
    <row r="19" spans="1:32" ht="4.5" customHeight="1">
      <c r="A19" s="2"/>
      <c r="B19" s="1"/>
      <c r="C19" s="4"/>
      <c r="D19" s="4"/>
      <c r="E19" s="4"/>
      <c r="F19" s="304"/>
      <c r="G19" s="304"/>
      <c r="H19" s="304"/>
      <c r="I19" s="304"/>
      <c r="J19" s="304"/>
      <c r="AE19" s="361"/>
      <c r="AF19" s="362"/>
    </row>
    <row r="20" spans="1:32">
      <c r="A20" s="2"/>
      <c r="B20" s="1" t="s">
        <v>37</v>
      </c>
      <c r="C20" s="4"/>
      <c r="D20" s="4"/>
      <c r="E20" s="4"/>
      <c r="F20" s="304"/>
      <c r="G20" s="304"/>
      <c r="H20" s="304"/>
      <c r="I20" s="304"/>
      <c r="J20" s="304"/>
      <c r="AE20" s="361"/>
      <c r="AF20" s="362"/>
    </row>
    <row r="21" spans="1:32">
      <c r="A21" s="2"/>
      <c r="B21" s="1"/>
      <c r="C21" s="4" t="s">
        <v>240</v>
      </c>
      <c r="D21" s="4"/>
      <c r="E21" s="4"/>
      <c r="F21" s="304"/>
      <c r="G21" s="304"/>
      <c r="H21" s="304"/>
      <c r="I21" s="304"/>
      <c r="J21" s="304"/>
      <c r="AE21" s="361"/>
      <c r="AF21" s="362"/>
    </row>
    <row r="22" spans="1:32">
      <c r="A22" s="2">
        <v>5</v>
      </c>
      <c r="B22" s="1"/>
      <c r="C22" s="4"/>
      <c r="D22" s="4" t="s">
        <v>38</v>
      </c>
      <c r="E22" s="4"/>
      <c r="F22" s="304">
        <f>'ADJ DETAIL INPUT'!E21</f>
        <v>90669</v>
      </c>
      <c r="G22" s="304">
        <f>H22-F22</f>
        <v>-90669</v>
      </c>
      <c r="H22" s="304">
        <f>'ADJ DETAIL INPUT'!AN21</f>
        <v>0</v>
      </c>
      <c r="I22" s="304"/>
      <c r="J22" s="304">
        <f>H22+I22</f>
        <v>0</v>
      </c>
      <c r="AE22" s="361"/>
      <c r="AF22" s="362"/>
    </row>
    <row r="23" spans="1:32">
      <c r="A23" s="2">
        <v>6</v>
      </c>
      <c r="B23" s="1"/>
      <c r="C23" s="4"/>
      <c r="D23" s="4" t="s">
        <v>39</v>
      </c>
      <c r="E23" s="4"/>
      <c r="F23" s="304">
        <f>'ADJ DETAIL INPUT'!E22</f>
        <v>955</v>
      </c>
      <c r="G23" s="304">
        <f>H23-F23</f>
        <v>30</v>
      </c>
      <c r="H23" s="304">
        <f>'ADJ DETAIL INPUT'!AN22</f>
        <v>985</v>
      </c>
      <c r="I23" s="304"/>
      <c r="J23" s="304">
        <f>H23+I23</f>
        <v>985</v>
      </c>
      <c r="AE23" s="361"/>
      <c r="AF23" s="362"/>
    </row>
    <row r="24" spans="1:32">
      <c r="A24" s="2">
        <v>7</v>
      </c>
      <c r="B24" s="1"/>
      <c r="C24" s="4"/>
      <c r="D24" s="4" t="s">
        <v>40</v>
      </c>
      <c r="E24" s="4"/>
      <c r="F24" s="306">
        <f>'ADJ DETAIL INPUT'!E23</f>
        <v>-292</v>
      </c>
      <c r="G24" s="306">
        <f>H24-F24</f>
        <v>292</v>
      </c>
      <c r="H24" s="306">
        <f>'ADJ DETAIL INPUT'!AN23</f>
        <v>0</v>
      </c>
      <c r="I24" s="306"/>
      <c r="J24" s="306">
        <f>H24+I24</f>
        <v>0</v>
      </c>
      <c r="AE24" s="361"/>
      <c r="AF24" s="362"/>
    </row>
    <row r="25" spans="1:32">
      <c r="A25" s="2">
        <v>8</v>
      </c>
      <c r="B25" s="1"/>
      <c r="C25" s="4"/>
      <c r="D25" s="4"/>
      <c r="E25" s="4" t="s">
        <v>41</v>
      </c>
      <c r="F25" s="304">
        <f>SUM(F22:F24)</f>
        <v>91332</v>
      </c>
      <c r="G25" s="304">
        <f t="shared" ref="G25:J25" si="1">SUM(G22:G24)</f>
        <v>-90347</v>
      </c>
      <c r="H25" s="304">
        <f t="shared" si="1"/>
        <v>985</v>
      </c>
      <c r="I25" s="304">
        <f t="shared" si="1"/>
        <v>0</v>
      </c>
      <c r="J25" s="304">
        <f t="shared" si="1"/>
        <v>985</v>
      </c>
      <c r="AE25" s="361"/>
      <c r="AF25" s="362"/>
    </row>
    <row r="26" spans="1:32" ht="5.25" customHeight="1">
      <c r="A26" s="158"/>
      <c r="B26" s="1"/>
      <c r="C26" s="4"/>
      <c r="D26" s="4"/>
      <c r="E26" s="4"/>
      <c r="F26" s="304"/>
      <c r="G26" s="304"/>
      <c r="H26" s="305"/>
      <c r="I26" s="304"/>
      <c r="J26" s="304"/>
      <c r="AE26" s="361"/>
      <c r="AF26" s="362"/>
    </row>
    <row r="27" spans="1:32">
      <c r="A27" s="2"/>
      <c r="B27" s="1"/>
      <c r="C27" s="4" t="s">
        <v>42</v>
      </c>
      <c r="D27" s="4"/>
      <c r="E27" s="4"/>
      <c r="F27" s="304"/>
      <c r="G27" s="304"/>
      <c r="H27" s="304"/>
      <c r="I27" s="304"/>
      <c r="J27" s="304"/>
      <c r="AE27" s="361"/>
      <c r="AF27" s="362"/>
    </row>
    <row r="28" spans="1:32">
      <c r="A28" s="2">
        <v>9</v>
      </c>
      <c r="B28" s="1"/>
      <c r="C28" s="4"/>
      <c r="D28" s="4" t="s">
        <v>43</v>
      </c>
      <c r="E28" s="4"/>
      <c r="F28" s="304">
        <f>'ADJ DETAIL INPUT'!E27</f>
        <v>1532</v>
      </c>
      <c r="G28" s="304">
        <f>H28-F28</f>
        <v>0</v>
      </c>
      <c r="H28" s="304">
        <f>'ADJ DETAIL INPUT'!AN27</f>
        <v>1532</v>
      </c>
      <c r="I28" s="304"/>
      <c r="J28" s="304">
        <f>H28+I28</f>
        <v>1532</v>
      </c>
      <c r="AE28" s="361"/>
      <c r="AF28" s="362"/>
    </row>
    <row r="29" spans="1:32">
      <c r="A29" s="2">
        <v>10</v>
      </c>
      <c r="B29" s="1"/>
      <c r="C29" s="4"/>
      <c r="D29" s="4" t="s">
        <v>44</v>
      </c>
      <c r="E29" s="4"/>
      <c r="F29" s="304">
        <f>'ADJ DETAIL INPUT'!E28</f>
        <v>627</v>
      </c>
      <c r="G29" s="304">
        <f>H29-F29</f>
        <v>-201</v>
      </c>
      <c r="H29" s="304">
        <f>'ADJ DETAIL INPUT'!AN28</f>
        <v>426</v>
      </c>
      <c r="I29" s="304"/>
      <c r="J29" s="304">
        <f>H29+I29</f>
        <v>426</v>
      </c>
      <c r="AE29" s="361"/>
      <c r="AF29" s="362"/>
    </row>
    <row r="30" spans="1:32">
      <c r="A30" s="342">
        <v>11</v>
      </c>
      <c r="B30" s="1"/>
      <c r="C30" s="4"/>
      <c r="D30" s="4" t="s">
        <v>21</v>
      </c>
      <c r="E30" s="4"/>
      <c r="F30" s="306">
        <f>'ADJ DETAIL INPUT'!E29</f>
        <v>302</v>
      </c>
      <c r="G30" s="306">
        <f>H30-F30</f>
        <v>-65</v>
      </c>
      <c r="H30" s="306">
        <f>'ADJ DETAIL INPUT'!AN29</f>
        <v>237</v>
      </c>
      <c r="I30" s="306"/>
      <c r="J30" s="306">
        <f>H30+I30</f>
        <v>237</v>
      </c>
      <c r="AE30" s="361"/>
      <c r="AF30" s="362"/>
    </row>
    <row r="31" spans="1:32">
      <c r="A31" s="2">
        <v>12</v>
      </c>
      <c r="B31" s="1"/>
      <c r="C31" s="4"/>
      <c r="D31" s="4"/>
      <c r="E31" s="4" t="s">
        <v>45</v>
      </c>
      <c r="F31" s="304">
        <f>SUM(F28:F30)</f>
        <v>2461</v>
      </c>
      <c r="G31" s="304">
        <f>SUM(G28:G30)</f>
        <v>-266</v>
      </c>
      <c r="H31" s="304">
        <f>SUM(H28:H30)</f>
        <v>2195</v>
      </c>
      <c r="I31" s="304">
        <f>SUM(I28:I30)</f>
        <v>0</v>
      </c>
      <c r="J31" s="304">
        <f>SUM(J28:J30)</f>
        <v>2195</v>
      </c>
      <c r="AE31" s="361"/>
      <c r="AF31" s="362"/>
    </row>
    <row r="32" spans="1:32" ht="3" customHeight="1">
      <c r="A32" s="158"/>
      <c r="B32" s="1"/>
      <c r="C32" s="4"/>
      <c r="D32" s="4"/>
      <c r="E32" s="4"/>
      <c r="F32" s="304"/>
      <c r="G32" s="304"/>
      <c r="H32" s="305"/>
      <c r="I32" s="304"/>
      <c r="J32" s="304"/>
      <c r="AE32" s="361"/>
      <c r="AF32" s="362"/>
    </row>
    <row r="33" spans="1:32">
      <c r="A33" s="2"/>
      <c r="B33" s="1"/>
      <c r="C33" s="4" t="s">
        <v>46</v>
      </c>
      <c r="D33" s="4"/>
      <c r="E33" s="4"/>
      <c r="F33" s="304"/>
      <c r="G33" s="304"/>
      <c r="H33" s="304"/>
      <c r="I33" s="304"/>
      <c r="J33" s="304"/>
      <c r="AE33" s="361"/>
      <c r="AF33" s="362"/>
    </row>
    <row r="34" spans="1:32">
      <c r="A34" s="2">
        <v>13</v>
      </c>
      <c r="B34" s="1"/>
      <c r="C34" s="4"/>
      <c r="D34" s="4" t="s">
        <v>43</v>
      </c>
      <c r="E34" s="4"/>
      <c r="F34" s="304">
        <f>'ADJ DETAIL INPUT'!E33</f>
        <v>12316</v>
      </c>
      <c r="G34" s="304">
        <f>H34-F34</f>
        <v>335</v>
      </c>
      <c r="H34" s="304">
        <f>'ADJ DETAIL INPUT'!AN33</f>
        <v>12651</v>
      </c>
      <c r="I34" s="304"/>
      <c r="J34" s="304">
        <f>H34+I34</f>
        <v>12651</v>
      </c>
      <c r="AE34" s="361"/>
      <c r="AF34" s="362"/>
    </row>
    <row r="35" spans="1:32">
      <c r="A35" s="2">
        <v>14</v>
      </c>
      <c r="B35" s="1"/>
      <c r="C35" s="4"/>
      <c r="D35" s="4" t="s">
        <v>44</v>
      </c>
      <c r="E35" s="4"/>
      <c r="F35" s="304">
        <f>'ADJ DETAIL INPUT'!E34</f>
        <v>11642</v>
      </c>
      <c r="G35" s="304">
        <f>H35-F35</f>
        <v>-177</v>
      </c>
      <c r="H35" s="304">
        <f>'ADJ DETAIL INPUT'!AN34</f>
        <v>11465</v>
      </c>
      <c r="I35" s="304"/>
      <c r="J35" s="304">
        <f>H35+I35</f>
        <v>11465</v>
      </c>
      <c r="AE35" s="361"/>
      <c r="AF35" s="362"/>
    </row>
    <row r="36" spans="1:32">
      <c r="A36" s="2">
        <v>15</v>
      </c>
      <c r="B36" s="1"/>
      <c r="C36" s="4"/>
      <c r="D36" s="4" t="s">
        <v>21</v>
      </c>
      <c r="E36" s="4"/>
      <c r="F36" s="307">
        <f>'ADJ DETAIL INPUT'!E35</f>
        <v>14128</v>
      </c>
      <c r="G36" s="306">
        <f>H36-F36</f>
        <v>-6701</v>
      </c>
      <c r="H36" s="306">
        <f>'ADJ DETAIL INPUT'!AN35</f>
        <v>7427</v>
      </c>
      <c r="I36" s="306">
        <f>CF!J19</f>
        <v>144</v>
      </c>
      <c r="J36" s="306">
        <f>H36+I36</f>
        <v>7571</v>
      </c>
      <c r="AE36" s="361"/>
      <c r="AF36" s="362"/>
    </row>
    <row r="37" spans="1:32">
      <c r="A37" s="2">
        <v>16</v>
      </c>
      <c r="B37" s="1"/>
      <c r="C37" s="4"/>
      <c r="D37" s="4"/>
      <c r="E37" s="4" t="s">
        <v>47</v>
      </c>
      <c r="F37" s="304">
        <f>SUM(F34:F36)</f>
        <v>38086</v>
      </c>
      <c r="G37" s="304">
        <f t="shared" ref="G37:J37" si="2">SUM(G34:G36)</f>
        <v>-6543</v>
      </c>
      <c r="H37" s="304">
        <f t="shared" si="2"/>
        <v>31543</v>
      </c>
      <c r="I37" s="304">
        <f t="shared" si="2"/>
        <v>144</v>
      </c>
      <c r="J37" s="304">
        <f t="shared" si="2"/>
        <v>31687</v>
      </c>
      <c r="AE37" s="361"/>
      <c r="AF37" s="362"/>
    </row>
    <row r="38" spans="1:32" ht="5.25" customHeight="1">
      <c r="A38" s="2"/>
      <c r="B38" s="1"/>
      <c r="C38" s="4"/>
      <c r="D38" s="4"/>
      <c r="E38" s="4"/>
      <c r="F38" s="304"/>
      <c r="G38" s="304"/>
      <c r="H38" s="304"/>
      <c r="I38" s="304"/>
      <c r="J38" s="304"/>
      <c r="AE38" s="361"/>
      <c r="AF38" s="362"/>
    </row>
    <row r="39" spans="1:32">
      <c r="A39" s="2">
        <v>17</v>
      </c>
      <c r="B39" s="1" t="s">
        <v>48</v>
      </c>
      <c r="C39" s="4"/>
      <c r="D39" s="4"/>
      <c r="E39" s="4"/>
      <c r="F39" s="304">
        <f>'ADJ DETAIL INPUT'!E38</f>
        <v>7234</v>
      </c>
      <c r="G39" s="304">
        <f>H39-F39</f>
        <v>-273</v>
      </c>
      <c r="H39" s="304">
        <f>'ADJ DETAIL INPUT'!AN38</f>
        <v>6961</v>
      </c>
      <c r="I39" s="304">
        <f>CF!J15</f>
        <v>14</v>
      </c>
      <c r="J39" s="304">
        <f>H39+I39</f>
        <v>6975</v>
      </c>
      <c r="AE39" s="361"/>
      <c r="AF39" s="362"/>
    </row>
    <row r="40" spans="1:32">
      <c r="A40" s="2">
        <v>18</v>
      </c>
      <c r="B40" s="1" t="s">
        <v>49</v>
      </c>
      <c r="C40" s="4"/>
      <c r="D40" s="4"/>
      <c r="E40" s="4"/>
      <c r="F40" s="304">
        <f>'ADJ DETAIL INPUT'!E39</f>
        <v>8093</v>
      </c>
      <c r="G40" s="304">
        <f>H40-F40</f>
        <v>-6844</v>
      </c>
      <c r="H40" s="304">
        <f>'ADJ DETAIL INPUT'!AN39</f>
        <v>1249</v>
      </c>
      <c r="I40" s="304"/>
      <c r="J40" s="304">
        <f>H40+I40</f>
        <v>1249</v>
      </c>
      <c r="AE40" s="361"/>
      <c r="AF40" s="362"/>
    </row>
    <row r="41" spans="1:32">
      <c r="A41" s="2">
        <v>19</v>
      </c>
      <c r="B41" s="1" t="s">
        <v>50</v>
      </c>
      <c r="C41" s="4"/>
      <c r="D41" s="4"/>
      <c r="E41" s="4"/>
      <c r="F41" s="304">
        <f>'ADJ DETAIL INPUT'!E40</f>
        <v>0</v>
      </c>
      <c r="G41" s="304">
        <f>H41-F41</f>
        <v>0</v>
      </c>
      <c r="H41" s="304">
        <f>'ADJ DETAIL INPUT'!AN40</f>
        <v>0</v>
      </c>
      <c r="I41" s="304"/>
      <c r="J41" s="304">
        <f>H41+I41</f>
        <v>0</v>
      </c>
      <c r="AE41" s="361"/>
      <c r="AF41" s="362"/>
    </row>
    <row r="42" spans="1:32" ht="4.5" customHeight="1">
      <c r="A42" s="158"/>
      <c r="B42" s="1"/>
      <c r="C42" s="4"/>
      <c r="D42" s="4"/>
      <c r="E42" s="4"/>
      <c r="F42" s="304"/>
      <c r="G42" s="304"/>
      <c r="H42" s="308"/>
      <c r="I42" s="304"/>
      <c r="J42" s="304"/>
      <c r="AE42" s="361"/>
      <c r="AF42" s="362"/>
    </row>
    <row r="43" spans="1:32">
      <c r="A43" s="2"/>
      <c r="B43" s="1" t="s">
        <v>51</v>
      </c>
      <c r="C43" s="4"/>
      <c r="D43" s="4"/>
      <c r="E43" s="4"/>
      <c r="F43" s="304"/>
      <c r="G43" s="304"/>
      <c r="H43" s="304"/>
      <c r="I43" s="304"/>
      <c r="J43" s="304"/>
      <c r="AE43" s="361"/>
      <c r="AF43" s="362"/>
    </row>
    <row r="44" spans="1:32">
      <c r="A44" s="2">
        <v>20</v>
      </c>
      <c r="B44" s="1"/>
      <c r="C44" s="4" t="s">
        <v>43</v>
      </c>
      <c r="D44" s="4"/>
      <c r="E44" s="4"/>
      <c r="F44" s="304">
        <f>'ADJ DETAIL INPUT'!E43</f>
        <v>15045</v>
      </c>
      <c r="G44" s="304">
        <f>H44-F44</f>
        <v>-751</v>
      </c>
      <c r="H44" s="304">
        <f>'ADJ DETAIL INPUT'!AN43</f>
        <v>14294</v>
      </c>
      <c r="I44" s="304">
        <f>CF!J17</f>
        <v>8</v>
      </c>
      <c r="J44" s="304">
        <f>H44+I44</f>
        <v>14302</v>
      </c>
      <c r="AE44" s="361"/>
      <c r="AF44" s="362"/>
    </row>
    <row r="45" spans="1:32">
      <c r="A45" s="2">
        <v>21</v>
      </c>
      <c r="B45" s="1"/>
      <c r="C45" s="4" t="s">
        <v>200</v>
      </c>
      <c r="D45" s="4"/>
      <c r="E45" s="4"/>
      <c r="F45" s="304">
        <f>'ADJ DETAIL INPUT'!E44</f>
        <v>8492</v>
      </c>
      <c r="G45" s="304">
        <f>H45-F45</f>
        <v>418</v>
      </c>
      <c r="H45" s="304">
        <f>'ADJ DETAIL INPUT'!AN44</f>
        <v>8910</v>
      </c>
      <c r="I45" s="304"/>
      <c r="J45" s="304">
        <f>H45+I45</f>
        <v>8910</v>
      </c>
      <c r="AE45" s="361"/>
      <c r="AF45" s="362"/>
    </row>
    <row r="46" spans="1:32">
      <c r="A46" s="158">
        <v>22</v>
      </c>
      <c r="B46" s="1"/>
      <c r="C46" s="9" t="s">
        <v>411</v>
      </c>
      <c r="D46" s="4"/>
      <c r="E46" s="4"/>
      <c r="F46" s="304">
        <f>'ADJ DETAIL INPUT'!E45</f>
        <v>-1559</v>
      </c>
      <c r="G46" s="304">
        <f>H46-F46</f>
        <v>3664</v>
      </c>
      <c r="H46" s="304">
        <f>'ADJ DETAIL INPUT'!AN45</f>
        <v>2105</v>
      </c>
      <c r="I46" s="304"/>
      <c r="J46" s="304">
        <f>H46+I46</f>
        <v>2105</v>
      </c>
      <c r="AE46" s="361"/>
      <c r="AF46" s="362"/>
    </row>
    <row r="47" spans="1:32">
      <c r="A47" s="2">
        <v>23</v>
      </c>
      <c r="B47" s="1"/>
      <c r="C47" s="4" t="s">
        <v>21</v>
      </c>
      <c r="D47" s="4"/>
      <c r="E47" s="4"/>
      <c r="F47" s="306">
        <f>'ADJ DETAIL INPUT'!E46</f>
        <v>0</v>
      </c>
      <c r="G47" s="306">
        <f>H47-F47</f>
        <v>0</v>
      </c>
      <c r="H47" s="304">
        <f>'ADJ DETAIL INPUT'!AN46</f>
        <v>0</v>
      </c>
      <c r="I47" s="306"/>
      <c r="J47" s="306">
        <f>H47+I47</f>
        <v>0</v>
      </c>
      <c r="AE47" s="361"/>
      <c r="AF47" s="362"/>
    </row>
    <row r="48" spans="1:32">
      <c r="A48" s="2">
        <v>24</v>
      </c>
      <c r="B48" s="1"/>
      <c r="C48" s="4"/>
      <c r="D48" s="4" t="s">
        <v>52</v>
      </c>
      <c r="E48" s="36"/>
      <c r="F48" s="309">
        <f>SUM(F44:F47)</f>
        <v>21978</v>
      </c>
      <c r="G48" s="309">
        <f t="shared" ref="G48:J48" si="3">SUM(G44:G47)</f>
        <v>3331</v>
      </c>
      <c r="H48" s="309">
        <f t="shared" si="3"/>
        <v>25309</v>
      </c>
      <c r="I48" s="309">
        <f t="shared" si="3"/>
        <v>8</v>
      </c>
      <c r="J48" s="309">
        <f t="shared" si="3"/>
        <v>25317</v>
      </c>
      <c r="AE48" s="361"/>
      <c r="AF48" s="362"/>
    </row>
    <row r="49" spans="1:32">
      <c r="A49" s="2">
        <v>25</v>
      </c>
      <c r="B49" s="1" t="s">
        <v>53</v>
      </c>
      <c r="C49" s="4"/>
      <c r="D49" s="4"/>
      <c r="E49" s="4"/>
      <c r="F49" s="306">
        <f>F48+F37+F31+F25+F39+F40+F41</f>
        <v>169184</v>
      </c>
      <c r="G49" s="306">
        <f>G48+G37+G31+G25+G39+G40+G41</f>
        <v>-100942</v>
      </c>
      <c r="H49" s="306">
        <f>H48+H37+H31+H25+H39+H40+H41</f>
        <v>68242</v>
      </c>
      <c r="I49" s="306">
        <f>I48+I37+I31+I25+I39+I40+I41</f>
        <v>166</v>
      </c>
      <c r="J49" s="306">
        <f>J48+J37+J31+J25+J39+J40+J41</f>
        <v>68408</v>
      </c>
      <c r="AE49" s="361"/>
      <c r="AF49" s="362"/>
    </row>
    <row r="50" spans="1:32" ht="8.25" customHeight="1">
      <c r="A50" s="2"/>
      <c r="B50" s="1"/>
      <c r="C50" s="4"/>
      <c r="D50" s="4"/>
      <c r="E50" s="4"/>
      <c r="F50" s="304"/>
      <c r="G50" s="304"/>
      <c r="H50" s="304"/>
      <c r="I50" s="304"/>
      <c r="J50" s="304"/>
      <c r="AE50" s="361"/>
      <c r="AF50" s="362"/>
    </row>
    <row r="51" spans="1:32">
      <c r="A51" s="2">
        <v>26</v>
      </c>
      <c r="B51" s="1" t="s">
        <v>54</v>
      </c>
      <c r="C51" s="4"/>
      <c r="D51" s="4"/>
      <c r="E51" s="4"/>
      <c r="F51" s="304">
        <f>F18-F49</f>
        <v>27210</v>
      </c>
      <c r="G51" s="304">
        <f>G18-G49</f>
        <v>-1412</v>
      </c>
      <c r="H51" s="304">
        <f>H18-H49</f>
        <v>25798</v>
      </c>
      <c r="I51" s="304">
        <f>I18-I49</f>
        <v>3596</v>
      </c>
      <c r="J51" s="304">
        <f>J18-J49</f>
        <v>29394</v>
      </c>
      <c r="AE51" s="361"/>
      <c r="AF51" s="362"/>
    </row>
    <row r="52" spans="1:32" ht="6.75" customHeight="1">
      <c r="A52" s="2"/>
      <c r="B52" s="1"/>
      <c r="C52" s="4"/>
      <c r="D52" s="4"/>
      <c r="E52" s="4"/>
      <c r="F52" s="304"/>
      <c r="G52" s="304"/>
      <c r="H52" s="304"/>
      <c r="I52" s="304"/>
      <c r="J52" s="304"/>
      <c r="AE52" s="361"/>
      <c r="AF52" s="362"/>
    </row>
    <row r="53" spans="1:32">
      <c r="A53" s="2"/>
      <c r="B53" s="1" t="s">
        <v>55</v>
      </c>
      <c r="C53" s="4"/>
      <c r="D53" s="4"/>
      <c r="E53" s="4"/>
      <c r="F53" s="304"/>
      <c r="G53" s="304"/>
      <c r="H53" s="304"/>
      <c r="I53" s="304"/>
      <c r="J53" s="304"/>
      <c r="N53" s="420"/>
      <c r="AE53" s="361"/>
      <c r="AF53" s="362"/>
    </row>
    <row r="54" spans="1:32">
      <c r="A54" s="2">
        <v>27</v>
      </c>
      <c r="B54" s="1"/>
      <c r="C54" s="4" t="s">
        <v>56</v>
      </c>
      <c r="D54" s="4"/>
      <c r="E54" s="4"/>
      <c r="F54" s="304">
        <f>'ADJ DETAIL INPUT'!E53</f>
        <v>2557</v>
      </c>
      <c r="G54" s="304">
        <f>H54-F54</f>
        <v>-164.73000000000002</v>
      </c>
      <c r="H54" s="304">
        <f>'ADJ DETAIL INPUT'!AN53</f>
        <v>2392.27</v>
      </c>
      <c r="I54" s="304">
        <f>CF!J25</f>
        <v>755</v>
      </c>
      <c r="J54" s="304">
        <f>H54+I54</f>
        <v>3147.27</v>
      </c>
      <c r="N54" s="109"/>
      <c r="Q54" s="109"/>
      <c r="AE54" s="361"/>
      <c r="AF54" s="362"/>
    </row>
    <row r="55" spans="1:32">
      <c r="A55" s="158">
        <v>28</v>
      </c>
      <c r="B55" s="1"/>
      <c r="C55" s="202" t="s">
        <v>181</v>
      </c>
      <c r="D55" s="4"/>
      <c r="E55" s="4"/>
      <c r="F55" s="304">
        <f>'ADJ DETAIL INPUT'!E54</f>
        <v>0</v>
      </c>
      <c r="G55" s="304">
        <f>H55-F55</f>
        <v>-143.74924200000001</v>
      </c>
      <c r="H55" s="304">
        <f>'ADJ DETAIL INPUT'!AN54</f>
        <v>-143.74924200000001</v>
      </c>
      <c r="I55" s="304">
        <f>CF!J26</f>
        <v>0</v>
      </c>
      <c r="J55" s="304">
        <f>H55+I55</f>
        <v>-143.74924200000001</v>
      </c>
      <c r="N55" s="420"/>
      <c r="AE55" s="361"/>
      <c r="AF55" s="362"/>
    </row>
    <row r="56" spans="1:32">
      <c r="A56" s="2">
        <v>29</v>
      </c>
      <c r="B56" s="1"/>
      <c r="C56" s="4" t="s">
        <v>57</v>
      </c>
      <c r="D56" s="4"/>
      <c r="E56" s="4"/>
      <c r="F56" s="304">
        <f>'ADJ DETAIL INPUT'!E55</f>
        <v>54</v>
      </c>
      <c r="G56" s="304">
        <f>H56-F56</f>
        <v>339</v>
      </c>
      <c r="H56" s="304">
        <f>'ADJ DETAIL INPUT'!AN55</f>
        <v>393</v>
      </c>
      <c r="I56" s="304"/>
      <c r="J56" s="304">
        <f>H56+I56</f>
        <v>393</v>
      </c>
      <c r="AE56" s="361"/>
      <c r="AF56" s="362"/>
    </row>
    <row r="57" spans="1:32">
      <c r="A57" s="2">
        <v>30</v>
      </c>
      <c r="B57" s="1"/>
      <c r="C57" s="4" t="s">
        <v>58</v>
      </c>
      <c r="D57" s="4"/>
      <c r="E57" s="4"/>
      <c r="F57" s="306">
        <f>'ADJ DETAIL INPUT'!E56</f>
        <v>-15</v>
      </c>
      <c r="G57" s="306">
        <f>H57-F57</f>
        <v>0</v>
      </c>
      <c r="H57" s="306">
        <f>'ADJ DETAIL INPUT'!AN56</f>
        <v>-15</v>
      </c>
      <c r="I57" s="306"/>
      <c r="J57" s="306">
        <f>H57+I57</f>
        <v>-15</v>
      </c>
      <c r="N57" s="160"/>
      <c r="AE57" s="361"/>
      <c r="AF57" s="362"/>
    </row>
    <row r="58" spans="1:32" ht="6" customHeight="1">
      <c r="A58" s="2"/>
      <c r="B58" s="1"/>
      <c r="C58" s="1"/>
      <c r="D58" s="1"/>
      <c r="E58" s="1"/>
      <c r="F58" s="304"/>
      <c r="G58" s="304"/>
      <c r="H58" s="304"/>
      <c r="I58" s="310"/>
      <c r="J58" s="304"/>
      <c r="AE58" s="361"/>
      <c r="AF58" s="362"/>
    </row>
    <row r="59" spans="1:32" ht="13.5" thickBot="1">
      <c r="A59" s="2">
        <v>31</v>
      </c>
      <c r="B59" s="3" t="s">
        <v>59</v>
      </c>
      <c r="C59" s="3"/>
      <c r="D59" s="3"/>
      <c r="E59" s="3"/>
      <c r="F59" s="311">
        <f>F51-SUM(F54:F57)</f>
        <v>24614</v>
      </c>
      <c r="G59" s="311">
        <f>G51-SUM(G54:G57)</f>
        <v>-1442.5207580000001</v>
      </c>
      <c r="H59" s="311">
        <f>H51-SUM(H54:H57)</f>
        <v>23171.479242000001</v>
      </c>
      <c r="I59" s="311">
        <f>I51-SUM(I54:I57)</f>
        <v>2841</v>
      </c>
      <c r="J59" s="311">
        <f>J51-SUM(J54:J57)</f>
        <v>26012.479242000001</v>
      </c>
      <c r="N59" s="135"/>
      <c r="AE59" s="361"/>
      <c r="AF59" s="362"/>
    </row>
    <row r="60" spans="1:32" ht="7.5" customHeight="1" thickTop="1">
      <c r="A60" s="2"/>
      <c r="B60" s="1"/>
      <c r="C60" s="1"/>
      <c r="D60" s="1"/>
      <c r="E60" s="1"/>
      <c r="F60" s="304"/>
      <c r="G60" s="304"/>
      <c r="H60" s="304"/>
      <c r="I60" s="304"/>
      <c r="J60" s="304"/>
      <c r="AE60" s="361"/>
      <c r="AF60" s="362"/>
    </row>
    <row r="61" spans="1:32" hidden="1">
      <c r="A61" s="2"/>
      <c r="B61" s="1"/>
      <c r="C61" s="1"/>
      <c r="D61" s="1"/>
      <c r="E61" s="1"/>
      <c r="F61" s="304"/>
      <c r="G61" s="304"/>
      <c r="H61" s="304"/>
      <c r="I61" s="304"/>
      <c r="J61" s="304"/>
      <c r="AE61" s="361"/>
      <c r="AF61" s="362"/>
    </row>
    <row r="62" spans="1:32">
      <c r="A62" s="2"/>
      <c r="B62" s="1" t="s">
        <v>60</v>
      </c>
      <c r="C62" s="1"/>
      <c r="D62" s="1"/>
      <c r="E62" s="1"/>
      <c r="F62" s="304"/>
      <c r="G62" s="304"/>
      <c r="H62" s="304"/>
      <c r="I62" s="304"/>
      <c r="J62" s="304"/>
      <c r="AE62" s="361"/>
      <c r="AF62" s="362"/>
    </row>
    <row r="63" spans="1:32">
      <c r="A63" s="2">
        <v>32</v>
      </c>
      <c r="B63" s="4"/>
      <c r="C63" s="4" t="s">
        <v>42</v>
      </c>
      <c r="D63" s="4"/>
      <c r="E63" s="4"/>
      <c r="F63" s="304">
        <f>'ADJ DETAIL INPUT'!E62</f>
        <v>28442</v>
      </c>
      <c r="G63" s="304">
        <f>H63-F63</f>
        <v>600</v>
      </c>
      <c r="H63" s="304">
        <f>'ADJ DETAIL INPUT'!AN62</f>
        <v>29042</v>
      </c>
      <c r="I63" s="304"/>
      <c r="J63" s="304">
        <f>H63+I63</f>
        <v>29042</v>
      </c>
      <c r="AE63" s="361"/>
      <c r="AF63" s="362"/>
    </row>
    <row r="64" spans="1:32">
      <c r="A64" s="2">
        <v>33</v>
      </c>
      <c r="B64" s="4"/>
      <c r="C64" s="4" t="s">
        <v>61</v>
      </c>
      <c r="D64" s="4"/>
      <c r="E64" s="4"/>
      <c r="F64" s="304">
        <f>'ADJ DETAIL INPUT'!E63</f>
        <v>462636</v>
      </c>
      <c r="G64" s="304">
        <f>H64-F64</f>
        <v>17368</v>
      </c>
      <c r="H64" s="304">
        <f>'ADJ DETAIL INPUT'!AN63</f>
        <v>480004</v>
      </c>
      <c r="I64" s="304"/>
      <c r="J64" s="304">
        <f>H64+I64</f>
        <v>480004</v>
      </c>
      <c r="AE64" s="361"/>
      <c r="AF64" s="362"/>
    </row>
    <row r="65" spans="1:32">
      <c r="A65" s="2">
        <v>34</v>
      </c>
      <c r="B65" s="4"/>
      <c r="C65" s="4" t="s">
        <v>62</v>
      </c>
      <c r="D65" s="4"/>
      <c r="E65" s="4"/>
      <c r="F65" s="306">
        <f>'ADJ DETAIL INPUT'!E64</f>
        <v>114053</v>
      </c>
      <c r="G65" s="306">
        <f>H65-F65</f>
        <v>12935</v>
      </c>
      <c r="H65" s="306">
        <f>'ADJ DETAIL INPUT'!AN64</f>
        <v>126988</v>
      </c>
      <c r="I65" s="306"/>
      <c r="J65" s="306">
        <f>H65+I65</f>
        <v>126988</v>
      </c>
      <c r="AE65" s="361"/>
      <c r="AF65" s="362"/>
    </row>
    <row r="66" spans="1:32">
      <c r="A66" s="2">
        <v>35</v>
      </c>
      <c r="B66" s="4"/>
      <c r="C66" s="4"/>
      <c r="D66" s="4"/>
      <c r="E66" s="4" t="s">
        <v>63</v>
      </c>
      <c r="F66" s="312">
        <f>SUM(F63:F65)</f>
        <v>605131</v>
      </c>
      <c r="G66" s="312">
        <f t="shared" ref="G66:J66" si="4">SUM(G63:G65)</f>
        <v>30903</v>
      </c>
      <c r="H66" s="312">
        <f t="shared" si="4"/>
        <v>636034</v>
      </c>
      <c r="I66" s="312">
        <f t="shared" si="4"/>
        <v>0</v>
      </c>
      <c r="J66" s="312">
        <f t="shared" si="4"/>
        <v>636034</v>
      </c>
      <c r="AE66" s="361"/>
      <c r="AF66" s="362"/>
    </row>
    <row r="67" spans="1:32" ht="5.25" customHeight="1">
      <c r="A67" s="158"/>
      <c r="B67" s="4"/>
      <c r="C67" s="4"/>
      <c r="D67" s="4"/>
      <c r="E67" s="4"/>
      <c r="F67" s="312"/>
      <c r="G67" s="312"/>
      <c r="H67" s="312"/>
      <c r="I67" s="312"/>
      <c r="J67" s="312"/>
      <c r="AE67" s="361"/>
      <c r="AF67" s="362"/>
    </row>
    <row r="68" spans="1:32">
      <c r="A68" s="2"/>
      <c r="B68" s="4" t="s">
        <v>416</v>
      </c>
      <c r="C68" s="4"/>
      <c r="D68" s="4"/>
      <c r="E68" s="4"/>
      <c r="F68" s="304"/>
      <c r="G68" s="304"/>
      <c r="H68" s="304"/>
      <c r="I68" s="304"/>
      <c r="J68" s="304"/>
      <c r="AE68" s="361"/>
      <c r="AF68" s="362"/>
    </row>
    <row r="69" spans="1:32">
      <c r="A69" s="2">
        <v>36</v>
      </c>
      <c r="B69" s="4"/>
      <c r="C69" s="4" t="s">
        <v>42</v>
      </c>
      <c r="D69" s="4"/>
      <c r="E69" s="4"/>
      <c r="F69" s="304">
        <f>'ADJ DETAIL INPUT'!E68</f>
        <v>-11051</v>
      </c>
      <c r="G69" s="304">
        <f t="shared" ref="G69:G79" si="5">H69-F69</f>
        <v>-431</v>
      </c>
      <c r="H69" s="304">
        <f>'ADJ DETAIL INPUT'!AN68</f>
        <v>-11482</v>
      </c>
      <c r="I69" s="304"/>
      <c r="J69" s="304">
        <f t="shared" ref="J69:J79" si="6">H69+I69</f>
        <v>-11482</v>
      </c>
      <c r="AE69" s="361"/>
      <c r="AF69" s="362"/>
    </row>
    <row r="70" spans="1:32">
      <c r="A70" s="2">
        <v>37</v>
      </c>
      <c r="B70" s="4"/>
      <c r="C70" s="4" t="s">
        <v>61</v>
      </c>
      <c r="D70" s="4"/>
      <c r="E70" s="4"/>
      <c r="F70" s="304">
        <f>'ADJ DETAIL INPUT'!E69</f>
        <v>-145402</v>
      </c>
      <c r="G70" s="304">
        <f t="shared" si="5"/>
        <v>-2775</v>
      </c>
      <c r="H70" s="304">
        <f>'ADJ DETAIL INPUT'!AN69</f>
        <v>-148177</v>
      </c>
      <c r="I70" s="304"/>
      <c r="J70" s="304">
        <f t="shared" si="6"/>
        <v>-148177</v>
      </c>
      <c r="AE70" s="361"/>
      <c r="AF70" s="362"/>
    </row>
    <row r="71" spans="1:32">
      <c r="A71" s="2">
        <v>38</v>
      </c>
      <c r="B71" s="4"/>
      <c r="C71" s="4" t="s">
        <v>62</v>
      </c>
      <c r="D71" s="4"/>
      <c r="E71" s="4"/>
      <c r="F71" s="306">
        <f>'ADJ DETAIL INPUT'!E70</f>
        <v>-32354</v>
      </c>
      <c r="G71" s="306">
        <f t="shared" si="5"/>
        <v>-2338</v>
      </c>
      <c r="H71" s="304">
        <f>'ADJ DETAIL INPUT'!AN70</f>
        <v>-34692</v>
      </c>
      <c r="I71" s="306"/>
      <c r="J71" s="306">
        <f t="shared" si="6"/>
        <v>-34692</v>
      </c>
      <c r="AE71" s="361"/>
      <c r="AF71" s="362"/>
    </row>
    <row r="72" spans="1:32">
      <c r="A72" s="2">
        <v>39</v>
      </c>
      <c r="B72" s="4" t="s">
        <v>417</v>
      </c>
      <c r="C72" s="4"/>
      <c r="D72" s="4"/>
      <c r="E72" s="36"/>
      <c r="F72" s="309">
        <f>SUM(F69:F71)</f>
        <v>-188807</v>
      </c>
      <c r="G72" s="309">
        <f t="shared" ref="G72:J72" si="7">SUM(G69:G71)</f>
        <v>-5544</v>
      </c>
      <c r="H72" s="309">
        <f t="shared" si="7"/>
        <v>-194351</v>
      </c>
      <c r="I72" s="309">
        <f t="shared" si="7"/>
        <v>0</v>
      </c>
      <c r="J72" s="309">
        <f t="shared" si="7"/>
        <v>-194351</v>
      </c>
      <c r="AE72" s="361"/>
      <c r="AF72" s="362"/>
    </row>
    <row r="73" spans="1:32">
      <c r="A73" s="158">
        <v>40</v>
      </c>
      <c r="B73" s="202" t="s">
        <v>173</v>
      </c>
      <c r="C73" s="4"/>
      <c r="D73" s="4"/>
      <c r="E73" s="4"/>
      <c r="F73" s="312">
        <f>F66+F72</f>
        <v>416324</v>
      </c>
      <c r="G73" s="312">
        <f t="shared" ref="G73:J73" si="8">G66+G72</f>
        <v>25359</v>
      </c>
      <c r="H73" s="312">
        <f t="shared" si="8"/>
        <v>441683</v>
      </c>
      <c r="I73" s="312">
        <f t="shared" si="8"/>
        <v>0</v>
      </c>
      <c r="J73" s="312">
        <f t="shared" si="8"/>
        <v>441683</v>
      </c>
      <c r="AE73" s="361"/>
      <c r="AF73" s="362"/>
    </row>
    <row r="74" spans="1:32">
      <c r="A74" s="5">
        <v>41</v>
      </c>
      <c r="B74" s="6" t="s">
        <v>65</v>
      </c>
      <c r="C74" s="6"/>
      <c r="D74" s="6"/>
      <c r="E74" s="6"/>
      <c r="F74" s="306">
        <f>'ADJ DETAIL INPUT'!E73</f>
        <v>-88908</v>
      </c>
      <c r="G74" s="306">
        <f t="shared" si="5"/>
        <v>-373</v>
      </c>
      <c r="H74" s="306">
        <f>'ADJ DETAIL INPUT'!AN73</f>
        <v>-89281</v>
      </c>
      <c r="I74" s="306"/>
      <c r="J74" s="306">
        <f>H74+I74</f>
        <v>-89281</v>
      </c>
      <c r="AE74" s="361"/>
      <c r="AF74" s="362"/>
    </row>
    <row r="75" spans="1:32">
      <c r="A75" s="5">
        <v>42</v>
      </c>
      <c r="B75" s="6"/>
      <c r="C75" s="204" t="s">
        <v>203</v>
      </c>
      <c r="D75" s="6"/>
      <c r="E75" s="6"/>
      <c r="F75" s="304">
        <f>F73+F74</f>
        <v>327416</v>
      </c>
      <c r="G75" s="304">
        <f t="shared" ref="G75:J75" si="9">G73+G74</f>
        <v>24986</v>
      </c>
      <c r="H75" s="304">
        <f>H73+H74</f>
        <v>352402</v>
      </c>
      <c r="I75" s="304">
        <f t="shared" si="9"/>
        <v>0</v>
      </c>
      <c r="J75" s="304">
        <f t="shared" si="9"/>
        <v>352402</v>
      </c>
      <c r="AE75" s="361"/>
      <c r="AF75" s="362"/>
    </row>
    <row r="76" spans="1:32" ht="12" customHeight="1">
      <c r="A76" s="2">
        <v>43</v>
      </c>
      <c r="B76" s="353" t="s">
        <v>66</v>
      </c>
      <c r="C76" s="353"/>
      <c r="D76" s="353"/>
      <c r="E76" s="353"/>
      <c r="F76" s="354">
        <f>'ADJ DETAIL INPUT'!E75</f>
        <v>8355</v>
      </c>
      <c r="G76" s="354">
        <f t="shared" si="5"/>
        <v>0</v>
      </c>
      <c r="H76" s="304">
        <f>'ADJ DETAIL INPUT'!AN75</f>
        <v>8355</v>
      </c>
      <c r="I76" s="354"/>
      <c r="J76" s="354">
        <f t="shared" si="6"/>
        <v>8355</v>
      </c>
      <c r="AE76" s="361"/>
      <c r="AF76" s="362"/>
    </row>
    <row r="77" spans="1:32">
      <c r="A77" s="158">
        <v>44</v>
      </c>
      <c r="B77" s="353" t="s">
        <v>67</v>
      </c>
      <c r="C77" s="353"/>
      <c r="D77" s="353"/>
      <c r="E77" s="353"/>
      <c r="F77" s="354">
        <f>'ADJ DETAIL INPUT'!E76</f>
        <v>0</v>
      </c>
      <c r="G77" s="354">
        <f>H77-F77</f>
        <v>0</v>
      </c>
      <c r="H77" s="304">
        <f>'ADJ DETAIL INPUT'!AN76</f>
        <v>0</v>
      </c>
      <c r="I77" s="354"/>
      <c r="J77" s="354">
        <f t="shared" ref="J77" si="10">H77+I77</f>
        <v>0</v>
      </c>
      <c r="AE77" s="361"/>
      <c r="AF77" s="362"/>
    </row>
    <row r="78" spans="1:32">
      <c r="A78" s="158">
        <v>45</v>
      </c>
      <c r="B78" s="353" t="s">
        <v>418</v>
      </c>
      <c r="C78" s="353"/>
      <c r="D78" s="353"/>
      <c r="E78" s="353"/>
      <c r="F78" s="354">
        <f>'ADJ DETAIL INPUT'!E77</f>
        <v>5338</v>
      </c>
      <c r="G78" s="354">
        <f t="shared" ref="G78" si="11">H78-F78</f>
        <v>88</v>
      </c>
      <c r="H78" s="304">
        <f>'ADJ DETAIL INPUT'!AN77</f>
        <v>5426</v>
      </c>
      <c r="I78" s="354"/>
      <c r="J78" s="354">
        <f t="shared" ref="J78" si="12">H78+I78</f>
        <v>5426</v>
      </c>
      <c r="AE78" s="361"/>
      <c r="AF78" s="362"/>
    </row>
    <row r="79" spans="1:32">
      <c r="A79" s="2">
        <v>46</v>
      </c>
      <c r="B79" s="353" t="s">
        <v>494</v>
      </c>
      <c r="C79" s="353"/>
      <c r="D79" s="353"/>
      <c r="E79" s="353"/>
      <c r="F79" s="307">
        <f>'ADJ DETAIL INPUT'!E78</f>
        <v>7549</v>
      </c>
      <c r="G79" s="307">
        <f t="shared" si="5"/>
        <v>0</v>
      </c>
      <c r="H79" s="306">
        <f>'ADJ DETAIL INPUT'!AN78</f>
        <v>7549</v>
      </c>
      <c r="I79" s="307"/>
      <c r="J79" s="307">
        <f t="shared" si="6"/>
        <v>7549</v>
      </c>
      <c r="AE79" s="361"/>
      <c r="AF79" s="362"/>
    </row>
    <row r="80" spans="1:32" ht="3" customHeight="1">
      <c r="A80" s="2"/>
      <c r="B80" s="1"/>
      <c r="C80" s="1"/>
      <c r="D80" s="1"/>
      <c r="E80" s="1"/>
      <c r="F80" s="69"/>
      <c r="G80" s="69"/>
      <c r="H80" s="100"/>
      <c r="I80" s="69"/>
      <c r="J80" s="69"/>
      <c r="AE80" s="361"/>
      <c r="AF80" s="362"/>
    </row>
    <row r="81" spans="1:36" ht="13.5" thickBot="1">
      <c r="A81" s="2">
        <v>47</v>
      </c>
      <c r="B81" s="3" t="s">
        <v>68</v>
      </c>
      <c r="C81" s="3"/>
      <c r="D81" s="3"/>
      <c r="E81" s="3"/>
      <c r="F81" s="99">
        <f>F79+F77+F76+F75+F78</f>
        <v>348658</v>
      </c>
      <c r="G81" s="99">
        <f>G79+G77+G76+G75</f>
        <v>24986</v>
      </c>
      <c r="H81" s="99">
        <f>H79+H77+H76+H75+H78</f>
        <v>373732</v>
      </c>
      <c r="I81" s="99">
        <f>I79+I77+I76+I75</f>
        <v>0</v>
      </c>
      <c r="J81" s="99">
        <f>J79+J77+J76+J75+J78</f>
        <v>373732</v>
      </c>
      <c r="AE81" s="361"/>
      <c r="AF81" s="362"/>
    </row>
    <row r="82" spans="1:36" ht="13.5" thickTop="1">
      <c r="A82" s="2">
        <v>48</v>
      </c>
      <c r="B82" s="1" t="s">
        <v>458</v>
      </c>
      <c r="C82" s="1"/>
      <c r="D82" s="1"/>
      <c r="E82" s="1"/>
      <c r="F82" s="408">
        <f>ROUND(F59/F81,4)</f>
        <v>7.0599999999999996E-2</v>
      </c>
      <c r="G82" s="96"/>
      <c r="H82" s="408">
        <f>ROUND(H59/H81,4)</f>
        <v>6.2E-2</v>
      </c>
      <c r="I82" s="7"/>
      <c r="J82" s="408">
        <f>ROUND(J59/J81,4)</f>
        <v>6.9599999999999995E-2</v>
      </c>
      <c r="AE82" s="361"/>
      <c r="AF82" s="362"/>
    </row>
    <row r="83" spans="1:36" ht="7.5" customHeight="1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AE83" s="367"/>
      <c r="AF83" s="368"/>
    </row>
    <row r="84" spans="1:36" ht="13.5" thickBot="1">
      <c r="A84" s="97"/>
      <c r="B84" s="98"/>
      <c r="C84" s="98"/>
      <c r="D84" s="98"/>
      <c r="E84" s="71"/>
      <c r="F84" s="71"/>
      <c r="G84" s="71"/>
      <c r="H84" s="71"/>
      <c r="I84" s="71"/>
      <c r="J84" s="71"/>
      <c r="AE84" s="363"/>
      <c r="AF84" s="364"/>
      <c r="AJ84" s="36">
        <f>AJ90</f>
        <v>0</v>
      </c>
    </row>
  </sheetData>
  <mergeCells count="1">
    <mergeCell ref="F6:J6"/>
  </mergeCells>
  <phoneticPr fontId="0" type="noConversion"/>
  <pageMargins left="0.75" right="0.5" top="0.97" bottom="0.84" header="0.5" footer="0.5"/>
  <pageSetup scale="72" orientation="portrait" r:id="rId1"/>
  <headerFooter scaleWithDoc="0" alignWithMargins="0">
    <oddHeader>&amp;RExh. EMA-3</oddHeader>
    <oddFooter>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1"/>
  <sheetViews>
    <sheetView workbookViewId="0">
      <selection activeCell="R58" sqref="R58"/>
    </sheetView>
  </sheetViews>
  <sheetFormatPr defaultColWidth="11.42578125" defaultRowHeight="12.75"/>
  <cols>
    <col min="1" max="1" width="8.5703125" style="36" customWidth="1"/>
    <col min="2" max="2" width="33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/>
    <col min="16" max="16" width="11.42578125" style="124"/>
    <col min="17" max="17" width="5.85546875" style="124" bestFit="1" customWidth="1"/>
    <col min="18" max="18" width="5.28515625" style="463" customWidth="1"/>
    <col min="19" max="19" width="12.5703125" style="429" customWidth="1"/>
    <col min="20" max="21" width="11.42578125" style="429"/>
    <col min="22" max="28" width="11.42578125" style="460"/>
    <col min="29" max="16384" width="11.42578125" style="36"/>
  </cols>
  <sheetData>
    <row r="1" spans="1:28" ht="18.75">
      <c r="A1" s="793" t="s">
        <v>489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349"/>
    </row>
    <row r="2" spans="1:28" ht="18.75">
      <c r="A2" s="793" t="s">
        <v>112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349"/>
    </row>
    <row r="3" spans="1:28" ht="18.75">
      <c r="A3" s="793" t="s">
        <v>170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349"/>
    </row>
    <row r="4" spans="1:28" s="49" customFormat="1" ht="18.75">
      <c r="A4" s="140"/>
      <c r="B4" s="140"/>
      <c r="C4" s="140"/>
      <c r="D4" s="140"/>
      <c r="E4" s="140"/>
      <c r="F4" s="140"/>
      <c r="H4" s="138"/>
      <c r="I4" s="140"/>
      <c r="J4" s="140"/>
      <c r="K4" s="140"/>
      <c r="L4" s="140"/>
      <c r="M4" s="140"/>
      <c r="N4" s="138"/>
      <c r="O4" s="138"/>
      <c r="P4" s="122"/>
      <c r="Q4" s="122"/>
      <c r="R4" s="436"/>
      <c r="S4" s="436"/>
      <c r="T4" s="436"/>
      <c r="U4" s="436"/>
      <c r="V4" s="436"/>
      <c r="W4" s="436"/>
      <c r="X4" s="436"/>
      <c r="Y4" s="436"/>
      <c r="Z4" s="436"/>
      <c r="AA4" s="429"/>
      <c r="AB4" s="429"/>
    </row>
    <row r="5" spans="1:28" ht="14.25">
      <c r="H5" s="147" t="s">
        <v>147</v>
      </c>
      <c r="S5" s="436"/>
      <c r="T5" s="436"/>
      <c r="U5" s="436"/>
      <c r="V5" s="436"/>
      <c r="W5" s="436"/>
      <c r="X5" s="436"/>
      <c r="Y5" s="436"/>
      <c r="Z5" s="436"/>
    </row>
    <row r="6" spans="1:28">
      <c r="S6" s="436"/>
      <c r="T6" s="436"/>
      <c r="U6" s="436"/>
      <c r="V6" s="436"/>
      <c r="W6" s="436"/>
      <c r="X6" s="436"/>
      <c r="Y6" s="436"/>
      <c r="Z6" s="436"/>
    </row>
    <row r="7" spans="1:28" s="49" customFormat="1">
      <c r="A7" s="36"/>
      <c r="B7" s="36"/>
      <c r="C7" s="36"/>
      <c r="D7" s="36"/>
      <c r="E7" s="36"/>
      <c r="F7" s="36"/>
      <c r="G7" s="36"/>
      <c r="I7" s="36"/>
      <c r="J7" s="36"/>
      <c r="K7" s="52"/>
      <c r="L7" s="781" t="s">
        <v>163</v>
      </c>
      <c r="M7" s="781"/>
      <c r="N7" s="781"/>
      <c r="P7" s="122"/>
      <c r="Q7" s="122"/>
      <c r="R7" s="436"/>
      <c r="S7" s="436"/>
      <c r="T7" s="436"/>
      <c r="U7" s="436"/>
      <c r="V7" s="436"/>
      <c r="W7" s="436"/>
      <c r="X7" s="436"/>
      <c r="Y7" s="436"/>
      <c r="Z7" s="436"/>
      <c r="AA7" s="429"/>
      <c r="AB7" s="429"/>
    </row>
    <row r="8" spans="1:28" s="49" customFormat="1">
      <c r="A8" s="36"/>
      <c r="B8" s="36"/>
      <c r="C8" s="36"/>
      <c r="D8" s="36"/>
      <c r="E8" s="794" t="s">
        <v>164</v>
      </c>
      <c r="F8" s="794"/>
      <c r="G8" s="52"/>
      <c r="H8" s="794"/>
      <c r="I8" s="794"/>
      <c r="J8" s="36"/>
      <c r="K8" s="781" t="s">
        <v>165</v>
      </c>
      <c r="L8" s="781"/>
      <c r="N8" s="781" t="s">
        <v>166</v>
      </c>
      <c r="O8" s="781"/>
      <c r="P8" s="122"/>
      <c r="Q8" s="122"/>
      <c r="R8" s="436"/>
      <c r="S8" s="436"/>
      <c r="T8" s="436"/>
      <c r="U8" s="436"/>
      <c r="V8" s="436"/>
      <c r="W8" s="436"/>
      <c r="X8" s="436"/>
      <c r="Y8" s="436"/>
      <c r="Z8" s="436"/>
      <c r="AA8" s="429"/>
      <c r="AB8" s="429"/>
    </row>
    <row r="9" spans="1:28" s="49" customFormat="1">
      <c r="A9" s="36"/>
      <c r="B9" s="36"/>
      <c r="C9" s="36"/>
      <c r="D9" s="36"/>
      <c r="E9" s="792" t="s">
        <v>69</v>
      </c>
      <c r="F9" s="792"/>
      <c r="G9" s="54"/>
      <c r="H9" s="792" t="s">
        <v>69</v>
      </c>
      <c r="I9" s="792"/>
      <c r="J9" s="36"/>
      <c r="K9" s="792" t="s">
        <v>69</v>
      </c>
      <c r="L9" s="792"/>
      <c r="N9" s="37" t="s">
        <v>167</v>
      </c>
      <c r="O9" s="37" t="s">
        <v>19</v>
      </c>
      <c r="P9" s="122"/>
      <c r="Q9" s="122"/>
      <c r="R9" s="436"/>
      <c r="S9" s="436"/>
      <c r="T9" s="436"/>
      <c r="U9" s="436"/>
      <c r="V9" s="436"/>
      <c r="W9" s="436"/>
      <c r="X9" s="436"/>
      <c r="Y9" s="436"/>
      <c r="Z9" s="436"/>
      <c r="AA9" s="429"/>
      <c r="AB9" s="429"/>
    </row>
    <row r="10" spans="1:28">
      <c r="A10" s="53" t="s">
        <v>168</v>
      </c>
      <c r="B10" s="53" t="s">
        <v>71</v>
      </c>
      <c r="C10" s="37"/>
      <c r="D10" s="37"/>
      <c r="E10" s="53" t="s">
        <v>72</v>
      </c>
      <c r="F10" s="53" t="s">
        <v>19</v>
      </c>
      <c r="G10" s="38"/>
      <c r="H10" s="53" t="s">
        <v>72</v>
      </c>
      <c r="I10" s="53" t="s">
        <v>19</v>
      </c>
      <c r="K10" s="53" t="s">
        <v>72</v>
      </c>
      <c r="L10" s="53" t="s">
        <v>19</v>
      </c>
      <c r="N10" s="129">
        <f>CF!E27</f>
        <v>0.75511799999999996</v>
      </c>
      <c r="O10" s="130">
        <f>'RR SUMMARY'!N15</f>
        <v>6.9599999999999995E-2</v>
      </c>
      <c r="S10" s="436"/>
      <c r="T10" s="518"/>
      <c r="U10" s="518"/>
      <c r="V10" s="518"/>
      <c r="W10" s="519"/>
      <c r="X10" s="519"/>
      <c r="Y10" s="436"/>
      <c r="Z10" s="436"/>
    </row>
    <row r="11" spans="1:28">
      <c r="A11" s="218">
        <f>'ADJ DETAIL INPUT'!E$10</f>
        <v>1</v>
      </c>
      <c r="B11" s="56" t="str">
        <f>TRIM(CONCATENATE('ADJ DETAIL INPUT'!E$7," ",'ADJ DETAIL INPUT'!E$8," ",'ADJ DETAIL INPUT'!E$9))</f>
        <v>Per Results Report</v>
      </c>
      <c r="C11" s="57"/>
      <c r="D11" s="57"/>
      <c r="E11" s="58">
        <v>24614</v>
      </c>
      <c r="F11" s="58">
        <v>348658</v>
      </c>
      <c r="G11" s="58"/>
      <c r="H11" s="58">
        <f>'ADJ DETAIL INPUT'!E$58</f>
        <v>24614</v>
      </c>
      <c r="I11" s="58">
        <f>'ADJ DETAIL INPUT'!E$81</f>
        <v>348658</v>
      </c>
      <c r="J11" s="49"/>
      <c r="K11" s="131">
        <f>H11-E11</f>
        <v>0</v>
      </c>
      <c r="L11" s="131">
        <f>I11-F11</f>
        <v>0</v>
      </c>
      <c r="N11" s="134">
        <f>K11/$N$10*-1</f>
        <v>0</v>
      </c>
      <c r="O11" s="134">
        <f>L11*$O$10/$N$10</f>
        <v>0</v>
      </c>
      <c r="P11" s="164">
        <f>N11+O11</f>
        <v>0</v>
      </c>
      <c r="S11" s="520"/>
      <c r="T11" s="166"/>
      <c r="U11" s="436"/>
      <c r="V11" s="166"/>
      <c r="W11" s="436"/>
      <c r="X11" s="166"/>
      <c r="Y11" s="436"/>
      <c r="Z11" s="436"/>
    </row>
    <row r="12" spans="1:28" s="67" customFormat="1">
      <c r="A12" s="218">
        <f>'ADJ DETAIL INPUT'!F$10</f>
        <v>1.01</v>
      </c>
      <c r="B12" s="56" t="str">
        <f>TRIM(CONCATENATE('ADJ DETAIL INPUT'!F$7," ",'ADJ DETAIL INPUT'!F$8," ",'ADJ DETAIL INPUT'!F$9))</f>
        <v>Deferred FIT Rate Base</v>
      </c>
      <c r="C12" s="57"/>
      <c r="D12" s="57"/>
      <c r="E12" s="58">
        <v>-6.7300589999999998</v>
      </c>
      <c r="F12" s="58">
        <v>-1247</v>
      </c>
      <c r="G12" s="65"/>
      <c r="H12" s="65">
        <f>'ADJ DETAIL INPUT'!F$58</f>
        <v>-7.149051</v>
      </c>
      <c r="I12" s="65">
        <f>'ADJ DETAIL INPUT'!F$81</f>
        <v>-1247</v>
      </c>
      <c r="J12" s="68"/>
      <c r="K12" s="131">
        <f t="shared" ref="K12:K14" si="0">H12-E12</f>
        <v>-0.41899200000000025</v>
      </c>
      <c r="L12" s="131">
        <f t="shared" ref="L12:L14" si="1">I12-F12</f>
        <v>0</v>
      </c>
      <c r="N12" s="134">
        <f t="shared" ref="N12:N14" si="2">K12/$N$10*-1</f>
        <v>0.55486957005395221</v>
      </c>
      <c r="O12" s="134">
        <f t="shared" ref="O12:O14" si="3">L12*$O$10/$N$10</f>
        <v>0</v>
      </c>
      <c r="P12" s="164">
        <f t="shared" ref="P12:P14" si="4">N12+O12</f>
        <v>0.55486957005395221</v>
      </c>
      <c r="Q12" s="125"/>
      <c r="R12" s="463"/>
      <c r="S12" s="520"/>
      <c r="T12" s="166"/>
      <c r="U12" s="436"/>
      <c r="V12" s="166"/>
      <c r="W12" s="436"/>
      <c r="X12" s="166"/>
      <c r="Y12" s="436"/>
      <c r="Z12" s="436"/>
      <c r="AA12" s="460"/>
      <c r="AB12" s="460"/>
    </row>
    <row r="13" spans="1:28" s="67" customFormat="1">
      <c r="A13" s="218">
        <f>'ADJ DETAIL INPUT'!G$10</f>
        <v>1.02</v>
      </c>
      <c r="B13" s="56" t="str">
        <f>TRIM(CONCATENATE('ADJ DETAIL INPUT'!G$7," ",'ADJ DETAIL INPUT'!G$8," ",'ADJ DETAIL INPUT'!G$9))</f>
        <v>Deferred Debits and Credits</v>
      </c>
      <c r="C13" s="57"/>
      <c r="D13" s="57"/>
      <c r="E13" s="58">
        <v>-7.9377789999999999</v>
      </c>
      <c r="F13" s="58">
        <v>-7</v>
      </c>
      <c r="G13" s="65"/>
      <c r="H13" s="65">
        <f>'ADJ DETAIL INPUT'!G$58</f>
        <v>-7.940131</v>
      </c>
      <c r="I13" s="65">
        <f>'ADJ DETAIL INPUT'!G$81</f>
        <v>-7</v>
      </c>
      <c r="J13" s="68"/>
      <c r="K13" s="131">
        <f t="shared" si="0"/>
        <v>-2.3520000000001318E-3</v>
      </c>
      <c r="L13" s="131">
        <f t="shared" si="1"/>
        <v>0</v>
      </c>
      <c r="N13" s="134">
        <f t="shared" si="2"/>
        <v>3.1147449802549163E-3</v>
      </c>
      <c r="O13" s="134">
        <f t="shared" si="3"/>
        <v>0</v>
      </c>
      <c r="P13" s="164">
        <f t="shared" si="4"/>
        <v>3.1147449802549163E-3</v>
      </c>
      <c r="Q13" s="124"/>
      <c r="R13" s="463"/>
      <c r="S13" s="520"/>
      <c r="T13" s="166"/>
      <c r="U13" s="436"/>
      <c r="V13" s="166"/>
      <c r="W13" s="436"/>
      <c r="X13" s="166"/>
      <c r="Y13" s="436"/>
      <c r="Z13" s="436"/>
      <c r="AA13" s="460"/>
      <c r="AB13" s="460"/>
    </row>
    <row r="14" spans="1:28" s="67" customFormat="1">
      <c r="A14" s="218">
        <f>'ADJ DETAIL INPUT'!H$10</f>
        <v>1.03</v>
      </c>
      <c r="B14" s="56" t="str">
        <f>TRIM(CONCATENATE('ADJ DETAIL INPUT'!H$7," ",'ADJ DETAIL INPUT'!H$8," ",'ADJ DETAIL INPUT'!H$9))</f>
        <v>Working Capital</v>
      </c>
      <c r="C14" s="57"/>
      <c r="D14" s="57"/>
      <c r="E14" s="58">
        <v>0</v>
      </c>
      <c r="F14" s="58">
        <v>0</v>
      </c>
      <c r="G14" s="65"/>
      <c r="H14" s="65">
        <f>'ADJ DETAIL INPUT'!H$58</f>
        <v>0</v>
      </c>
      <c r="I14" s="65">
        <f>'ADJ DETAIL INPUT'!H$81</f>
        <v>0</v>
      </c>
      <c r="J14" s="68"/>
      <c r="K14" s="131">
        <f t="shared" si="0"/>
        <v>0</v>
      </c>
      <c r="L14" s="131">
        <f t="shared" si="1"/>
        <v>0</v>
      </c>
      <c r="N14" s="134">
        <f t="shared" si="2"/>
        <v>0</v>
      </c>
      <c r="O14" s="134">
        <f t="shared" si="3"/>
        <v>0</v>
      </c>
      <c r="P14" s="164">
        <f t="shared" si="4"/>
        <v>0</v>
      </c>
      <c r="Q14" s="124"/>
      <c r="R14" s="463"/>
      <c r="S14" s="436"/>
      <c r="T14" s="170"/>
      <c r="U14" s="436"/>
      <c r="V14" s="170"/>
      <c r="W14" s="436"/>
      <c r="X14" s="170"/>
      <c r="Y14" s="436"/>
      <c r="Z14" s="436"/>
      <c r="AA14" s="460"/>
      <c r="AB14" s="460"/>
    </row>
    <row r="15" spans="1:28" s="67" customFormat="1">
      <c r="A15" s="218">
        <f>'ADJ DETAIL INPUT'!I$10</f>
        <v>1.04</v>
      </c>
      <c r="B15" s="56" t="str">
        <f>TRIM(CONCATENATE('ADJ DETAIL INPUT'!I$7," ",'ADJ DETAIL INPUT'!I$8," ",'ADJ DETAIL INPUT'!I$9))</f>
        <v>Remove AMI Rate Base</v>
      </c>
      <c r="C15" s="431"/>
      <c r="D15" s="431"/>
      <c r="E15" s="58">
        <v>-32.587085999999999</v>
      </c>
      <c r="F15" s="58">
        <v>-6038</v>
      </c>
      <c r="G15" s="65"/>
      <c r="H15" s="65">
        <f>'ADJ DETAIL INPUT'!I$58</f>
        <v>-34.615853999999999</v>
      </c>
      <c r="I15" s="65">
        <f>'ADJ DETAIL INPUT'!I$81</f>
        <v>-6038</v>
      </c>
      <c r="J15" s="68"/>
      <c r="K15" s="435">
        <f t="shared" ref="K15" si="5">H15-E15</f>
        <v>-2.0287679999999995</v>
      </c>
      <c r="L15" s="435">
        <f t="shared" ref="L15" si="6">I15-F15</f>
        <v>0</v>
      </c>
      <c r="N15" s="439">
        <f t="shared" ref="N15" si="7">K15/$N$10*-1</f>
        <v>2.6866900272540182</v>
      </c>
      <c r="O15" s="439">
        <f t="shared" ref="O15" si="8">L15*$O$10/$N$10</f>
        <v>0</v>
      </c>
      <c r="P15" s="440">
        <f t="shared" ref="P15" si="9">N15+O15</f>
        <v>2.6866900272540182</v>
      </c>
      <c r="Q15" s="463"/>
      <c r="R15" s="463"/>
      <c r="S15" s="436"/>
      <c r="T15" s="170"/>
      <c r="U15" s="436"/>
      <c r="V15" s="170"/>
      <c r="W15" s="436"/>
      <c r="X15" s="170"/>
      <c r="Y15" s="436"/>
      <c r="Z15" s="436"/>
      <c r="AA15" s="460"/>
      <c r="AB15" s="460"/>
    </row>
    <row r="16" spans="1:28" ht="8.25" customHeight="1">
      <c r="A16" s="218"/>
      <c r="B16" s="56"/>
      <c r="C16" s="57"/>
      <c r="D16" s="57"/>
      <c r="E16" s="58"/>
      <c r="F16" s="58"/>
      <c r="G16" s="65"/>
      <c r="H16" s="65"/>
      <c r="I16" s="65"/>
      <c r="J16" s="49"/>
      <c r="K16" s="131"/>
      <c r="L16" s="131"/>
      <c r="M16" s="67"/>
      <c r="N16" s="134"/>
      <c r="O16" s="134"/>
      <c r="S16" s="436"/>
      <c r="T16" s="436"/>
      <c r="U16" s="436"/>
      <c r="V16" s="436"/>
      <c r="W16" s="436"/>
      <c r="X16" s="436"/>
      <c r="Y16" s="436"/>
      <c r="Z16" s="436"/>
    </row>
    <row r="17" spans="1:28">
      <c r="A17" s="218"/>
      <c r="B17" s="36" t="s">
        <v>74</v>
      </c>
      <c r="E17" s="59">
        <f>SUM(E11:E16)</f>
        <v>24566.745075999999</v>
      </c>
      <c r="F17" s="59">
        <f>SUM(F11:F16)</f>
        <v>341366</v>
      </c>
      <c r="G17" s="59"/>
      <c r="H17" s="59">
        <f>SUM(H11:H16)</f>
        <v>24564.294964000001</v>
      </c>
      <c r="I17" s="59">
        <f>SUM(I11:I16)</f>
        <v>341366</v>
      </c>
      <c r="J17" s="49"/>
      <c r="K17" s="59">
        <f>SUM(K11:K16)</f>
        <v>-2.4501119999999998</v>
      </c>
      <c r="L17" s="59">
        <f>SUM(L11:L16)</f>
        <v>0</v>
      </c>
      <c r="N17" s="59">
        <f>SUM(N11:N16)</f>
        <v>3.2446743422882252</v>
      </c>
      <c r="O17" s="59">
        <f>SUM(O11:O16)</f>
        <v>0</v>
      </c>
      <c r="S17" s="436"/>
      <c r="T17" s="436"/>
      <c r="U17" s="436"/>
      <c r="V17" s="436"/>
      <c r="W17" s="436"/>
      <c r="X17" s="436"/>
      <c r="Y17" s="436"/>
      <c r="Z17" s="436"/>
    </row>
    <row r="18" spans="1:28" ht="5.25" customHeight="1">
      <c r="A18" s="218"/>
      <c r="B18" s="56"/>
      <c r="C18" s="57"/>
      <c r="D18" s="57"/>
      <c r="E18" s="58"/>
      <c r="F18" s="58"/>
      <c r="G18" s="58"/>
      <c r="H18" s="58"/>
      <c r="I18" s="58"/>
      <c r="J18" s="49"/>
      <c r="S18" s="520"/>
      <c r="T18" s="170"/>
      <c r="U18" s="436"/>
      <c r="V18" s="170"/>
      <c r="W18" s="436"/>
      <c r="X18" s="436"/>
      <c r="Y18" s="436"/>
      <c r="Z18" s="436"/>
    </row>
    <row r="19" spans="1:28" s="67" customFormat="1">
      <c r="A19" s="468">
        <f>'ADJ DETAIL INPUT'!J$10</f>
        <v>2.0099999999999998</v>
      </c>
      <c r="B19" s="56" t="str">
        <f>TRIM(CONCATENATE('ADJ DETAIL INPUT'!J$7," ",'ADJ DETAIL INPUT'!J$8," ",'ADJ DETAIL INPUT'!J$9))</f>
        <v>Eliminate B &amp; O Taxes</v>
      </c>
      <c r="C19" s="57"/>
      <c r="D19" s="57"/>
      <c r="E19" s="65">
        <v>-11.06</v>
      </c>
      <c r="F19" s="65">
        <v>0</v>
      </c>
      <c r="G19" s="65"/>
      <c r="H19" s="65">
        <f>'ADJ DETAIL INPUT'!J$58</f>
        <v>-11.06</v>
      </c>
      <c r="I19" s="65">
        <f>'ADJ DETAIL INPUT'!J$81</f>
        <v>0</v>
      </c>
      <c r="J19" s="68"/>
      <c r="K19" s="131">
        <f t="shared" ref="K19:K30" si="10">H19-E19</f>
        <v>0</v>
      </c>
      <c r="L19" s="131">
        <f t="shared" ref="L19:L30" si="11">I19-F19</f>
        <v>0</v>
      </c>
      <c r="M19" s="36"/>
      <c r="N19" s="134">
        <f t="shared" ref="N19:N30" si="12">K19/$N$10*-1</f>
        <v>0</v>
      </c>
      <c r="O19" s="134">
        <f t="shared" ref="O19:O30" si="13">L19*$O$10/$N$10</f>
        <v>0</v>
      </c>
      <c r="P19" s="164">
        <f t="shared" ref="P19:P30" si="14">N19+O19</f>
        <v>0</v>
      </c>
      <c r="Q19" s="125"/>
      <c r="R19" s="463"/>
      <c r="S19" s="520"/>
      <c r="T19" s="170"/>
      <c r="U19" s="436"/>
      <c r="V19" s="171"/>
      <c r="W19" s="436"/>
      <c r="X19" s="436"/>
      <c r="Y19" s="436"/>
      <c r="Z19" s="436"/>
      <c r="AA19" s="460"/>
      <c r="AB19" s="460"/>
    </row>
    <row r="20" spans="1:28" s="67" customFormat="1">
      <c r="A20" s="468">
        <f>'ADJ DETAIL INPUT'!K$10</f>
        <v>2.0199999999999996</v>
      </c>
      <c r="B20" s="56" t="str">
        <f>TRIM(CONCATENATE('ADJ DETAIL INPUT'!K$7," ",'ADJ DETAIL INPUT'!K$8," ",'ADJ DETAIL INPUT'!K$9))</f>
        <v>Restate Property Tax</v>
      </c>
      <c r="C20" s="57"/>
      <c r="D20" s="57"/>
      <c r="E20" s="65">
        <v>-1.58</v>
      </c>
      <c r="F20" s="65">
        <v>0</v>
      </c>
      <c r="G20" s="65"/>
      <c r="H20" s="65">
        <f>'ADJ DETAIL INPUT'!K$58</f>
        <v>-1.58</v>
      </c>
      <c r="I20" s="65">
        <f>'ADJ DETAIL INPUT'!K$81</f>
        <v>0</v>
      </c>
      <c r="J20" s="68"/>
      <c r="K20" s="131">
        <f t="shared" si="10"/>
        <v>0</v>
      </c>
      <c r="L20" s="131">
        <f t="shared" si="11"/>
        <v>0</v>
      </c>
      <c r="M20" s="36"/>
      <c r="N20" s="134">
        <f t="shared" si="12"/>
        <v>0</v>
      </c>
      <c r="O20" s="134">
        <f t="shared" si="13"/>
        <v>0</v>
      </c>
      <c r="P20" s="164">
        <f t="shared" si="14"/>
        <v>0</v>
      </c>
      <c r="Q20" s="125"/>
      <c r="R20" s="463"/>
      <c r="S20" s="520"/>
      <c r="T20" s="170"/>
      <c r="U20" s="436"/>
      <c r="V20" s="170"/>
      <c r="W20" s="436"/>
      <c r="X20" s="436"/>
      <c r="Y20" s="436"/>
      <c r="Z20" s="436"/>
      <c r="AA20" s="460"/>
      <c r="AB20" s="460"/>
    </row>
    <row r="21" spans="1:28" s="67" customFormat="1">
      <c r="A21" s="468">
        <f>'ADJ DETAIL INPUT'!L$10</f>
        <v>2.0299999999999994</v>
      </c>
      <c r="B21" s="56" t="str">
        <f>TRIM(CONCATENATE('ADJ DETAIL INPUT'!L$7," ",'ADJ DETAIL INPUT'!L$8," ",'ADJ DETAIL INPUT'!L$9))</f>
        <v>Uncollectible Expense</v>
      </c>
      <c r="C21" s="57"/>
      <c r="D21" s="57"/>
      <c r="E21" s="65">
        <v>252.8</v>
      </c>
      <c r="F21" s="65">
        <v>0</v>
      </c>
      <c r="G21" s="65"/>
      <c r="H21" s="65">
        <f>'ADJ DETAIL INPUT'!L$58</f>
        <v>252.8</v>
      </c>
      <c r="I21" s="65">
        <f>'ADJ DETAIL INPUT'!L$81</f>
        <v>0</v>
      </c>
      <c r="J21" s="68"/>
      <c r="K21" s="131">
        <f t="shared" ref="K21" si="15">H21-E21</f>
        <v>0</v>
      </c>
      <c r="L21" s="131">
        <f t="shared" ref="L21" si="16">I21-F21</f>
        <v>0</v>
      </c>
      <c r="M21" s="36"/>
      <c r="N21" s="134">
        <f t="shared" ref="N21" si="17">K21/$N$10*-1</f>
        <v>0</v>
      </c>
      <c r="O21" s="134">
        <f t="shared" ref="O21" si="18">L21*$O$10/$N$10</f>
        <v>0</v>
      </c>
      <c r="P21" s="164">
        <f t="shared" ref="P21" si="19">N21+O21</f>
        <v>0</v>
      </c>
      <c r="Q21" s="125"/>
      <c r="R21" s="463"/>
      <c r="S21" s="170"/>
      <c r="T21" s="126"/>
      <c r="U21" s="436"/>
      <c r="V21" s="436"/>
      <c r="W21" s="436"/>
      <c r="X21" s="436"/>
      <c r="Y21" s="436"/>
      <c r="Z21" s="436"/>
      <c r="AA21" s="460"/>
      <c r="AB21" s="460"/>
    </row>
    <row r="22" spans="1:28" s="67" customFormat="1">
      <c r="A22" s="468">
        <f>'ADJ DETAIL INPUT'!M$10</f>
        <v>2.0399999999999991</v>
      </c>
      <c r="B22" s="56" t="str">
        <f>TRIM(CONCATENATE('ADJ DETAIL INPUT'!M$7," ",'ADJ DETAIL INPUT'!M$8," ",'ADJ DETAIL INPUT'!M$9))</f>
        <v>Regulatory Expense</v>
      </c>
      <c r="C22" s="57"/>
      <c r="D22" s="57"/>
      <c r="E22" s="65">
        <v>39.5</v>
      </c>
      <c r="F22" s="65">
        <v>0</v>
      </c>
      <c r="G22" s="65"/>
      <c r="H22" s="65">
        <f>'ADJ DETAIL INPUT'!M$58</f>
        <v>39.5</v>
      </c>
      <c r="I22" s="65">
        <f>'ADJ DETAIL INPUT'!M$81</f>
        <v>0</v>
      </c>
      <c r="J22" s="68"/>
      <c r="K22" s="131">
        <f t="shared" si="10"/>
        <v>0</v>
      </c>
      <c r="L22" s="131">
        <f t="shared" si="11"/>
        <v>0</v>
      </c>
      <c r="M22" s="36"/>
      <c r="N22" s="134">
        <f t="shared" si="12"/>
        <v>0</v>
      </c>
      <c r="O22" s="134">
        <f t="shared" si="13"/>
        <v>0</v>
      </c>
      <c r="P22" s="164">
        <f t="shared" si="14"/>
        <v>0</v>
      </c>
      <c r="Q22" s="125"/>
      <c r="R22" s="463"/>
      <c r="S22" s="170"/>
      <c r="T22" s="436"/>
      <c r="U22" s="436"/>
      <c r="V22" s="436"/>
      <c r="W22" s="436"/>
      <c r="X22" s="436"/>
      <c r="Y22" s="436"/>
      <c r="Z22" s="436"/>
      <c r="AA22" s="460"/>
      <c r="AB22" s="460"/>
    </row>
    <row r="23" spans="1:28" s="67" customFormat="1">
      <c r="A23" s="468">
        <f>'ADJ DETAIL INPUT'!N$10</f>
        <v>2.0499999999999989</v>
      </c>
      <c r="B23" s="56" t="str">
        <f>TRIM(CONCATENATE('ADJ DETAIL INPUT'!N$7," ",'ADJ DETAIL INPUT'!N$8," ",'ADJ DETAIL INPUT'!N$9))</f>
        <v>Injuries &amp; Damages</v>
      </c>
      <c r="C23" s="57"/>
      <c r="D23" s="57"/>
      <c r="E23" s="65">
        <v>-42.66</v>
      </c>
      <c r="F23" s="65">
        <v>0</v>
      </c>
      <c r="G23" s="65"/>
      <c r="H23" s="65">
        <f>'ADJ DETAIL INPUT'!N$58</f>
        <v>-2.37</v>
      </c>
      <c r="I23" s="65">
        <f>'ADJ DETAIL INPUT'!N$81</f>
        <v>0</v>
      </c>
      <c r="J23" s="68"/>
      <c r="K23" s="131">
        <f t="shared" si="10"/>
        <v>40.29</v>
      </c>
      <c r="L23" s="131">
        <f t="shared" si="11"/>
        <v>0</v>
      </c>
      <c r="M23" s="36"/>
      <c r="N23" s="134">
        <f t="shared" si="12"/>
        <v>-53.355899342884157</v>
      </c>
      <c r="O23" s="134">
        <f t="shared" si="13"/>
        <v>0</v>
      </c>
      <c r="P23" s="164">
        <f t="shared" si="14"/>
        <v>-53.355899342884157</v>
      </c>
      <c r="Q23" s="125"/>
      <c r="R23" s="463"/>
      <c r="S23" s="436"/>
      <c r="T23" s="436"/>
      <c r="U23" s="436"/>
      <c r="V23" s="436"/>
      <c r="W23" s="436"/>
      <c r="X23" s="436"/>
      <c r="Y23" s="436"/>
      <c r="Z23" s="436"/>
      <c r="AA23" s="460"/>
      <c r="AB23" s="460"/>
    </row>
    <row r="24" spans="1:28" s="67" customFormat="1">
      <c r="A24" s="468">
        <f>'ADJ DETAIL INPUT'!O$10</f>
        <v>2.0599999999999987</v>
      </c>
      <c r="B24" s="56" t="str">
        <f>TRIM(CONCATENATE('ADJ DETAIL INPUT'!O$7," ",'ADJ DETAIL INPUT'!O$8," ",'ADJ DETAIL INPUT'!O$9))</f>
        <v>FIT / DFIT Expense</v>
      </c>
      <c r="C24" s="57"/>
      <c r="D24" s="57"/>
      <c r="E24" s="65">
        <v>0</v>
      </c>
      <c r="F24" s="65">
        <v>0</v>
      </c>
      <c r="G24" s="65"/>
      <c r="H24" s="65">
        <f>'ADJ DETAIL INPUT'!O$58</f>
        <v>0</v>
      </c>
      <c r="I24" s="65">
        <f>'ADJ DETAIL INPUT'!O$81</f>
        <v>0</v>
      </c>
      <c r="J24" s="68"/>
      <c r="K24" s="131">
        <f t="shared" si="10"/>
        <v>0</v>
      </c>
      <c r="L24" s="131">
        <f t="shared" si="11"/>
        <v>0</v>
      </c>
      <c r="M24" s="36"/>
      <c r="N24" s="134">
        <f t="shared" si="12"/>
        <v>0</v>
      </c>
      <c r="O24" s="134">
        <f t="shared" si="13"/>
        <v>0</v>
      </c>
      <c r="P24" s="164">
        <f t="shared" si="14"/>
        <v>0</v>
      </c>
      <c r="Q24" s="125"/>
      <c r="R24" s="463"/>
      <c r="S24" s="170"/>
      <c r="T24" s="436"/>
      <c r="U24" s="436"/>
      <c r="V24" s="436"/>
      <c r="W24" s="436"/>
      <c r="X24" s="436"/>
      <c r="Y24" s="436"/>
      <c r="Z24" s="436"/>
      <c r="AA24" s="460"/>
      <c r="AB24" s="460"/>
    </row>
    <row r="25" spans="1:28" s="67" customFormat="1">
      <c r="A25" s="468">
        <f>'ADJ DETAIL INPUT'!P$10</f>
        <v>2.0699999999999985</v>
      </c>
      <c r="B25" s="56" t="str">
        <f>TRIM(CONCATENATE('ADJ DETAIL INPUT'!P$7," ",'ADJ DETAIL INPUT'!P$8," ",'ADJ DETAIL INPUT'!P$9))</f>
        <v>Office Space Charges to Non-Utility</v>
      </c>
      <c r="C25" s="57"/>
      <c r="D25" s="57"/>
      <c r="E25" s="65">
        <v>13.43</v>
      </c>
      <c r="F25" s="65">
        <v>0</v>
      </c>
      <c r="G25" s="65"/>
      <c r="H25" s="65">
        <f>'ADJ DETAIL INPUT'!P$58</f>
        <v>13.43</v>
      </c>
      <c r="I25" s="65">
        <f>'ADJ DETAIL INPUT'!P$81</f>
        <v>0</v>
      </c>
      <c r="J25" s="68"/>
      <c r="K25" s="131">
        <f t="shared" si="10"/>
        <v>0</v>
      </c>
      <c r="L25" s="131">
        <f t="shared" si="11"/>
        <v>0</v>
      </c>
      <c r="M25" s="133"/>
      <c r="N25" s="134">
        <f t="shared" si="12"/>
        <v>0</v>
      </c>
      <c r="O25" s="134">
        <f t="shared" si="13"/>
        <v>0</v>
      </c>
      <c r="P25" s="164">
        <f t="shared" si="14"/>
        <v>0</v>
      </c>
      <c r="Q25" s="125"/>
      <c r="R25" s="463"/>
      <c r="S25" s="436"/>
      <c r="T25" s="436"/>
      <c r="U25" s="436"/>
      <c r="V25" s="436"/>
      <c r="W25" s="436"/>
      <c r="X25" s="436"/>
      <c r="Y25" s="436"/>
      <c r="Z25" s="436"/>
      <c r="AA25" s="460"/>
      <c r="AB25" s="460"/>
    </row>
    <row r="26" spans="1:28" s="67" customFormat="1">
      <c r="A26" s="468">
        <f>'ADJ DETAIL INPUT'!Q$10</f>
        <v>2.0799999999999983</v>
      </c>
      <c r="B26" s="56" t="str">
        <f>TRIM(CONCATENATE('ADJ DETAIL INPUT'!Q$7," ",'ADJ DETAIL INPUT'!Q$8," ",'ADJ DETAIL INPUT'!Q$9))</f>
        <v>Restate Excise Taxes</v>
      </c>
      <c r="C26" s="57"/>
      <c r="D26" s="57"/>
      <c r="E26" s="65">
        <v>0</v>
      </c>
      <c r="F26" s="65">
        <v>0</v>
      </c>
      <c r="G26" s="65"/>
      <c r="H26" s="65">
        <f>'ADJ DETAIL INPUT'!Q$58</f>
        <v>0</v>
      </c>
      <c r="I26" s="65">
        <f>'ADJ DETAIL INPUT'!Q$81</f>
        <v>0</v>
      </c>
      <c r="J26" s="68"/>
      <c r="K26" s="131">
        <f t="shared" si="10"/>
        <v>0</v>
      </c>
      <c r="L26" s="131">
        <f t="shared" si="11"/>
        <v>0</v>
      </c>
      <c r="M26" s="133"/>
      <c r="N26" s="134">
        <f t="shared" si="12"/>
        <v>0</v>
      </c>
      <c r="O26" s="134">
        <f t="shared" si="13"/>
        <v>0</v>
      </c>
      <c r="P26" s="164">
        <f t="shared" si="14"/>
        <v>0</v>
      </c>
      <c r="Q26" s="125"/>
      <c r="R26" s="463"/>
      <c r="S26" s="170"/>
      <c r="T26" s="436"/>
      <c r="U26" s="436"/>
      <c r="V26" s="436"/>
      <c r="W26" s="436"/>
      <c r="X26" s="436"/>
      <c r="Y26" s="436"/>
      <c r="Z26" s="436"/>
      <c r="AA26" s="460"/>
      <c r="AB26" s="460"/>
    </row>
    <row r="27" spans="1:28" s="67" customFormat="1">
      <c r="A27" s="468">
        <f>'ADJ DETAIL INPUT'!R$10</f>
        <v>2.0899999999999981</v>
      </c>
      <c r="B27" s="56" t="str">
        <f>TRIM(CONCATENATE('ADJ DETAIL INPUT'!R$7," ",'ADJ DETAIL INPUT'!R$8," ",'ADJ DETAIL INPUT'!R$9))</f>
        <v>Net Gains &amp; Losses</v>
      </c>
      <c r="C27" s="57"/>
      <c r="D27" s="57"/>
      <c r="E27" s="65">
        <v>10.27</v>
      </c>
      <c r="F27" s="65">
        <v>0</v>
      </c>
      <c r="G27" s="65"/>
      <c r="H27" s="65">
        <f>'ADJ DETAIL INPUT'!R$58</f>
        <v>10.27</v>
      </c>
      <c r="I27" s="65">
        <f>'ADJ DETAIL INPUT'!R$81</f>
        <v>0</v>
      </c>
      <c r="J27" s="68"/>
      <c r="K27" s="131">
        <f t="shared" ref="K27:L28" si="20">H27-E27</f>
        <v>0</v>
      </c>
      <c r="L27" s="131">
        <f t="shared" si="20"/>
        <v>0</v>
      </c>
      <c r="M27" s="133"/>
      <c r="N27" s="134">
        <f>K27/$N$10*-1</f>
        <v>0</v>
      </c>
      <c r="O27" s="134">
        <f>L27*$O$10/$N$10</f>
        <v>0</v>
      </c>
      <c r="P27" s="164">
        <f>N27+O27</f>
        <v>0</v>
      </c>
      <c r="Q27" s="125"/>
      <c r="R27" s="463"/>
      <c r="S27" s="436"/>
      <c r="T27" s="436"/>
      <c r="U27" s="436"/>
      <c r="V27" s="436"/>
      <c r="W27" s="436"/>
      <c r="X27" s="436"/>
      <c r="Y27" s="436"/>
      <c r="Z27" s="436"/>
      <c r="AA27" s="460"/>
      <c r="AB27" s="460"/>
    </row>
    <row r="28" spans="1:28" s="57" customFormat="1">
      <c r="A28" s="468">
        <f>'ADJ DETAIL INPUT'!S$10</f>
        <v>2.0999999999999979</v>
      </c>
      <c r="B28" s="56" t="str">
        <f>TRIM(CONCATENATE('ADJ DETAIL INPUT'!S$7," ",'ADJ DETAIL INPUT'!S$8," ",'ADJ DETAIL INPUT'!S$9))</f>
        <v>Weather Normalization / Gas Cost Adjust</v>
      </c>
      <c r="E28" s="65">
        <v>4.74</v>
      </c>
      <c r="F28" s="65">
        <v>0</v>
      </c>
      <c r="G28" s="65"/>
      <c r="H28" s="65">
        <f>'ADJ DETAIL INPUT'!S$58</f>
        <v>4.74</v>
      </c>
      <c r="I28" s="65">
        <f>'ADJ DETAIL INPUT'!S$81</f>
        <v>0</v>
      </c>
      <c r="J28" s="66"/>
      <c r="K28" s="131">
        <f t="shared" si="20"/>
        <v>0</v>
      </c>
      <c r="L28" s="131">
        <f t="shared" si="20"/>
        <v>0</v>
      </c>
      <c r="M28" s="36"/>
      <c r="N28" s="134">
        <f>K28/$N$10*-1</f>
        <v>0</v>
      </c>
      <c r="O28" s="134">
        <f>L28*$O$10/$N$10</f>
        <v>0</v>
      </c>
      <c r="P28" s="164">
        <f>N28+O28</f>
        <v>0</v>
      </c>
      <c r="Q28" s="120"/>
      <c r="R28" s="463"/>
      <c r="S28" s="436"/>
      <c r="T28" s="436"/>
      <c r="U28" s="436"/>
      <c r="V28" s="436"/>
      <c r="W28" s="436"/>
      <c r="X28" s="436"/>
      <c r="Y28" s="436"/>
      <c r="Z28" s="436"/>
      <c r="AA28" s="460"/>
      <c r="AB28" s="460"/>
    </row>
    <row r="29" spans="1:28" s="431" customFormat="1">
      <c r="A29" s="468">
        <f>'ADJ DETAIL INPUT'!T$10</f>
        <v>2.1099999999999977</v>
      </c>
      <c r="B29" s="56" t="str">
        <f>TRIM(CONCATENATE('ADJ DETAIL INPUT'!T$7," ",'ADJ DETAIL INPUT'!T$8," ",'ADJ DETAIL INPUT'!T$9))</f>
        <v>Eliminate Adder Schedules</v>
      </c>
      <c r="E29" s="65">
        <v>-9.0000000000031832E-2</v>
      </c>
      <c r="F29" s="65">
        <v>0</v>
      </c>
      <c r="G29" s="65"/>
      <c r="H29" s="65">
        <f>'ADJ DETAIL INPUT'!T$58</f>
        <v>-9.0000000000031832E-2</v>
      </c>
      <c r="I29" s="65">
        <f>'ADJ DETAIL INPUT'!T$81</f>
        <v>0</v>
      </c>
      <c r="J29" s="66"/>
      <c r="K29" s="435">
        <f t="shared" ref="K29" si="21">H29-E29</f>
        <v>0</v>
      </c>
      <c r="L29" s="435">
        <f t="shared" ref="L29" si="22">I29-F29</f>
        <v>0</v>
      </c>
      <c r="M29" s="428"/>
      <c r="N29" s="439">
        <f>K29/$N$10*-1</f>
        <v>0</v>
      </c>
      <c r="O29" s="439">
        <f>L29*$O$10/$N$10</f>
        <v>0</v>
      </c>
      <c r="P29" s="440">
        <f>N29+O29</f>
        <v>0</v>
      </c>
      <c r="Q29" s="438"/>
      <c r="R29" s="463"/>
      <c r="S29" s="170"/>
      <c r="T29" s="436"/>
      <c r="U29" s="436"/>
      <c r="V29" s="436"/>
      <c r="W29" s="436"/>
      <c r="X29" s="436"/>
      <c r="Y29" s="436"/>
      <c r="Z29" s="436"/>
      <c r="AA29" s="460"/>
      <c r="AB29" s="460"/>
    </row>
    <row r="30" spans="1:28" s="125" customFormat="1">
      <c r="A30" s="468">
        <f>'ADJ DETAIL INPUT'!U$10</f>
        <v>2.1199999999999974</v>
      </c>
      <c r="B30" s="119" t="str">
        <f>TRIM(CONCATENATE('ADJ DETAIL INPUT'!U$7," ",'ADJ DETAIL INPUT'!U$8," ",'ADJ DETAIL INPUT'!U$9))</f>
        <v>Misc. Restating Non-Util / Non- Recurring Expense</v>
      </c>
      <c r="C30" s="120"/>
      <c r="D30" s="120"/>
      <c r="E30" s="121">
        <v>390.26</v>
      </c>
      <c r="F30" s="121">
        <v>0</v>
      </c>
      <c r="G30" s="121"/>
      <c r="H30" s="121">
        <f>'ADJ DETAIL INPUT'!U$58</f>
        <v>390.26</v>
      </c>
      <c r="I30" s="121">
        <f>'ADJ DETAIL INPUT'!U$81</f>
        <v>0</v>
      </c>
      <c r="J30" s="126"/>
      <c r="K30" s="131">
        <f t="shared" si="10"/>
        <v>0</v>
      </c>
      <c r="L30" s="131">
        <f t="shared" si="11"/>
        <v>0</v>
      </c>
      <c r="M30" s="133"/>
      <c r="N30" s="134">
        <f t="shared" si="12"/>
        <v>0</v>
      </c>
      <c r="O30" s="134">
        <f t="shared" si="13"/>
        <v>0</v>
      </c>
      <c r="P30" s="164">
        <f t="shared" si="14"/>
        <v>0</v>
      </c>
      <c r="R30" s="463"/>
      <c r="S30" s="436"/>
      <c r="T30" s="436"/>
      <c r="U30" s="436"/>
      <c r="V30" s="436"/>
      <c r="W30" s="436"/>
      <c r="X30" s="436"/>
      <c r="Y30" s="436"/>
      <c r="Z30" s="436"/>
      <c r="AA30" s="463"/>
      <c r="AB30" s="463"/>
    </row>
    <row r="31" spans="1:28" s="125" customFormat="1">
      <c r="A31" s="468">
        <f>'ADJ DETAIL INPUT'!V$10</f>
        <v>2.1299999999999972</v>
      </c>
      <c r="B31" s="119" t="str">
        <f>TRIM(CONCATENATE('ADJ DETAIL INPUT'!V$7," ",'ADJ DETAIL INPUT'!V$8," ",'ADJ DETAIL INPUT'!V$9))</f>
        <v>Restating Incentives Expense</v>
      </c>
      <c r="C31" s="438"/>
      <c r="D31" s="438"/>
      <c r="E31" s="121">
        <v>56.88</v>
      </c>
      <c r="F31" s="121">
        <v>0</v>
      </c>
      <c r="G31" s="121"/>
      <c r="H31" s="121">
        <f>'ADJ DETAIL INPUT'!V$58</f>
        <v>555.37</v>
      </c>
      <c r="I31" s="121">
        <f>'ADJ DETAIL INPUT'!V$81</f>
        <v>0</v>
      </c>
      <c r="J31" s="126"/>
      <c r="K31" s="435">
        <f t="shared" ref="K31:L33" si="23">H31-E31</f>
        <v>498.49</v>
      </c>
      <c r="L31" s="435">
        <f t="shared" si="23"/>
        <v>0</v>
      </c>
      <c r="M31" s="133"/>
      <c r="N31" s="439">
        <f>K31/$N$10*-1</f>
        <v>-660.14848010509616</v>
      </c>
      <c r="O31" s="439">
        <f>L31*$O$10/$N$10</f>
        <v>0</v>
      </c>
      <c r="P31" s="440">
        <f>N31+O31</f>
        <v>-660.14848010509616</v>
      </c>
      <c r="Q31" s="463"/>
      <c r="R31" s="463"/>
      <c r="S31" s="436"/>
      <c r="T31" s="436"/>
      <c r="U31" s="436"/>
      <c r="V31" s="463"/>
      <c r="W31" s="463"/>
      <c r="X31" s="463"/>
      <c r="Y31" s="463"/>
      <c r="Z31" s="463"/>
      <c r="AA31" s="463"/>
      <c r="AB31" s="463"/>
    </row>
    <row r="32" spans="1:28" s="125" customFormat="1">
      <c r="A32" s="468">
        <f>'ADJ DETAIL INPUT'!W$10</f>
        <v>2.139999999999997</v>
      </c>
      <c r="B32" s="119" t="str">
        <f>TRIM(CONCATENATE('ADJ DETAIL INPUT'!W$7," ",'ADJ DETAIL INPUT'!W$8," ",'ADJ DETAIL INPUT'!W$9))</f>
        <v>Restate Debt Interest</v>
      </c>
      <c r="C32" s="120"/>
      <c r="D32" s="120"/>
      <c r="E32" s="121">
        <v>-249</v>
      </c>
      <c r="F32" s="121">
        <v>0</v>
      </c>
      <c r="G32" s="121"/>
      <c r="H32" s="121">
        <f>'ADJ DETAIL INPUT'!W$58</f>
        <v>-132</v>
      </c>
      <c r="I32" s="121">
        <f>'ADJ DETAIL INPUT'!W$81</f>
        <v>0</v>
      </c>
      <c r="J32" s="126"/>
      <c r="K32" s="131">
        <f t="shared" si="23"/>
        <v>117</v>
      </c>
      <c r="L32" s="131">
        <f t="shared" si="23"/>
        <v>0</v>
      </c>
      <c r="M32" s="133"/>
      <c r="N32" s="134">
        <f>K32/$N$10*-1</f>
        <v>-154.94267121165169</v>
      </c>
      <c r="O32" s="134">
        <f>L32*$O$10/$N$10</f>
        <v>0</v>
      </c>
      <c r="P32" s="164">
        <f>N32+O32</f>
        <v>-154.94267121165169</v>
      </c>
      <c r="Q32" s="124" t="s">
        <v>177</v>
      </c>
      <c r="R32" s="463"/>
      <c r="S32" s="436"/>
      <c r="T32" s="436"/>
      <c r="U32" s="436"/>
      <c r="V32" s="463"/>
      <c r="W32" s="463"/>
      <c r="X32" s="463"/>
      <c r="Y32" s="463"/>
      <c r="Z32" s="463"/>
      <c r="AA32" s="463"/>
      <c r="AB32" s="463"/>
    </row>
    <row r="33" spans="1:28" s="125" customFormat="1">
      <c r="A33" s="468">
        <f>'ADJ DETAIL INPUT'!X$10</f>
        <v>2.1499999999999968</v>
      </c>
      <c r="B33" s="119" t="str">
        <f>TRIM(CONCATENATE('ADJ DETAIL INPUT'!X$7," ",'ADJ DETAIL INPUT'!X$8," ",'ADJ DETAIL INPUT'!X$9))</f>
        <v>Restate 2018 AMA Rate Base to EOP</v>
      </c>
      <c r="C33" s="438"/>
      <c r="D33" s="438"/>
      <c r="E33" s="121">
        <v>-1066.923413</v>
      </c>
      <c r="F33" s="121">
        <v>32271</v>
      </c>
      <c r="G33" s="121"/>
      <c r="H33" s="121">
        <f>'ADJ DETAIL INPUT'!X$58</f>
        <v>-1056.080357</v>
      </c>
      <c r="I33" s="121">
        <f>'ADJ DETAIL INPUT'!X$81</f>
        <v>32271</v>
      </c>
      <c r="J33" s="126"/>
      <c r="K33" s="435">
        <f t="shared" si="23"/>
        <v>10.843055999999933</v>
      </c>
      <c r="L33" s="435">
        <f t="shared" si="23"/>
        <v>0</v>
      </c>
      <c r="M33" s="133"/>
      <c r="N33" s="439">
        <f>K33/$N$10*-1</f>
        <v>-14.359419322542879</v>
      </c>
      <c r="O33" s="439">
        <f>L33*$O$10/$N$10</f>
        <v>0</v>
      </c>
      <c r="P33" s="440">
        <f>N33+O33</f>
        <v>-14.359419322542879</v>
      </c>
      <c r="Q33" s="463"/>
      <c r="R33" s="463"/>
      <c r="S33" s="436"/>
      <c r="T33" s="436"/>
      <c r="U33" s="436"/>
      <c r="V33" s="463"/>
      <c r="W33" s="463"/>
      <c r="X33" s="463"/>
      <c r="Y33" s="463"/>
      <c r="Z33" s="463"/>
      <c r="AA33" s="463"/>
      <c r="AB33" s="463"/>
    </row>
    <row r="34" spans="1:28" ht="18" customHeight="1" thickBot="1">
      <c r="A34" s="468"/>
      <c r="B34" s="36" t="s">
        <v>75</v>
      </c>
      <c r="E34" s="63">
        <f>SUM(E17:E33)</f>
        <v>23963.311662999997</v>
      </c>
      <c r="F34" s="63">
        <f>SUM(F17:F33)</f>
        <v>373637</v>
      </c>
      <c r="G34" s="63"/>
      <c r="H34" s="63">
        <f>SUM(H17:H33)</f>
        <v>24627.484606999999</v>
      </c>
      <c r="I34" s="63">
        <f>SUM(I17:I33)</f>
        <v>373637</v>
      </c>
      <c r="J34" s="49"/>
      <c r="K34" s="63">
        <f>SUM(K17:K33)</f>
        <v>664.17294399999992</v>
      </c>
      <c r="L34" s="63">
        <f>SUM(L17:L33)</f>
        <v>0</v>
      </c>
      <c r="M34" s="63"/>
      <c r="N34" s="63">
        <f>SUM(N17:N33)</f>
        <v>-879.56179563988667</v>
      </c>
      <c r="O34" s="63">
        <f>SUM(O17:O33)</f>
        <v>0</v>
      </c>
      <c r="S34" s="436"/>
    </row>
    <row r="35" spans="1:28" ht="6.75" customHeight="1" thickTop="1">
      <c r="A35" s="468"/>
      <c r="D35" s="60"/>
      <c r="E35" s="60"/>
      <c r="H35" s="60"/>
      <c r="J35" s="49"/>
      <c r="K35" s="132"/>
      <c r="L35" s="132"/>
      <c r="N35" s="61"/>
      <c r="O35" s="61"/>
      <c r="S35" s="436"/>
    </row>
    <row r="36" spans="1:28" s="124" customFormat="1">
      <c r="A36" s="468">
        <f>'ADJ DETAIL INPUT'!AA$10</f>
        <v>3.01</v>
      </c>
      <c r="B36" s="119" t="str">
        <f>TRIM(CONCATENATE('ADJ DETAIL INPUT'!AA$7," ",'ADJ DETAIL INPUT'!AA$8," ",'ADJ DETAIL INPUT'!AA$9))</f>
        <v>Pro Forma Revenue Normalization</v>
      </c>
      <c r="C36" s="120"/>
      <c r="D36" s="120"/>
      <c r="E36" s="121">
        <v>403.69</v>
      </c>
      <c r="F36" s="121">
        <v>0</v>
      </c>
      <c r="G36" s="121"/>
      <c r="H36" s="121">
        <f>'ADJ DETAIL INPUT'!AA$58</f>
        <v>403.69</v>
      </c>
      <c r="I36" s="121">
        <f>'ADJ DETAIL INPUT'!AA$81</f>
        <v>0</v>
      </c>
      <c r="J36" s="122"/>
      <c r="K36" s="131">
        <f>H36-E36</f>
        <v>0</v>
      </c>
      <c r="L36" s="131">
        <f>I36-F36</f>
        <v>0</v>
      </c>
      <c r="M36" s="36"/>
      <c r="N36" s="134">
        <f>K36/$N$10*-1</f>
        <v>0</v>
      </c>
      <c r="O36" s="134">
        <f>L36*$O$10/$N$10</f>
        <v>0</v>
      </c>
      <c r="P36" s="166">
        <f>N36+O36</f>
        <v>0</v>
      </c>
      <c r="Q36" s="436"/>
      <c r="R36" s="436"/>
      <c r="S36" s="436"/>
      <c r="T36" s="436"/>
      <c r="U36" s="436"/>
      <c r="V36" s="463"/>
      <c r="W36" s="463"/>
      <c r="X36" s="463"/>
      <c r="Y36" s="463"/>
      <c r="Z36" s="463"/>
      <c r="AA36" s="463"/>
      <c r="AB36" s="463"/>
    </row>
    <row r="37" spans="1:28" s="463" customFormat="1">
      <c r="A37" s="468">
        <f>'ADJ DETAIL INPUT'!AB$10</f>
        <v>3.0199999999999996</v>
      </c>
      <c r="B37" s="119" t="str">
        <f>TRIM(CONCATENATE('ADJ DETAIL INPUT'!AB$7," ",'ADJ DETAIL INPUT'!AB$8," ",'ADJ DETAIL INPUT'!AB$9))</f>
        <v>Pro Forma LEAP Deferral Amortization</v>
      </c>
      <c r="C37" s="438"/>
      <c r="D37" s="438"/>
      <c r="E37" s="121">
        <v>-1378.0372849999999</v>
      </c>
      <c r="F37" s="121">
        <v>95</v>
      </c>
      <c r="G37" s="121"/>
      <c r="H37" s="121">
        <f>'ADJ DETAIL INPUT'!AB$58</f>
        <v>-1378.005365</v>
      </c>
      <c r="I37" s="121">
        <f>'ADJ DETAIL INPUT'!AB$81</f>
        <v>95</v>
      </c>
      <c r="J37" s="436"/>
      <c r="K37" s="435">
        <f t="shared" ref="K37" si="24">H37-E37</f>
        <v>3.1919999999900028E-2</v>
      </c>
      <c r="L37" s="435">
        <f t="shared" ref="L37" si="25">I37-F37</f>
        <v>0</v>
      </c>
      <c r="M37" s="460"/>
      <c r="N37" s="439">
        <f t="shared" ref="N37" si="26">K37/$N$10*-1</f>
        <v>-4.2271539017610535E-2</v>
      </c>
      <c r="O37" s="439">
        <f t="shared" ref="O37" si="27">L37*$O$10/$N$10</f>
        <v>0</v>
      </c>
      <c r="P37" s="166">
        <f t="shared" ref="P37" si="28">N37+O37</f>
        <v>-4.2271539017610535E-2</v>
      </c>
      <c r="Q37" s="436"/>
      <c r="R37" s="436"/>
      <c r="S37" s="436"/>
      <c r="T37" s="436"/>
      <c r="U37" s="436"/>
    </row>
    <row r="38" spans="1:28">
      <c r="A38" s="468">
        <f>'ADJ DETAIL INPUT'!AC$10</f>
        <v>3.0299999999999994</v>
      </c>
      <c r="B38" s="56" t="str">
        <f>TRIM(CONCATENATE('ADJ DETAIL INPUT'!AC$7," ",'ADJ DETAIL INPUT'!AC$8," ",'ADJ DETAIL INPUT'!AC$9))</f>
        <v>Pro Forma Labor Non-Exec</v>
      </c>
      <c r="C38" s="57"/>
      <c r="D38" s="57"/>
      <c r="E38" s="65">
        <v>-576.70000000000005</v>
      </c>
      <c r="F38" s="65">
        <v>0</v>
      </c>
      <c r="G38" s="65"/>
      <c r="H38" s="65">
        <f>'ADJ DETAIL INPUT'!AC$58</f>
        <v>-396.58</v>
      </c>
      <c r="I38" s="65">
        <f>'ADJ DETAIL INPUT'!AC$81</f>
        <v>0</v>
      </c>
      <c r="J38" s="49"/>
      <c r="K38" s="131">
        <f t="shared" ref="K38:K39" si="29">H38-E38</f>
        <v>180.12000000000006</v>
      </c>
      <c r="L38" s="131">
        <f t="shared" ref="L38:L39" si="30">I38-F38</f>
        <v>0</v>
      </c>
      <c r="N38" s="134">
        <f t="shared" ref="N38:N39" si="31">K38/$N$10*-1</f>
        <v>-238.53225588583516</v>
      </c>
      <c r="O38" s="134">
        <f t="shared" ref="O38:O39" si="32">L38*$O$10/$N$10</f>
        <v>0</v>
      </c>
      <c r="P38" s="164">
        <f t="shared" ref="P38:P39" si="33">N38+O38</f>
        <v>-238.53225588583516</v>
      </c>
      <c r="S38" s="170"/>
    </row>
    <row r="39" spans="1:28" ht="13.5" customHeight="1">
      <c r="A39" s="468">
        <f>'ADJ DETAIL INPUT'!AD$10</f>
        <v>3.0399999999999991</v>
      </c>
      <c r="B39" s="56" t="str">
        <f>TRIM(CONCATENATE('ADJ DETAIL INPUT'!AD$7," ",'ADJ DETAIL INPUT'!AD$8," ",'ADJ DETAIL INPUT'!AD$9))</f>
        <v>Pro Forma Labor Exec</v>
      </c>
      <c r="C39" s="57"/>
      <c r="D39" s="57"/>
      <c r="E39" s="65">
        <v>-80.58</v>
      </c>
      <c r="F39" s="65">
        <v>0</v>
      </c>
      <c r="G39" s="65"/>
      <c r="H39" s="65">
        <f>'ADJ DETAIL INPUT'!AD$58</f>
        <v>-21.33</v>
      </c>
      <c r="I39" s="65">
        <f>'ADJ DETAIL INPUT'!AD$81</f>
        <v>0</v>
      </c>
      <c r="J39" s="49"/>
      <c r="K39" s="131">
        <f t="shared" si="29"/>
        <v>59.25</v>
      </c>
      <c r="L39" s="131">
        <f t="shared" si="30"/>
        <v>0</v>
      </c>
      <c r="N39" s="134">
        <f t="shared" si="31"/>
        <v>-78.464557857182584</v>
      </c>
      <c r="O39" s="134">
        <f t="shared" si="32"/>
        <v>0</v>
      </c>
      <c r="P39" s="164">
        <f t="shared" si="33"/>
        <v>-78.464557857182584</v>
      </c>
      <c r="S39" s="170"/>
    </row>
    <row r="40" spans="1:28">
      <c r="A40" s="468">
        <f>'ADJ DETAIL INPUT'!AE$10</f>
        <v>3.0499999999999989</v>
      </c>
      <c r="B40" s="56" t="str">
        <f>TRIM(CONCATENATE('ADJ DETAIL INPUT'!AE$7," ",'ADJ DETAIL INPUT'!AE$8," ",'ADJ DETAIL INPUT'!AE$9))</f>
        <v>Pro Forma Employee Benefits</v>
      </c>
      <c r="C40" s="57"/>
      <c r="D40" s="57"/>
      <c r="E40" s="65">
        <v>-632</v>
      </c>
      <c r="F40" s="65">
        <v>0</v>
      </c>
      <c r="G40" s="65"/>
      <c r="H40" s="65">
        <f>'ADJ DETAIL INPUT'!AE$58</f>
        <v>-255.17000000000002</v>
      </c>
      <c r="I40" s="65">
        <f>'ADJ DETAIL INPUT'!AE$81</f>
        <v>0</v>
      </c>
      <c r="J40" s="49"/>
      <c r="K40" s="131">
        <f t="shared" ref="K40:L40" si="34">H40-E40</f>
        <v>376.83</v>
      </c>
      <c r="L40" s="131">
        <f t="shared" si="34"/>
        <v>0</v>
      </c>
      <c r="N40" s="134">
        <f>K40/$N$10*-1</f>
        <v>-499.03458797168128</v>
      </c>
      <c r="O40" s="134">
        <f>L40*$O$10/$N$10</f>
        <v>0</v>
      </c>
      <c r="P40" s="164">
        <f>N40+O40</f>
        <v>-499.03458797168128</v>
      </c>
      <c r="S40" s="170"/>
    </row>
    <row r="41" spans="1:28" s="125" customFormat="1">
      <c r="A41" s="468">
        <f>'ADJ DETAIL INPUT'!AF$10</f>
        <v>3.0599999999999987</v>
      </c>
      <c r="B41" s="119" t="str">
        <f>TRIM(CONCATENATE('ADJ DETAIL INPUT'!AF$7," ",'ADJ DETAIL INPUT'!AF$8," ",'ADJ DETAIL INPUT'!AF$9))</f>
        <v>Pro Forma Insurance Expense</v>
      </c>
      <c r="C41" s="120"/>
      <c r="D41" s="120"/>
      <c r="E41" s="121">
        <v>-8.69</v>
      </c>
      <c r="F41" s="121">
        <v>0</v>
      </c>
      <c r="G41" s="121"/>
      <c r="H41" s="121">
        <f>'ADJ DETAIL INPUT'!AF$58</f>
        <v>33.97</v>
      </c>
      <c r="I41" s="121">
        <f>'ADJ DETAIL INPUT'!AF$81</f>
        <v>0</v>
      </c>
      <c r="J41" s="126"/>
      <c r="K41" s="131">
        <f t="shared" ref="K41" si="35">H41-E41</f>
        <v>42.66</v>
      </c>
      <c r="L41" s="131">
        <f t="shared" ref="L41" si="36">I41-F41</f>
        <v>0</v>
      </c>
      <c r="M41" s="133"/>
      <c r="N41" s="134">
        <f>K41/$N$10*-1</f>
        <v>-56.494481657171463</v>
      </c>
      <c r="O41" s="134">
        <f>L41*$O$10/$N$10</f>
        <v>0</v>
      </c>
      <c r="P41" s="166">
        <f>N41+O41</f>
        <v>-56.494481657171463</v>
      </c>
      <c r="Q41" s="126"/>
      <c r="R41" s="436"/>
      <c r="S41" s="170"/>
      <c r="T41" s="436"/>
      <c r="U41" s="436"/>
      <c r="V41" s="463"/>
      <c r="W41" s="463"/>
      <c r="X41" s="463"/>
      <c r="Y41" s="463"/>
      <c r="Z41" s="463"/>
      <c r="AA41" s="463"/>
      <c r="AB41" s="463"/>
    </row>
    <row r="42" spans="1:28" s="463" customFormat="1">
      <c r="A42" s="493">
        <f>'ADJ DETAIL INPUT'!AG$10</f>
        <v>3.0699999999999985</v>
      </c>
      <c r="B42" s="494" t="str">
        <f>TRIM(CONCATENATE('ADJ DETAIL INPUT'!AG$7," ",'ADJ DETAIL INPUT'!AG$8," ",'ADJ DETAIL INPUT'!AG$9))</f>
        <v>Pro Forma IS/IT Expense</v>
      </c>
      <c r="C42" s="165"/>
      <c r="D42" s="165"/>
      <c r="E42" s="488">
        <v>-459.78</v>
      </c>
      <c r="F42" s="488">
        <v>0</v>
      </c>
      <c r="G42" s="488"/>
      <c r="H42" s="488">
        <f>'ADJ DETAIL INPUT'!AG$58</f>
        <v>-190.39</v>
      </c>
      <c r="I42" s="488">
        <f>'ADJ DETAIL INPUT'!AG$81</f>
        <v>0</v>
      </c>
      <c r="J42" s="436"/>
      <c r="K42" s="489">
        <f t="shared" ref="K42" si="37">H42-E42</f>
        <v>269.39</v>
      </c>
      <c r="L42" s="489">
        <f t="shared" ref="L42" si="38">I42-F42</f>
        <v>0</v>
      </c>
      <c r="M42" s="429"/>
      <c r="N42" s="490">
        <f t="shared" ref="N42" si="39">K42/$N$10*-1</f>
        <v>-356.75218972399017</v>
      </c>
      <c r="O42" s="490">
        <f t="shared" ref="O42" si="40">L42*$O$10/$N$10</f>
        <v>0</v>
      </c>
      <c r="P42" s="166">
        <f t="shared" ref="P42" si="41">N42+O42</f>
        <v>-356.75218972399017</v>
      </c>
      <c r="Q42" s="436"/>
      <c r="R42" s="436"/>
      <c r="S42" s="436"/>
      <c r="T42" s="436"/>
      <c r="U42" s="436"/>
    </row>
    <row r="43" spans="1:28">
      <c r="A43" s="468">
        <f>'ADJ DETAIL INPUT'!AH$10</f>
        <v>3.0799999999999983</v>
      </c>
      <c r="B43" s="56" t="str">
        <f>TRIM(CONCATENATE('ADJ DETAIL INPUT'!AH$7," ",'ADJ DETAIL INPUT'!AH$8," ",'ADJ DETAIL INPUT'!AH$9))</f>
        <v>Pro Forma Property Tax</v>
      </c>
      <c r="C43" s="57"/>
      <c r="D43" s="57"/>
      <c r="E43" s="65">
        <v>-376.04</v>
      </c>
      <c r="F43" s="65">
        <v>0</v>
      </c>
      <c r="G43" s="65"/>
      <c r="H43" s="65">
        <f>'ADJ DETAIL INPUT'!AH$58</f>
        <v>-167.48000000000002</v>
      </c>
      <c r="I43" s="65">
        <f>'ADJ DETAIL INPUT'!AH$81</f>
        <v>0</v>
      </c>
      <c r="J43" s="49"/>
      <c r="K43" s="131">
        <f t="shared" ref="K43" si="42">H43-E43</f>
        <v>208.56</v>
      </c>
      <c r="L43" s="131">
        <f t="shared" ref="L43" si="43">I43-F43</f>
        <v>0</v>
      </c>
      <c r="N43" s="134">
        <f>K43/$N$10*-1</f>
        <v>-276.19524365728273</v>
      </c>
      <c r="O43" s="134">
        <f>L43*$O$10/$N$10</f>
        <v>0</v>
      </c>
      <c r="P43" s="166">
        <f>N43+O43</f>
        <v>-276.19524365728273</v>
      </c>
      <c r="Q43" s="436"/>
      <c r="R43" s="436"/>
      <c r="S43" s="170"/>
    </row>
    <row r="44" spans="1:28" s="437" customFormat="1">
      <c r="A44" s="468">
        <f>'ADJ DETAIL INPUT'!AI$10</f>
        <v>3.0899999999999981</v>
      </c>
      <c r="B44" s="119" t="str">
        <f>TRIM(CONCATENATE('ADJ DETAIL INPUT'!AI$7," ",'ADJ DETAIL INPUT'!AI$8," ",'ADJ DETAIL INPUT'!AI$9))</f>
        <v>Pro Forma Depreciation Expense</v>
      </c>
      <c r="C44" s="438"/>
      <c r="D44" s="438"/>
      <c r="E44" s="121">
        <v>1199.22</v>
      </c>
      <c r="F44" s="121">
        <v>0</v>
      </c>
      <c r="G44" s="121"/>
      <c r="H44" s="121">
        <f>'ADJ DETAIL INPUT'!AI$58</f>
        <v>1199.22</v>
      </c>
      <c r="I44" s="121">
        <f>'ADJ DETAIL INPUT'!AI$81</f>
        <v>0</v>
      </c>
      <c r="J44" s="436"/>
      <c r="K44" s="435">
        <f t="shared" ref="K44" si="44">H44-E44</f>
        <v>0</v>
      </c>
      <c r="L44" s="435">
        <f t="shared" ref="L44" si="45">I44-F44</f>
        <v>0</v>
      </c>
      <c r="M44" s="428"/>
      <c r="N44" s="439">
        <f t="shared" ref="N44" si="46">K44/$N$10*-1</f>
        <v>0</v>
      </c>
      <c r="O44" s="439">
        <f t="shared" ref="O44" si="47">L44*$O$10/$N$10</f>
        <v>0</v>
      </c>
      <c r="P44" s="440">
        <f t="shared" ref="P44" si="48">N44+O44</f>
        <v>0</v>
      </c>
      <c r="R44" s="463"/>
      <c r="S44" s="436"/>
      <c r="T44" s="436"/>
      <c r="U44" s="436"/>
      <c r="V44" s="463"/>
      <c r="W44" s="463"/>
      <c r="X44" s="463"/>
      <c r="Y44" s="463"/>
      <c r="Z44" s="463"/>
      <c r="AA44" s="463"/>
      <c r="AB44" s="463"/>
    </row>
    <row r="45" spans="1:28" s="124" customFormat="1">
      <c r="A45" s="468">
        <f>'ADJ DETAIL INPUT'!AJ$10</f>
        <v>3.0999999999999979</v>
      </c>
      <c r="B45" s="119" t="str">
        <f>TRIM(CONCATENATE('ADJ DETAIL INPUT'!AJ$7," ",'ADJ DETAIL INPUT'!AJ$8," ",'ADJ DETAIL INPUT'!AJ$9))</f>
        <v>Pro Forma 2019 Major Capital Adds</v>
      </c>
      <c r="C45" s="120"/>
      <c r="D45" s="120"/>
      <c r="E45" s="121">
        <v>-1144.2725740000001</v>
      </c>
      <c r="F45" s="121">
        <v>25258</v>
      </c>
      <c r="G45" s="121"/>
      <c r="H45" s="121">
        <f>'ADJ DETAIL INPUT'!AJ$58</f>
        <v>0</v>
      </c>
      <c r="I45" s="121">
        <f>'ADJ DETAIL INPUT'!AJ$81</f>
        <v>0</v>
      </c>
      <c r="J45" s="122"/>
      <c r="K45" s="131">
        <f t="shared" ref="K45" si="49">H45-E45</f>
        <v>1144.2725740000001</v>
      </c>
      <c r="L45" s="131">
        <f t="shared" ref="L45" si="50">I45-F45</f>
        <v>-25258</v>
      </c>
      <c r="M45" s="36"/>
      <c r="N45" s="134">
        <f t="shared" ref="N45" si="51">K45/$N$10*-1</f>
        <v>-1515.3559761520719</v>
      </c>
      <c r="O45" s="134">
        <f t="shared" ref="O45" si="52">L45*$O$10/$N$10</f>
        <v>-2328.055747578524</v>
      </c>
      <c r="P45" s="166">
        <f t="shared" ref="P45" si="53">N45+O45</f>
        <v>-3843.4117237305959</v>
      </c>
      <c r="Q45" s="436"/>
      <c r="R45" s="436"/>
      <c r="S45" s="436"/>
      <c r="T45" s="436"/>
      <c r="U45" s="436"/>
      <c r="V45" s="463"/>
      <c r="W45" s="463"/>
      <c r="X45" s="463"/>
      <c r="Y45" s="463"/>
      <c r="Z45" s="463"/>
      <c r="AA45" s="463"/>
      <c r="AB45" s="463"/>
    </row>
    <row r="46" spans="1:28" s="124" customFormat="1">
      <c r="A46" s="468">
        <f>'ADJ DETAIL INPUT'!AK$10</f>
        <v>3.1099999999999977</v>
      </c>
      <c r="B46" s="119" t="str">
        <f>TRIM(CONCATENATE('ADJ DETAIL INPUT'!AK$7," ",'ADJ DETAIL INPUT'!AK$8," ",'ADJ DETAIL INPUT'!AK$9))</f>
        <v>Pro Forma O&amp;M Offsets</v>
      </c>
      <c r="C46" s="120"/>
      <c r="D46" s="120"/>
      <c r="E46" s="121">
        <v>11.06</v>
      </c>
      <c r="F46" s="121">
        <v>0</v>
      </c>
      <c r="G46" s="121"/>
      <c r="H46" s="121">
        <f>'ADJ DETAIL INPUT'!AK$58</f>
        <v>0</v>
      </c>
      <c r="I46" s="121">
        <f>'ADJ DETAIL INPUT'!AK$81</f>
        <v>0</v>
      </c>
      <c r="J46" s="122"/>
      <c r="K46" s="131">
        <f t="shared" ref="K46" si="54">H46-E46</f>
        <v>-11.06</v>
      </c>
      <c r="L46" s="131">
        <f t="shared" ref="L46" si="55">I46-F46</f>
        <v>0</v>
      </c>
      <c r="M46" s="36"/>
      <c r="N46" s="134">
        <f t="shared" ref="N46" si="56">K46/$N$10*-1</f>
        <v>14.646717466674085</v>
      </c>
      <c r="O46" s="134">
        <f t="shared" ref="O46" si="57">L46*$O$10/$N$10</f>
        <v>0</v>
      </c>
      <c r="P46" s="166">
        <f t="shared" ref="P46" si="58">N46+O46</f>
        <v>14.646717466674085</v>
      </c>
      <c r="Q46" s="436"/>
      <c r="R46" s="436"/>
      <c r="S46" s="436"/>
      <c r="T46" s="436"/>
      <c r="U46" s="436"/>
      <c r="V46" s="463"/>
      <c r="W46" s="463"/>
      <c r="X46" s="463"/>
      <c r="Y46" s="463"/>
      <c r="Z46" s="463"/>
      <c r="AA46" s="463"/>
      <c r="AB46" s="463"/>
    </row>
    <row r="47" spans="1:28" s="463" customFormat="1" ht="12" customHeight="1">
      <c r="A47" s="468">
        <f>'ADJ DETAIL INPUT'!AL$10</f>
        <v>3.1199999999999974</v>
      </c>
      <c r="B47" s="119" t="str">
        <f>TRIM(CONCATENATE('ADJ DETAIL INPUT'!AL$7," ",'ADJ DETAIL INPUT'!AL$8," ",'ADJ DETAIL INPUT'!AL$9))</f>
        <v>Pro Forma Fee Free Amortization</v>
      </c>
      <c r="C47" s="438"/>
      <c r="D47" s="438"/>
      <c r="E47" s="121">
        <v>-684.93000000000006</v>
      </c>
      <c r="F47" s="121">
        <v>0</v>
      </c>
      <c r="G47" s="121"/>
      <c r="H47" s="121">
        <f>'ADJ DETAIL INPUT'!AL$58</f>
        <v>-684.93000000000006</v>
      </c>
      <c r="I47" s="121">
        <f>'ADJ DETAIL INPUT'!AL$81</f>
        <v>0</v>
      </c>
      <c r="J47" s="436"/>
      <c r="K47" s="435">
        <f t="shared" ref="K47" si="59">H47-E47</f>
        <v>0</v>
      </c>
      <c r="L47" s="435">
        <f t="shared" ref="L47" si="60">I47-F47</f>
        <v>0</v>
      </c>
      <c r="M47" s="460"/>
      <c r="N47" s="439">
        <f t="shared" ref="N47" si="61">K47/$N$10*-1</f>
        <v>0</v>
      </c>
      <c r="O47" s="439">
        <f t="shared" ref="O47" si="62">L47*$O$10/$N$10</f>
        <v>0</v>
      </c>
      <c r="P47" s="166">
        <f t="shared" ref="P47" si="63">N47+O47</f>
        <v>0</v>
      </c>
      <c r="Q47" s="436"/>
      <c r="R47" s="436"/>
      <c r="S47" s="436"/>
      <c r="T47" s="436"/>
      <c r="U47" s="436"/>
    </row>
    <row r="48" spans="1:28" s="437" customFormat="1" hidden="1">
      <c r="A48" s="468">
        <f>'ADJ DETAIL INPUT'!AM$10</f>
        <v>3.1299999999999972</v>
      </c>
      <c r="B48" s="119" t="str">
        <f>TRIM(CONCATENATE('ADJ DETAIL INPUT'!AM$7," ",'ADJ DETAIL INPUT'!AM$8," ",'ADJ DETAIL INPUT'!AM$9))</f>
        <v>Pro Forma Open</v>
      </c>
      <c r="C48" s="438"/>
      <c r="D48" s="438"/>
      <c r="E48" s="121"/>
      <c r="F48" s="121"/>
      <c r="G48" s="121"/>
      <c r="H48" s="121">
        <f>'ADJ DETAIL INPUT'!AM$58</f>
        <v>0</v>
      </c>
      <c r="I48" s="121">
        <f>'ADJ DETAIL INPUT'!AM$81</f>
        <v>0</v>
      </c>
      <c r="J48" s="436"/>
      <c r="K48" s="435">
        <f t="shared" ref="K48" si="64">H48-E48</f>
        <v>0</v>
      </c>
      <c r="L48" s="435">
        <f t="shared" ref="L48" si="65">I48-F48</f>
        <v>0</v>
      </c>
      <c r="M48" s="428"/>
      <c r="N48" s="439">
        <f t="shared" ref="N48" si="66">K48/$N$10*-1</f>
        <v>0</v>
      </c>
      <c r="O48" s="439">
        <f t="shared" ref="O48" si="67">L48*$O$10/$N$10</f>
        <v>0</v>
      </c>
      <c r="P48" s="166">
        <f t="shared" ref="P48" si="68">N48+O48</f>
        <v>0</v>
      </c>
      <c r="Q48" s="436"/>
      <c r="R48" s="436"/>
      <c r="S48" s="436"/>
      <c r="T48" s="436"/>
      <c r="U48" s="436"/>
      <c r="V48" s="463"/>
      <c r="W48" s="463"/>
      <c r="X48" s="463"/>
      <c r="Y48" s="463"/>
      <c r="Z48" s="463"/>
      <c r="AA48" s="463"/>
      <c r="AB48" s="463"/>
    </row>
    <row r="49" spans="1:28" s="124" customFormat="1" ht="15.75" customHeight="1">
      <c r="A49" s="468"/>
      <c r="B49" s="119"/>
      <c r="C49" s="120"/>
      <c r="D49" s="120"/>
      <c r="E49" s="58"/>
      <c r="F49" s="58"/>
      <c r="G49" s="121"/>
      <c r="H49" s="121"/>
      <c r="I49" s="121"/>
      <c r="J49" s="122"/>
      <c r="K49" s="131"/>
      <c r="L49" s="131"/>
      <c r="M49" s="36"/>
      <c r="N49" s="134"/>
      <c r="O49" s="134"/>
      <c r="P49" s="164"/>
      <c r="R49" s="463"/>
      <c r="S49" s="436"/>
      <c r="T49" s="436"/>
      <c r="U49" s="436"/>
      <c r="V49" s="463"/>
      <c r="W49" s="463"/>
      <c r="X49" s="463"/>
      <c r="Y49" s="463"/>
      <c r="Z49" s="463"/>
      <c r="AA49" s="463"/>
      <c r="AB49" s="463"/>
    </row>
    <row r="50" spans="1:28" ht="16.5" customHeight="1" thickBot="1">
      <c r="A50" s="468"/>
      <c r="B50" s="36" t="s">
        <v>123</v>
      </c>
      <c r="E50" s="63">
        <f>SUM(E34:E49)</f>
        <v>20236.251804</v>
      </c>
      <c r="F50" s="63">
        <f>SUM(F34:F49)</f>
        <v>398990</v>
      </c>
      <c r="G50" s="137"/>
      <c r="H50" s="63">
        <f>SUM(H34:H49)</f>
        <v>23170.479241999998</v>
      </c>
      <c r="I50" s="63">
        <f>SUM(I34:I49)</f>
        <v>373732</v>
      </c>
      <c r="J50" s="49"/>
      <c r="K50" s="63">
        <f>SUM(K34:K49)</f>
        <v>2934.2274379999999</v>
      </c>
      <c r="L50" s="63">
        <f>SUM(L34:L49)</f>
        <v>-25258</v>
      </c>
      <c r="M50" s="137"/>
      <c r="N50" s="63">
        <f>SUM(N34:N49)</f>
        <v>-3885.7866426174455</v>
      </c>
      <c r="O50" s="63">
        <f>SUM(O34:O49)</f>
        <v>-2328.055747578524</v>
      </c>
      <c r="P50" s="122"/>
      <c r="Q50" s="122"/>
      <c r="R50" s="436"/>
      <c r="S50" s="171"/>
      <c r="T50" s="498"/>
      <c r="V50" s="429"/>
    </row>
    <row r="51" spans="1:28" ht="19.5" customHeight="1" thickTop="1">
      <c r="A51" s="62"/>
      <c r="D51" s="60"/>
      <c r="E51" s="60"/>
      <c r="H51" s="172"/>
      <c r="I51" s="172"/>
      <c r="J51" s="49"/>
      <c r="K51" s="131"/>
      <c r="L51" s="131"/>
      <c r="O51" s="48">
        <f>N50+O50</f>
        <v>-6213.8423901959695</v>
      </c>
      <c r="P51" s="122"/>
      <c r="Q51" s="122"/>
      <c r="R51" s="436"/>
      <c r="S51" s="436"/>
      <c r="V51" s="429"/>
    </row>
    <row r="52" spans="1:28">
      <c r="A52" s="62"/>
      <c r="D52" s="60"/>
      <c r="E52" s="60"/>
      <c r="H52" s="60"/>
      <c r="J52" s="49"/>
      <c r="K52" s="116"/>
      <c r="O52" s="48"/>
      <c r="P52" s="122"/>
      <c r="Q52" s="122"/>
      <c r="R52" s="436"/>
      <c r="S52" s="436"/>
      <c r="V52" s="429"/>
    </row>
    <row r="53" spans="1:28" ht="19.5" customHeight="1">
      <c r="A53" s="469"/>
      <c r="B53" s="119"/>
      <c r="D53" s="60"/>
      <c r="E53" s="60"/>
      <c r="F53" s="61"/>
      <c r="H53" s="60"/>
      <c r="I53" s="499"/>
      <c r="J53" s="49"/>
      <c r="K53" s="117"/>
      <c r="N53" s="136" t="s">
        <v>180</v>
      </c>
      <c r="O53" s="492">
        <v>0</v>
      </c>
      <c r="P53" s="122"/>
      <c r="Q53" s="122"/>
      <c r="R53" s="436"/>
      <c r="S53" s="166"/>
      <c r="V53" s="429"/>
    </row>
    <row r="54" spans="1:28" ht="13.5" thickBot="1">
      <c r="A54" s="118"/>
      <c r="B54" s="56"/>
      <c r="D54" s="60"/>
      <c r="E54" s="60"/>
      <c r="F54" s="61"/>
      <c r="H54" s="60"/>
      <c r="J54" s="49"/>
      <c r="N54" s="136" t="s">
        <v>169</v>
      </c>
      <c r="O54" s="163">
        <f>O51+O53+O52</f>
        <v>-6213.8423901959695</v>
      </c>
      <c r="P54" s="122"/>
      <c r="Q54" s="122"/>
      <c r="R54" s="167"/>
      <c r="S54" s="436"/>
      <c r="V54" s="429"/>
    </row>
    <row r="55" spans="1:28" ht="13.5" thickTop="1">
      <c r="A55" s="55"/>
      <c r="B55" s="56"/>
      <c r="D55" s="60"/>
      <c r="E55" s="60"/>
      <c r="F55" s="61"/>
      <c r="H55" s="60"/>
      <c r="J55" s="49"/>
      <c r="N55" s="136" t="s">
        <v>171</v>
      </c>
      <c r="O55" s="492">
        <f>'RR SUMMARY'!F23</f>
        <v>3762</v>
      </c>
      <c r="P55" s="122"/>
      <c r="Q55" s="122"/>
      <c r="R55" s="436"/>
      <c r="S55" s="436"/>
      <c r="V55" s="429"/>
    </row>
    <row r="56" spans="1:28">
      <c r="A56" s="55"/>
      <c r="B56" s="56"/>
      <c r="D56" s="60"/>
      <c r="E56" s="60"/>
      <c r="F56" s="61"/>
      <c r="H56" s="60"/>
      <c r="J56" s="49"/>
      <c r="N56" s="136" t="s">
        <v>172</v>
      </c>
      <c r="O56" s="169">
        <f>O55+O54</f>
        <v>-2451.8423901959695</v>
      </c>
      <c r="P56" s="122"/>
      <c r="Q56" s="122"/>
      <c r="R56" s="436"/>
      <c r="S56" s="436"/>
      <c r="V56" s="429"/>
    </row>
    <row r="57" spans="1:28">
      <c r="A57" s="55"/>
      <c r="B57" s="56"/>
      <c r="D57" s="60"/>
      <c r="H57" s="60"/>
      <c r="J57" s="49"/>
      <c r="N57" s="168"/>
      <c r="O57" s="166" t="s">
        <v>176</v>
      </c>
      <c r="P57" s="122"/>
      <c r="Q57" s="122"/>
      <c r="R57" s="168"/>
      <c r="S57" s="436"/>
      <c r="V57" s="429"/>
    </row>
    <row r="58" spans="1:28">
      <c r="A58" s="37"/>
      <c r="D58" s="60"/>
      <c r="E58" s="60"/>
      <c r="F58" s="160"/>
      <c r="H58" s="60"/>
      <c r="J58" s="49"/>
      <c r="N58" s="168"/>
      <c r="O58" s="166"/>
      <c r="P58" s="122"/>
      <c r="Q58" s="122"/>
      <c r="R58" s="168"/>
      <c r="S58" s="436"/>
      <c r="V58" s="429"/>
    </row>
    <row r="59" spans="1:28">
      <c r="A59" s="37"/>
      <c r="D59" s="60"/>
      <c r="E59" s="60"/>
      <c r="F59" s="61"/>
      <c r="H59" s="60"/>
      <c r="J59" s="49"/>
      <c r="N59" s="122"/>
      <c r="O59" s="166"/>
      <c r="P59" s="122"/>
      <c r="Q59" s="122"/>
      <c r="R59" s="436"/>
      <c r="S59" s="436"/>
      <c r="V59" s="429"/>
    </row>
    <row r="60" spans="1:28">
      <c r="A60" s="37"/>
      <c r="D60" s="60"/>
      <c r="E60" s="60"/>
      <c r="H60" s="60"/>
      <c r="J60" s="49"/>
      <c r="N60" s="122"/>
      <c r="O60" s="166">
        <f>'RR SUMMARY'!F23</f>
        <v>3762</v>
      </c>
      <c r="P60" s="166">
        <f>O56-O60</f>
        <v>-6213.8423901959695</v>
      </c>
      <c r="S60" s="436"/>
    </row>
    <row r="61" spans="1:28">
      <c r="A61" s="37"/>
      <c r="J61" s="49"/>
      <c r="N61" s="122"/>
      <c r="O61" s="166"/>
      <c r="P61" s="122"/>
      <c r="S61" s="436"/>
    </row>
  </sheetData>
  <mergeCells count="11">
    <mergeCell ref="E9:F9"/>
    <mergeCell ref="H9:I9"/>
    <mergeCell ref="K9:L9"/>
    <mergeCell ref="A1:O1"/>
    <mergeCell ref="A2:O2"/>
    <mergeCell ref="A3:O3"/>
    <mergeCell ref="L7:N7"/>
    <mergeCell ref="E8:F8"/>
    <mergeCell ref="H8:I8"/>
    <mergeCell ref="K8:L8"/>
    <mergeCell ref="N8:O8"/>
  </mergeCells>
  <phoneticPr fontId="24" type="noConversion"/>
  <pageMargins left="0.75" right="0.5" top="1" bottom="1" header="0.5" footer="0.5"/>
  <pageSetup scale="5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>
    <pageSetUpPr fitToPage="1"/>
  </sheetPr>
  <dimension ref="A1:AI61"/>
  <sheetViews>
    <sheetView tabSelected="1" view="pageLayout" topLeftCell="F2" zoomScaleNormal="100" workbookViewId="0">
      <selection activeCell="F6" sqref="F6"/>
    </sheetView>
  </sheetViews>
  <sheetFormatPr defaultColWidth="9.140625" defaultRowHeight="15.75"/>
  <cols>
    <col min="1" max="1" width="7.28515625" style="525" customWidth="1"/>
    <col min="2" max="2" width="1.42578125" style="525" customWidth="1"/>
    <col min="3" max="3" width="49.42578125" style="525" customWidth="1"/>
    <col min="4" max="4" width="1.140625" style="525" customWidth="1"/>
    <col min="5" max="5" width="0.5703125" style="525" customWidth="1"/>
    <col min="6" max="6" width="22.42578125" style="525" customWidth="1"/>
    <col min="7" max="7" width="13.28515625" style="525" customWidth="1"/>
    <col min="8" max="8" width="10.42578125" style="525" bestFit="1" customWidth="1"/>
    <col min="9" max="9" width="4.85546875" style="525" customWidth="1"/>
    <col min="10" max="10" width="6.85546875" style="525" customWidth="1"/>
    <col min="11" max="11" width="14.140625" style="525" customWidth="1"/>
    <col min="12" max="12" width="12.85546875" style="525" customWidth="1"/>
    <col min="13" max="13" width="15.140625" style="580" customWidth="1"/>
    <col min="14" max="14" width="14.140625" style="525" customWidth="1"/>
    <col min="15" max="15" width="6.140625" style="525" customWidth="1"/>
    <col min="16" max="16" width="14" style="525" customWidth="1"/>
    <col min="17" max="17" width="9.28515625" style="526" customWidth="1"/>
    <col min="18" max="16384" width="9.140625" style="526"/>
  </cols>
  <sheetData>
    <row r="1" spans="1:35">
      <c r="A1" s="772" t="s">
        <v>112</v>
      </c>
      <c r="B1" s="772"/>
      <c r="C1" s="772"/>
      <c r="D1" s="772"/>
      <c r="E1" s="772"/>
      <c r="F1" s="772"/>
      <c r="G1" s="523"/>
      <c r="H1" s="523"/>
      <c r="I1" s="523"/>
      <c r="J1" s="773" t="s">
        <v>112</v>
      </c>
      <c r="K1" s="774"/>
      <c r="L1" s="774"/>
      <c r="M1" s="774"/>
      <c r="N1" s="775"/>
      <c r="O1" s="527"/>
      <c r="P1" s="523"/>
      <c r="Q1" s="525"/>
    </row>
    <row r="2" spans="1:35">
      <c r="A2" s="772" t="s">
        <v>545</v>
      </c>
      <c r="B2" s="772"/>
      <c r="C2" s="772"/>
      <c r="D2" s="772"/>
      <c r="E2" s="772"/>
      <c r="F2" s="772"/>
      <c r="G2" s="523"/>
      <c r="H2" s="523"/>
      <c r="I2" s="523"/>
      <c r="J2" s="776" t="s">
        <v>546</v>
      </c>
      <c r="K2" s="777"/>
      <c r="L2" s="777"/>
      <c r="M2" s="777"/>
      <c r="N2" s="778"/>
      <c r="O2" s="528"/>
      <c r="P2" s="527"/>
      <c r="Q2" s="525"/>
    </row>
    <row r="3" spans="1:35">
      <c r="A3" s="772" t="s">
        <v>444</v>
      </c>
      <c r="B3" s="772"/>
      <c r="C3" s="772"/>
      <c r="D3" s="772"/>
      <c r="E3" s="772"/>
      <c r="F3" s="772"/>
      <c r="G3" s="528"/>
      <c r="H3" s="528"/>
      <c r="I3" s="528"/>
      <c r="J3" s="776" t="s">
        <v>444</v>
      </c>
      <c r="K3" s="777"/>
      <c r="L3" s="777"/>
      <c r="M3" s="777"/>
      <c r="N3" s="778"/>
      <c r="O3" s="528"/>
      <c r="P3" s="523"/>
      <c r="Q3" s="525"/>
    </row>
    <row r="4" spans="1:35">
      <c r="A4" s="770" t="str">
        <f>'PROP0SED RATES'!A3</f>
        <v>TWELVE MONTHS ENDED DECEMBER 31, 2018</v>
      </c>
      <c r="B4" s="770"/>
      <c r="C4" s="770"/>
      <c r="D4" s="770"/>
      <c r="E4" s="770"/>
      <c r="F4" s="770"/>
      <c r="G4" s="529"/>
      <c r="H4" s="529"/>
      <c r="I4" s="529"/>
      <c r="J4" s="763"/>
      <c r="K4" s="764"/>
      <c r="L4" s="764"/>
      <c r="M4" s="764"/>
      <c r="N4" s="765"/>
      <c r="O4" s="534"/>
      <c r="P4" s="634"/>
    </row>
    <row r="5" spans="1:35" ht="16.5" thickBot="1">
      <c r="A5" s="527"/>
      <c r="B5" s="527"/>
      <c r="C5" s="527"/>
      <c r="D5" s="527"/>
      <c r="E5" s="527"/>
      <c r="F5" s="530" t="s">
        <v>547</v>
      </c>
      <c r="G5" s="530"/>
      <c r="H5" s="530"/>
      <c r="I5" s="530"/>
      <c r="J5" s="556"/>
      <c r="K5" s="144"/>
      <c r="L5" s="144"/>
      <c r="M5" s="144"/>
      <c r="N5" s="450"/>
      <c r="O5" s="534"/>
      <c r="P5" s="143"/>
      <c r="S5" s="531"/>
      <c r="T5" s="531"/>
      <c r="X5" s="531"/>
      <c r="Y5" s="531"/>
      <c r="Z5" s="531"/>
      <c r="AA5" s="531"/>
      <c r="AB5" s="531"/>
      <c r="AC5" s="531"/>
      <c r="AD5" s="531"/>
      <c r="AE5" s="531"/>
      <c r="AF5" s="531"/>
      <c r="AG5" s="531"/>
      <c r="AH5" s="531"/>
      <c r="AI5" s="531"/>
    </row>
    <row r="6" spans="1:35">
      <c r="C6" s="532"/>
      <c r="D6" s="532"/>
      <c r="F6" s="530" t="s">
        <v>496</v>
      </c>
      <c r="G6" s="530"/>
      <c r="H6" s="530"/>
      <c r="I6" s="530"/>
      <c r="J6" s="497" t="s">
        <v>500</v>
      </c>
      <c r="K6" s="557"/>
      <c r="L6" s="557"/>
      <c r="M6" s="557"/>
      <c r="N6" s="558"/>
      <c r="O6" s="144"/>
      <c r="P6" s="213"/>
    </row>
    <row r="7" spans="1:35">
      <c r="F7" s="679">
        <v>43922</v>
      </c>
      <c r="G7" s="144"/>
      <c r="H7" s="144"/>
      <c r="I7" s="555"/>
      <c r="J7" s="559"/>
      <c r="K7" s="560"/>
      <c r="L7" s="561"/>
      <c r="M7" s="562"/>
      <c r="N7" s="563"/>
      <c r="O7" s="144"/>
      <c r="P7" s="214"/>
    </row>
    <row r="8" spans="1:35" ht="15.75" customHeight="1">
      <c r="A8" s="533" t="s">
        <v>131</v>
      </c>
      <c r="B8" s="528"/>
      <c r="C8" s="766" t="s">
        <v>71</v>
      </c>
      <c r="D8" s="767"/>
      <c r="E8" s="534"/>
      <c r="F8" s="530" t="s">
        <v>497</v>
      </c>
      <c r="G8" s="535"/>
      <c r="H8" s="535"/>
      <c r="I8" s="535"/>
      <c r="J8" s="559"/>
      <c r="K8" s="564"/>
      <c r="L8" s="561" t="s">
        <v>132</v>
      </c>
      <c r="M8" s="561"/>
      <c r="N8" s="563" t="s">
        <v>133</v>
      </c>
      <c r="O8" s="144"/>
      <c r="P8" s="214"/>
    </row>
    <row r="9" spans="1:35" ht="16.5" thickBot="1">
      <c r="A9" s="536" t="s">
        <v>16</v>
      </c>
      <c r="B9" s="528"/>
      <c r="C9" s="768"/>
      <c r="D9" s="769"/>
      <c r="E9" s="534"/>
      <c r="F9" s="680" t="s">
        <v>498</v>
      </c>
      <c r="G9" s="535"/>
      <c r="H9" s="535"/>
      <c r="I9" s="535"/>
      <c r="J9" s="559"/>
      <c r="K9" s="565" t="s">
        <v>134</v>
      </c>
      <c r="L9" s="565" t="s">
        <v>135</v>
      </c>
      <c r="M9" s="565" t="s">
        <v>136</v>
      </c>
      <c r="N9" s="566" t="s">
        <v>136</v>
      </c>
      <c r="O9" s="567"/>
      <c r="P9" s="214"/>
    </row>
    <row r="10" spans="1:35">
      <c r="E10" s="537"/>
      <c r="G10" s="143"/>
      <c r="H10" s="143"/>
      <c r="I10" s="143"/>
      <c r="J10" s="559"/>
      <c r="K10" s="560"/>
      <c r="L10" s="560"/>
      <c r="M10" s="562"/>
      <c r="N10" s="568"/>
      <c r="P10" s="761" t="s">
        <v>517</v>
      </c>
    </row>
    <row r="11" spans="1:35">
      <c r="A11" s="538">
        <v>1</v>
      </c>
      <c r="C11" s="525" t="s">
        <v>148</v>
      </c>
      <c r="F11" s="539">
        <f>'ADJ DETAIL INPUT'!AN81</f>
        <v>373732</v>
      </c>
      <c r="G11" s="539"/>
      <c r="H11" s="539"/>
      <c r="I11" s="539"/>
      <c r="J11" s="559"/>
      <c r="K11" s="564" t="s">
        <v>13</v>
      </c>
      <c r="L11" s="569">
        <v>0.53</v>
      </c>
      <c r="M11" s="212">
        <v>5.1470000000000002E-2</v>
      </c>
      <c r="N11" s="570">
        <f>ROUND(L11*M11,4)</f>
        <v>2.7300000000000001E-2</v>
      </c>
      <c r="P11" s="762"/>
      <c r="Q11" s="531"/>
    </row>
    <row r="12" spans="1:35" ht="16.5" thickBot="1">
      <c r="A12" s="538"/>
      <c r="F12" s="540"/>
      <c r="G12" s="540"/>
      <c r="H12" s="540"/>
      <c r="I12" s="540"/>
      <c r="J12" s="559"/>
      <c r="K12" s="564"/>
      <c r="L12" s="569"/>
      <c r="M12" s="571"/>
      <c r="N12" s="570"/>
      <c r="P12" s="733">
        <f>N11+N12</f>
        <v>2.7300000000000001E-2</v>
      </c>
    </row>
    <row r="13" spans="1:35">
      <c r="A13" s="538">
        <v>2</v>
      </c>
      <c r="C13" s="525" t="s">
        <v>137</v>
      </c>
      <c r="F13" s="541">
        <f>N15</f>
        <v>6.9599999999999995E-2</v>
      </c>
      <c r="G13" s="542"/>
      <c r="H13" s="542"/>
      <c r="I13" s="542"/>
      <c r="J13" s="559"/>
      <c r="K13" s="564" t="s">
        <v>499</v>
      </c>
      <c r="L13" s="569">
        <v>0.47</v>
      </c>
      <c r="M13" s="571">
        <v>0.09</v>
      </c>
      <c r="N13" s="570">
        <f>ROUND(L13*M13,4)</f>
        <v>4.2299999999999997E-2</v>
      </c>
    </row>
    <row r="14" spans="1:35">
      <c r="A14" s="538"/>
      <c r="F14" s="543"/>
      <c r="G14" s="543"/>
      <c r="H14" s="543"/>
      <c r="I14" s="543"/>
      <c r="J14" s="559"/>
      <c r="K14" s="564"/>
      <c r="L14" s="571"/>
      <c r="M14" s="572"/>
      <c r="N14" s="570"/>
      <c r="P14" s="214"/>
      <c r="Q14" s="531"/>
    </row>
    <row r="15" spans="1:35" ht="16.5" thickBot="1">
      <c r="A15" s="538">
        <v>3</v>
      </c>
      <c r="C15" s="525" t="s">
        <v>138</v>
      </c>
      <c r="F15" s="540">
        <f>ROUND(F11*F13,0)</f>
        <v>26012</v>
      </c>
      <c r="G15" s="540"/>
      <c r="H15" s="540"/>
      <c r="I15" s="540"/>
      <c r="J15" s="559"/>
      <c r="K15" s="564" t="s">
        <v>25</v>
      </c>
      <c r="L15" s="573">
        <f>SUM(L11:L13)</f>
        <v>1</v>
      </c>
      <c r="M15" s="572"/>
      <c r="N15" s="574">
        <f>SUM(N11:N13)</f>
        <v>6.9599999999999995E-2</v>
      </c>
      <c r="O15" s="213"/>
      <c r="P15" s="214"/>
    </row>
    <row r="16" spans="1:35" ht="17.25" thickTop="1" thickBot="1">
      <c r="A16" s="538"/>
      <c r="F16" s="540"/>
      <c r="G16" s="540"/>
      <c r="H16" s="540"/>
      <c r="I16" s="540"/>
      <c r="J16" s="575"/>
      <c r="K16" s="576"/>
      <c r="L16" s="577"/>
      <c r="M16" s="578"/>
      <c r="N16" s="579"/>
      <c r="O16" s="567"/>
      <c r="P16" s="214"/>
    </row>
    <row r="17" spans="1:17">
      <c r="A17" s="538">
        <v>4</v>
      </c>
      <c r="C17" s="525" t="s">
        <v>139</v>
      </c>
      <c r="F17" s="544">
        <f>'ADJ DETAIL INPUT'!AN58</f>
        <v>23171.479242000001</v>
      </c>
      <c r="G17" s="545"/>
      <c r="H17" s="545"/>
      <c r="I17" s="545"/>
      <c r="J17" s="546"/>
      <c r="O17" s="567"/>
      <c r="P17" s="214"/>
    </row>
    <row r="18" spans="1:17">
      <c r="A18" s="538"/>
      <c r="L18" s="524"/>
      <c r="M18" s="524"/>
      <c r="O18" s="567"/>
      <c r="P18" s="214"/>
    </row>
    <row r="19" spans="1:17">
      <c r="A19" s="538">
        <v>5</v>
      </c>
      <c r="C19" s="525" t="s">
        <v>140</v>
      </c>
      <c r="F19" s="540">
        <f>F15-F17</f>
        <v>2840.5207579999988</v>
      </c>
      <c r="G19" s="540"/>
      <c r="H19" s="540"/>
      <c r="I19" s="540"/>
      <c r="O19" s="567"/>
      <c r="P19" s="213"/>
    </row>
    <row r="20" spans="1:17">
      <c r="A20" s="538"/>
      <c r="O20" s="537"/>
      <c r="P20" s="213"/>
    </row>
    <row r="21" spans="1:17">
      <c r="A21" s="538">
        <v>6</v>
      </c>
      <c r="C21" s="525" t="s">
        <v>141</v>
      </c>
      <c r="F21" s="547">
        <f>CF!E27</f>
        <v>0.75511799999999996</v>
      </c>
      <c r="G21" s="547"/>
      <c r="H21" s="547"/>
      <c r="I21" s="547"/>
      <c r="J21" s="213"/>
      <c r="K21" s="213"/>
      <c r="L21" s="537"/>
      <c r="M21" s="581"/>
      <c r="N21" s="537"/>
      <c r="O21" s="537"/>
      <c r="P21" s="214"/>
      <c r="Q21" s="531"/>
    </row>
    <row r="22" spans="1:17" ht="16.5" thickBot="1">
      <c r="A22" s="538"/>
      <c r="J22" s="213"/>
      <c r="K22" s="582"/>
      <c r="L22" s="213"/>
      <c r="M22" s="583"/>
      <c r="N22" s="213"/>
      <c r="O22" s="213"/>
      <c r="P22" s="214"/>
      <c r="Q22" s="531"/>
    </row>
    <row r="23" spans="1:17" ht="16.5" thickBot="1">
      <c r="A23" s="538">
        <v>7</v>
      </c>
      <c r="C23" s="525" t="s">
        <v>537</v>
      </c>
      <c r="E23" s="548"/>
      <c r="F23" s="549">
        <f>ROUND(F19/F21,0)</f>
        <v>3762</v>
      </c>
      <c r="G23" s="145"/>
      <c r="H23" s="550"/>
      <c r="I23" s="550"/>
      <c r="J23" s="213"/>
      <c r="K23" s="213"/>
      <c r="L23" s="584"/>
      <c r="M23" s="583"/>
      <c r="N23" s="144"/>
      <c r="O23" s="537"/>
      <c r="P23" s="214"/>
      <c r="Q23" s="531"/>
    </row>
    <row r="24" spans="1:17">
      <c r="E24" s="548"/>
      <c r="J24" s="213"/>
      <c r="K24" s="145"/>
      <c r="L24" s="145"/>
      <c r="M24" s="583"/>
      <c r="N24" s="213"/>
      <c r="O24" s="585"/>
      <c r="P24" s="214"/>
      <c r="Q24" s="531"/>
    </row>
    <row r="25" spans="1:17">
      <c r="A25" s="538">
        <v>8</v>
      </c>
      <c r="C25" s="525" t="s">
        <v>467</v>
      </c>
      <c r="F25" s="545">
        <f>'PROP0SED RATES'!H15+'PROP0SED RATES'!H16</f>
        <v>93707</v>
      </c>
      <c r="G25" s="545"/>
      <c r="H25" s="545"/>
      <c r="I25" s="545"/>
      <c r="J25" s="146"/>
      <c r="K25" s="145"/>
      <c r="L25" s="145"/>
      <c r="M25" s="586"/>
      <c r="N25" s="145"/>
      <c r="O25" s="586"/>
      <c r="P25" s="214"/>
      <c r="Q25" s="531"/>
    </row>
    <row r="26" spans="1:17">
      <c r="J26" s="213"/>
      <c r="K26" s="145"/>
      <c r="L26" s="145"/>
      <c r="M26" s="586"/>
      <c r="N26" s="145"/>
      <c r="O26" s="586"/>
      <c r="P26" s="215"/>
      <c r="Q26" s="531"/>
    </row>
    <row r="27" spans="1:17" ht="16.5" thickBot="1">
      <c r="A27" s="538">
        <v>9</v>
      </c>
      <c r="C27" s="525" t="s">
        <v>470</v>
      </c>
      <c r="F27" s="551">
        <f>ROUND(F23/F25,4)</f>
        <v>4.0099999999999997E-2</v>
      </c>
      <c r="G27" s="552"/>
      <c r="H27" s="552"/>
      <c r="I27" s="552"/>
      <c r="J27" s="587"/>
      <c r="K27" s="144"/>
      <c r="L27" s="144"/>
      <c r="M27" s="144"/>
      <c r="N27" s="144"/>
      <c r="O27" s="144"/>
      <c r="P27" s="212"/>
      <c r="Q27" s="531"/>
    </row>
    <row r="28" spans="1:17" ht="9.75" customHeight="1" thickTop="1">
      <c r="C28" s="553"/>
      <c r="D28" s="553"/>
      <c r="E28" s="553"/>
      <c r="F28" s="553"/>
      <c r="G28" s="553"/>
      <c r="H28" s="553"/>
      <c r="I28" s="553"/>
      <c r="J28" s="567"/>
      <c r="K28" s="567"/>
      <c r="L28" s="144"/>
      <c r="M28" s="588"/>
      <c r="N28" s="144"/>
      <c r="O28" s="588"/>
      <c r="P28" s="214"/>
      <c r="Q28" s="531"/>
    </row>
    <row r="29" spans="1:17">
      <c r="A29" s="538">
        <v>10</v>
      </c>
      <c r="C29" s="525" t="s">
        <v>468</v>
      </c>
      <c r="F29" s="554">
        <v>127800</v>
      </c>
      <c r="G29" s="554"/>
      <c r="I29" s="554"/>
      <c r="J29" s="554"/>
      <c r="K29" s="213"/>
      <c r="L29" s="589"/>
      <c r="M29" s="144"/>
      <c r="N29" s="589"/>
      <c r="O29" s="144"/>
      <c r="P29" s="214"/>
      <c r="Q29" s="531"/>
    </row>
    <row r="30" spans="1:17" ht="9" customHeight="1">
      <c r="J30" s="567"/>
      <c r="K30" s="144"/>
      <c r="L30" s="567"/>
      <c r="M30" s="588"/>
      <c r="N30" s="567"/>
      <c r="O30" s="588"/>
      <c r="P30" s="214"/>
      <c r="Q30" s="531"/>
    </row>
    <row r="31" spans="1:17" ht="15.75" customHeight="1">
      <c r="A31" s="538">
        <v>11</v>
      </c>
      <c r="C31" s="525" t="s">
        <v>469</v>
      </c>
      <c r="F31" s="745">
        <f>ROUND(F23/F29,4)</f>
        <v>2.9399999999999999E-2</v>
      </c>
      <c r="G31" s="552"/>
      <c r="H31" s="552"/>
      <c r="I31" s="552"/>
      <c r="J31" s="567"/>
      <c r="K31" s="567"/>
      <c r="L31" s="590"/>
      <c r="M31" s="586"/>
      <c r="N31" s="590"/>
      <c r="O31" s="586"/>
      <c r="P31" s="214"/>
      <c r="Q31" s="531"/>
    </row>
    <row r="32" spans="1:17" ht="15.75" customHeight="1">
      <c r="A32" s="746"/>
      <c r="B32" s="537"/>
      <c r="C32" s="537"/>
      <c r="D32" s="537"/>
      <c r="E32" s="537"/>
      <c r="F32" s="552"/>
      <c r="G32" s="552"/>
      <c r="H32" s="552"/>
      <c r="I32" s="552"/>
      <c r="J32" s="567"/>
      <c r="K32" s="213"/>
      <c r="L32" s="537"/>
      <c r="M32" s="581"/>
      <c r="N32" s="537"/>
      <c r="O32" s="537"/>
      <c r="P32" s="214"/>
      <c r="Q32" s="531"/>
    </row>
    <row r="33" spans="1:17">
      <c r="A33" s="537"/>
      <c r="B33" s="537"/>
      <c r="C33" s="537"/>
      <c r="D33" s="537"/>
      <c r="E33" s="537"/>
      <c r="F33" s="537"/>
      <c r="G33" s="537"/>
      <c r="H33" s="537"/>
      <c r="J33" s="567"/>
      <c r="K33" s="213"/>
      <c r="L33" s="212"/>
      <c r="M33" s="581"/>
      <c r="N33" s="212"/>
      <c r="O33" s="213"/>
      <c r="P33" s="214"/>
      <c r="Q33" s="531"/>
    </row>
    <row r="34" spans="1:17" ht="15.75" customHeight="1">
      <c r="A34" s="436"/>
      <c r="B34" s="436"/>
      <c r="C34" s="771"/>
      <c r="D34" s="771"/>
      <c r="E34" s="771"/>
      <c r="F34" s="771"/>
      <c r="G34" s="771"/>
      <c r="H34" s="771"/>
      <c r="I34" s="143"/>
      <c r="J34" s="213"/>
      <c r="K34" s="213"/>
      <c r="L34" s="213"/>
      <c r="M34" s="583"/>
      <c r="N34" s="213"/>
      <c r="O34" s="213"/>
      <c r="P34" s="214"/>
      <c r="Q34" s="531"/>
    </row>
    <row r="35" spans="1:17">
      <c r="A35" s="747"/>
      <c r="B35" s="436"/>
      <c r="C35" s="748"/>
      <c r="D35" s="436"/>
      <c r="E35" s="436"/>
      <c r="F35" s="726"/>
      <c r="G35" s="725"/>
      <c r="H35" s="726"/>
      <c r="I35" s="143"/>
      <c r="J35" s="213"/>
      <c r="K35" s="213"/>
      <c r="L35" s="213"/>
      <c r="M35" s="583"/>
      <c r="N35" s="591"/>
      <c r="O35" s="213"/>
    </row>
    <row r="36" spans="1:17">
      <c r="A36" s="747"/>
      <c r="B36" s="436"/>
      <c r="C36" s="748"/>
      <c r="D36" s="436"/>
      <c r="E36" s="436"/>
      <c r="F36" s="727"/>
      <c r="G36" s="727"/>
      <c r="H36" s="727"/>
      <c r="I36" s="143"/>
      <c r="J36" s="213"/>
      <c r="K36" s="213"/>
      <c r="L36" s="213"/>
      <c r="M36" s="583"/>
      <c r="N36" s="213"/>
      <c r="O36" s="213"/>
    </row>
    <row r="37" spans="1:17" ht="14.25" customHeight="1">
      <c r="A37" s="436"/>
      <c r="B37" s="436"/>
      <c r="C37" s="749"/>
      <c r="D37" s="436"/>
      <c r="E37" s="436"/>
      <c r="F37" s="728"/>
      <c r="G37" s="728"/>
      <c r="H37" s="728"/>
      <c r="I37" s="143"/>
      <c r="J37" s="213"/>
      <c r="K37" s="213"/>
      <c r="L37" s="213"/>
      <c r="M37" s="583"/>
      <c r="N37" s="592"/>
      <c r="O37" s="213"/>
    </row>
    <row r="38" spans="1:17">
      <c r="A38" s="436"/>
      <c r="B38" s="436"/>
      <c r="C38" s="520"/>
      <c r="D38" s="436"/>
      <c r="E38" s="436"/>
      <c r="F38" s="750"/>
      <c r="G38" s="750"/>
      <c r="H38" s="750"/>
      <c r="I38" s="143"/>
      <c r="J38" s="213"/>
      <c r="K38" s="213"/>
      <c r="L38" s="213"/>
      <c r="M38" s="583"/>
      <c r="N38" s="213"/>
      <c r="O38" s="213"/>
    </row>
    <row r="39" spans="1:17">
      <c r="A39" s="747"/>
      <c r="B39" s="436"/>
      <c r="C39" s="751"/>
      <c r="D39" s="436"/>
      <c r="E39" s="436"/>
      <c r="F39" s="727"/>
      <c r="G39" s="752"/>
      <c r="H39" s="753"/>
      <c r="I39" s="143"/>
      <c r="J39" s="213"/>
      <c r="K39" s="213"/>
      <c r="L39" s="213"/>
      <c r="M39" s="583"/>
      <c r="N39" s="213"/>
      <c r="O39" s="213"/>
    </row>
    <row r="40" spans="1:17" ht="11.25" customHeight="1">
      <c r="A40" s="747"/>
      <c r="B40" s="436"/>
      <c r="C40" s="520"/>
      <c r="D40" s="436"/>
      <c r="E40" s="436"/>
      <c r="F40" s="729"/>
      <c r="G40" s="729"/>
      <c r="H40" s="730"/>
      <c r="I40" s="143"/>
      <c r="J40" s="213"/>
      <c r="K40" s="583"/>
      <c r="L40" s="213"/>
      <c r="M40" s="583"/>
      <c r="N40" s="582"/>
      <c r="O40" s="213"/>
    </row>
    <row r="41" spans="1:17" ht="9" customHeight="1">
      <c r="A41" s="436"/>
      <c r="B41" s="436"/>
      <c r="C41" s="436"/>
      <c r="D41" s="436"/>
      <c r="E41" s="436"/>
      <c r="F41" s="436"/>
      <c r="G41" s="436"/>
      <c r="H41" s="754"/>
      <c r="I41" s="143"/>
      <c r="J41" s="213"/>
      <c r="K41" s="593"/>
      <c r="L41" s="213"/>
      <c r="M41" s="583"/>
      <c r="N41" s="594"/>
      <c r="O41" s="213"/>
    </row>
    <row r="42" spans="1:17">
      <c r="A42" s="436"/>
      <c r="B42" s="520"/>
      <c r="C42" s="755"/>
      <c r="D42" s="436"/>
      <c r="E42" s="436"/>
      <c r="F42" s="744"/>
      <c r="G42" s="731"/>
      <c r="H42" s="731"/>
      <c r="I42" s="143"/>
      <c r="J42" s="213"/>
      <c r="K42" s="593"/>
      <c r="L42" s="213"/>
      <c r="M42" s="583"/>
      <c r="N42" s="213"/>
      <c r="O42" s="213"/>
    </row>
    <row r="43" spans="1:17">
      <c r="A43" s="436"/>
      <c r="B43" s="436"/>
      <c r="C43" s="760"/>
      <c r="D43" s="760"/>
      <c r="E43" s="436"/>
      <c r="F43" s="756"/>
      <c r="G43" s="732"/>
      <c r="H43" s="732"/>
      <c r="I43" s="143"/>
      <c r="J43" s="213"/>
      <c r="K43" s="213"/>
      <c r="L43" s="213"/>
      <c r="M43" s="583"/>
      <c r="N43" s="213"/>
      <c r="O43" s="213"/>
    </row>
    <row r="44" spans="1:17">
      <c r="A44" s="436"/>
      <c r="B44" s="436"/>
      <c r="C44" s="436"/>
      <c r="D44" s="436"/>
      <c r="E44" s="436"/>
      <c r="F44" s="436"/>
      <c r="G44" s="436"/>
      <c r="H44" s="436"/>
      <c r="I44" s="143"/>
      <c r="J44" s="213"/>
      <c r="K44" s="593"/>
      <c r="L44" s="213"/>
      <c r="M44" s="583"/>
      <c r="N44" s="595"/>
      <c r="O44" s="213"/>
    </row>
    <row r="45" spans="1:17">
      <c r="A45" s="213"/>
      <c r="B45" s="213"/>
      <c r="C45" s="213"/>
      <c r="D45" s="213"/>
      <c r="E45" s="213"/>
      <c r="F45" s="213"/>
      <c r="G45" s="213"/>
      <c r="H45" s="213"/>
      <c r="I45" s="143"/>
      <c r="J45" s="213"/>
      <c r="K45" s="213"/>
      <c r="L45" s="213"/>
      <c r="M45" s="583"/>
      <c r="N45" s="213"/>
      <c r="O45" s="213"/>
    </row>
    <row r="46" spans="1:17">
      <c r="A46" s="213"/>
      <c r="B46" s="213"/>
      <c r="C46" s="213"/>
      <c r="D46" s="213"/>
      <c r="E46" s="213"/>
      <c r="F46" s="213"/>
      <c r="G46" s="213"/>
      <c r="H46" s="213"/>
      <c r="I46" s="143"/>
      <c r="J46" s="213"/>
      <c r="K46" s="213"/>
      <c r="L46" s="213"/>
      <c r="M46" s="583"/>
      <c r="N46" s="213"/>
      <c r="O46" s="213"/>
    </row>
    <row r="47" spans="1:17">
      <c r="A47" s="213"/>
      <c r="B47" s="213"/>
      <c r="C47" s="213"/>
      <c r="D47" s="213"/>
      <c r="E47" s="213"/>
      <c r="F47" s="213"/>
      <c r="G47" s="213"/>
      <c r="H47" s="213"/>
      <c r="I47" s="143"/>
      <c r="J47" s="213"/>
      <c r="K47" s="213"/>
      <c r="L47" s="213"/>
      <c r="M47" s="583"/>
      <c r="N47" s="213"/>
      <c r="O47" s="213"/>
    </row>
    <row r="48" spans="1:17">
      <c r="A48" s="213"/>
      <c r="B48" s="213"/>
      <c r="C48" s="213"/>
      <c r="D48" s="213"/>
      <c r="E48" s="213"/>
      <c r="F48" s="213"/>
      <c r="G48" s="213"/>
      <c r="H48" s="213"/>
      <c r="I48" s="143"/>
      <c r="J48" s="213"/>
      <c r="K48" s="213"/>
      <c r="L48" s="213"/>
      <c r="M48" s="583"/>
      <c r="N48" s="213"/>
      <c r="O48" s="213"/>
    </row>
    <row r="49" spans="1:28">
      <c r="A49" s="213"/>
      <c r="B49" s="213"/>
      <c r="C49" s="213"/>
      <c r="D49" s="213"/>
      <c r="E49" s="213"/>
      <c r="F49" s="213"/>
      <c r="G49" s="213"/>
      <c r="H49" s="213"/>
      <c r="I49" s="143"/>
      <c r="J49" s="213"/>
      <c r="K49" s="213"/>
      <c r="L49" s="213"/>
      <c r="M49" s="583"/>
      <c r="N49" s="213"/>
      <c r="O49" s="213"/>
    </row>
    <row r="50" spans="1:28">
      <c r="A50" s="213"/>
      <c r="B50" s="213"/>
      <c r="C50" s="213"/>
      <c r="D50" s="213"/>
      <c r="E50" s="213"/>
      <c r="F50" s="213"/>
      <c r="G50" s="213"/>
      <c r="H50" s="213"/>
      <c r="I50" s="143"/>
      <c r="J50" s="213"/>
      <c r="K50" s="213"/>
      <c r="L50" s="213"/>
      <c r="M50" s="583"/>
      <c r="N50" s="213"/>
      <c r="O50" s="213"/>
    </row>
    <row r="51" spans="1:28">
      <c r="A51" s="537"/>
      <c r="B51" s="537"/>
      <c r="C51" s="537"/>
      <c r="D51" s="537"/>
      <c r="E51" s="537"/>
      <c r="F51" s="537"/>
      <c r="G51" s="537"/>
      <c r="H51" s="537"/>
      <c r="J51" s="213"/>
      <c r="K51" s="213"/>
      <c r="L51" s="213"/>
      <c r="M51" s="583"/>
      <c r="N51" s="213"/>
      <c r="O51" s="213"/>
    </row>
    <row r="52" spans="1:28">
      <c r="A52" s="537"/>
      <c r="B52" s="537"/>
      <c r="C52" s="537"/>
      <c r="D52" s="537"/>
      <c r="E52" s="537"/>
      <c r="F52" s="537"/>
      <c r="G52" s="537"/>
      <c r="H52" s="537"/>
      <c r="J52" s="213"/>
      <c r="K52" s="213"/>
      <c r="L52" s="213"/>
      <c r="M52" s="583"/>
      <c r="N52" s="213"/>
      <c r="O52" s="213"/>
      <c r="AB52" s="526">
        <f>AB58</f>
        <v>0</v>
      </c>
    </row>
    <row r="53" spans="1:28">
      <c r="J53" s="213"/>
      <c r="K53" s="213"/>
      <c r="L53" s="213"/>
      <c r="M53" s="583"/>
      <c r="N53" s="213"/>
      <c r="O53" s="213"/>
    </row>
    <row r="54" spans="1:28">
      <c r="J54" s="213"/>
      <c r="K54" s="213"/>
      <c r="L54" s="213"/>
      <c r="M54" s="583"/>
      <c r="N54" s="213"/>
      <c r="O54" s="213"/>
    </row>
    <row r="55" spans="1:28">
      <c r="J55" s="213"/>
      <c r="K55" s="213"/>
      <c r="L55" s="213"/>
      <c r="M55" s="583"/>
      <c r="N55" s="213"/>
      <c r="O55" s="213"/>
    </row>
    <row r="56" spans="1:28">
      <c r="J56" s="213"/>
      <c r="K56" s="213"/>
      <c r="L56" s="213"/>
      <c r="M56" s="583"/>
      <c r="N56" s="213"/>
      <c r="O56" s="213"/>
    </row>
    <row r="57" spans="1:28">
      <c r="J57" s="213"/>
      <c r="K57" s="213"/>
      <c r="L57" s="213"/>
      <c r="M57" s="583"/>
      <c r="N57" s="213"/>
      <c r="O57" s="213"/>
    </row>
    <row r="58" spans="1:28">
      <c r="J58" s="213"/>
      <c r="K58" s="213"/>
      <c r="L58" s="213"/>
      <c r="M58" s="583"/>
      <c r="N58" s="213"/>
      <c r="O58" s="213"/>
    </row>
    <row r="59" spans="1:28">
      <c r="J59" s="213"/>
      <c r="K59" s="213"/>
      <c r="L59" s="213"/>
      <c r="M59" s="583"/>
      <c r="N59" s="213"/>
      <c r="O59" s="213"/>
    </row>
    <row r="60" spans="1:28">
      <c r="O60" s="213"/>
    </row>
    <row r="61" spans="1:28">
      <c r="O61" s="213"/>
    </row>
  </sheetData>
  <mergeCells count="12">
    <mergeCell ref="A3:F3"/>
    <mergeCell ref="A1:F1"/>
    <mergeCell ref="A2:F2"/>
    <mergeCell ref="J1:N1"/>
    <mergeCell ref="J2:N2"/>
    <mergeCell ref="J3:N3"/>
    <mergeCell ref="C43:D43"/>
    <mergeCell ref="P10:P11"/>
    <mergeCell ref="J4:N4"/>
    <mergeCell ref="C8:D9"/>
    <mergeCell ref="A4:F4"/>
    <mergeCell ref="C34:H34"/>
  </mergeCells>
  <phoneticPr fontId="0" type="noConversion"/>
  <printOptions horizontalCentered="1"/>
  <pageMargins left="0.75" right="0.5" top="0.97" bottom="0.84" header="0.5" footer="0.5"/>
  <pageSetup scale="30" orientation="portrait" r:id="rId1"/>
  <headerFooter scaleWithDoc="0" alignWithMargins="0">
    <oddHeader xml:space="preserve">&amp;RExhibit ACC-5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4"/>
  <dimension ref="A1:Y32"/>
  <sheetViews>
    <sheetView zoomScale="130" zoomScaleNormal="130" zoomScaleSheetLayoutView="130" workbookViewId="0">
      <selection activeCell="M21" sqref="M21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2.85546875" style="36" customWidth="1"/>
    <col min="5" max="5" width="20.140625" style="114" customWidth="1"/>
    <col min="6" max="6" width="2.7109375" style="36" customWidth="1"/>
    <col min="7" max="9" width="9.140625" style="36"/>
    <col min="10" max="10" width="19.85546875" style="36" bestFit="1" customWidth="1"/>
    <col min="11" max="11" width="11.85546875" style="36" customWidth="1"/>
    <col min="12" max="16384" width="9.140625" style="36"/>
  </cols>
  <sheetData>
    <row r="1" spans="1:25" s="104" customFormat="1">
      <c r="A1" s="36"/>
      <c r="B1" s="36"/>
      <c r="C1" s="101" t="s">
        <v>112</v>
      </c>
      <c r="D1" s="102"/>
      <c r="E1" s="103"/>
      <c r="G1" s="355"/>
      <c r="H1" s="356"/>
      <c r="I1" s="356"/>
      <c r="J1" s="36"/>
    </row>
    <row r="2" spans="1:25" s="104" customFormat="1">
      <c r="B2" s="36"/>
      <c r="C2" s="313" t="s">
        <v>157</v>
      </c>
      <c r="D2" s="102"/>
      <c r="E2" s="105"/>
      <c r="J2" s="36"/>
    </row>
    <row r="3" spans="1:25" s="104" customFormat="1">
      <c r="B3" s="36"/>
      <c r="C3" s="142" t="s">
        <v>444</v>
      </c>
      <c r="D3" s="102"/>
      <c r="E3" s="105"/>
      <c r="J3" s="36"/>
    </row>
    <row r="4" spans="1:25">
      <c r="B4" s="141"/>
      <c r="C4" s="313" t="str">
        <f>'PROP0SED RATES'!A3</f>
        <v>TWELVE MONTHS ENDED DECEMBER 31, 2018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01"/>
      <c r="O4" s="101"/>
      <c r="P4" s="101"/>
    </row>
    <row r="5" spans="1:25">
      <c r="C5" s="43"/>
      <c r="D5" s="106"/>
      <c r="Q5" s="124"/>
      <c r="R5" s="124"/>
      <c r="S5" s="124"/>
      <c r="T5" s="124"/>
      <c r="U5" s="124"/>
      <c r="V5" s="124"/>
      <c r="W5" s="124"/>
      <c r="X5" s="124"/>
      <c r="Y5" s="124"/>
    </row>
    <row r="6" spans="1:25" hidden="1">
      <c r="A6" s="43"/>
      <c r="C6" s="107"/>
      <c r="D6" s="106"/>
      <c r="E6" s="102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idden="1">
      <c r="A7" s="43"/>
      <c r="C7" s="107"/>
      <c r="D7" s="106"/>
      <c r="E7" s="102"/>
    </row>
    <row r="8" spans="1:25" hidden="1">
      <c r="A8" s="43"/>
      <c r="C8" s="106"/>
      <c r="D8" s="106"/>
      <c r="E8" s="161"/>
      <c r="F8" s="162"/>
      <c r="G8" s="162"/>
    </row>
    <row r="9" spans="1:25">
      <c r="A9" s="43" t="s">
        <v>131</v>
      </c>
      <c r="C9" s="43"/>
      <c r="D9" s="106"/>
      <c r="E9" s="43"/>
      <c r="J9" s="115" t="s">
        <v>158</v>
      </c>
      <c r="M9" s="49"/>
      <c r="N9" s="49"/>
      <c r="O9" s="49"/>
      <c r="P9" s="49"/>
    </row>
    <row r="10" spans="1:25">
      <c r="A10" s="45" t="s">
        <v>16</v>
      </c>
      <c r="C10" s="45" t="s">
        <v>71</v>
      </c>
      <c r="D10" s="106"/>
      <c r="E10" s="45" t="s">
        <v>149</v>
      </c>
      <c r="F10" s="114"/>
      <c r="M10" s="49"/>
      <c r="N10" s="49"/>
      <c r="O10" s="49"/>
      <c r="P10" s="49"/>
    </row>
    <row r="11" spans="1:25" ht="9" customHeight="1">
      <c r="A11" s="43"/>
      <c r="C11" s="106"/>
      <c r="D11" s="106"/>
      <c r="E11" s="106"/>
      <c r="M11" s="49"/>
      <c r="N11" s="49"/>
      <c r="O11" s="49"/>
      <c r="P11" s="49"/>
    </row>
    <row r="12" spans="1:25">
      <c r="A12" s="37">
        <v>1</v>
      </c>
      <c r="C12" s="596" t="s">
        <v>150</v>
      </c>
      <c r="D12" s="597"/>
      <c r="E12" s="597">
        <v>1</v>
      </c>
      <c r="J12" s="108">
        <f>'RR SUMMARY'!F23</f>
        <v>3762</v>
      </c>
      <c r="K12" s="108"/>
      <c r="M12" s="49"/>
      <c r="N12" s="357"/>
      <c r="O12" s="49"/>
      <c r="P12" s="49"/>
    </row>
    <row r="13" spans="1:25" ht="9" customHeight="1">
      <c r="A13" s="37"/>
      <c r="C13" s="596"/>
      <c r="D13" s="597"/>
      <c r="E13" s="597"/>
      <c r="K13" s="460"/>
      <c r="M13" s="49"/>
      <c r="N13" s="49"/>
      <c r="O13" s="49"/>
      <c r="P13" s="49"/>
    </row>
    <row r="14" spans="1:25">
      <c r="A14" s="37"/>
      <c r="C14" s="596" t="s">
        <v>151</v>
      </c>
      <c r="D14" s="597"/>
      <c r="E14" s="597"/>
      <c r="K14" s="460"/>
      <c r="M14" s="49"/>
      <c r="N14" s="49"/>
      <c r="O14" s="49"/>
      <c r="P14" s="49"/>
    </row>
    <row r="15" spans="1:25">
      <c r="A15" s="37">
        <v>2</v>
      </c>
      <c r="B15" s="41"/>
      <c r="C15" s="597" t="s">
        <v>152</v>
      </c>
      <c r="D15" s="597"/>
      <c r="E15" s="598">
        <v>3.7810000000000001E-3</v>
      </c>
      <c r="F15" s="445"/>
      <c r="J15" s="109">
        <f>ROUND($J$12*E15,0)</f>
        <v>14</v>
      </c>
      <c r="K15" s="109"/>
      <c r="M15" s="49"/>
      <c r="N15" s="111"/>
      <c r="O15" s="49"/>
      <c r="P15" s="49"/>
    </row>
    <row r="16" spans="1:25" ht="9" customHeight="1">
      <c r="A16" s="37"/>
      <c r="C16" s="597"/>
      <c r="D16" s="597"/>
      <c r="E16" s="598"/>
      <c r="K16" s="460"/>
      <c r="M16" s="49"/>
      <c r="N16" s="49"/>
      <c r="O16" s="49"/>
      <c r="P16" s="49"/>
    </row>
    <row r="17" spans="1:16">
      <c r="A17" s="37">
        <v>3</v>
      </c>
      <c r="C17" s="597" t="s">
        <v>153</v>
      </c>
      <c r="D17" s="597"/>
      <c r="E17" s="598">
        <v>2E-3</v>
      </c>
      <c r="J17" s="109">
        <f>ROUND($J$12*E17,0)</f>
        <v>8</v>
      </c>
      <c r="K17" s="109"/>
      <c r="M17" s="49"/>
      <c r="N17" s="111"/>
      <c r="O17" s="49"/>
      <c r="P17" s="49"/>
    </row>
    <row r="18" spans="1:16" ht="9" customHeight="1">
      <c r="A18" s="37"/>
      <c r="C18" s="597"/>
      <c r="D18" s="597"/>
      <c r="E18" s="598"/>
      <c r="K18" s="460"/>
      <c r="M18" s="49"/>
      <c r="N18" s="49"/>
      <c r="O18" s="49"/>
      <c r="P18" s="49"/>
    </row>
    <row r="19" spans="1:16">
      <c r="A19" s="37">
        <v>4</v>
      </c>
      <c r="C19" s="597" t="s">
        <v>154</v>
      </c>
      <c r="D19" s="597"/>
      <c r="E19" s="598">
        <v>3.8373999999999998E-2</v>
      </c>
      <c r="F19" s="445"/>
      <c r="J19" s="109">
        <f>ROUND($J$12*E19,0)</f>
        <v>144</v>
      </c>
      <c r="K19" s="109"/>
      <c r="M19" s="49"/>
      <c r="N19" s="111"/>
      <c r="O19" s="49"/>
      <c r="P19" s="49"/>
    </row>
    <row r="20" spans="1:16" ht="9" customHeight="1">
      <c r="A20" s="37"/>
      <c r="C20" s="597"/>
      <c r="D20" s="597"/>
      <c r="E20" s="599"/>
      <c r="K20" s="460"/>
      <c r="M20" s="49"/>
      <c r="N20" s="49"/>
      <c r="O20" s="49"/>
      <c r="P20" s="49"/>
    </row>
    <row r="21" spans="1:16">
      <c r="A21" s="37">
        <v>6</v>
      </c>
      <c r="C21" s="597" t="s">
        <v>155</v>
      </c>
      <c r="D21" s="597"/>
      <c r="E21" s="600">
        <f>SUM(E15:E19)</f>
        <v>4.4155E-2</v>
      </c>
      <c r="J21" s="110">
        <f>SUM(J15:J20)</f>
        <v>166</v>
      </c>
      <c r="K21" s="110"/>
      <c r="M21" s="49"/>
      <c r="N21" s="111"/>
      <c r="O21" s="49"/>
      <c r="P21" s="49"/>
    </row>
    <row r="22" spans="1:16" ht="9.6" customHeight="1">
      <c r="A22" s="37"/>
      <c r="C22" s="597"/>
      <c r="D22" s="597"/>
      <c r="E22" s="597"/>
      <c r="J22" s="111"/>
      <c r="K22" s="111"/>
      <c r="M22" s="49"/>
      <c r="N22" s="111"/>
      <c r="O22" s="49"/>
      <c r="P22" s="49"/>
    </row>
    <row r="23" spans="1:16">
      <c r="A23" s="37">
        <v>7</v>
      </c>
      <c r="C23" s="597" t="s">
        <v>156</v>
      </c>
      <c r="D23" s="597"/>
      <c r="E23" s="597">
        <f>E12-E21</f>
        <v>0.95584500000000006</v>
      </c>
      <c r="J23" s="111">
        <f>J12-J21</f>
        <v>3596</v>
      </c>
      <c r="K23" s="111"/>
      <c r="M23" s="49"/>
      <c r="N23" s="111"/>
      <c r="O23" s="49"/>
      <c r="P23" s="49"/>
    </row>
    <row r="24" spans="1:16" ht="9.6" customHeight="1">
      <c r="A24" s="37"/>
      <c r="C24" s="597"/>
      <c r="D24" s="597"/>
      <c r="E24" s="597"/>
      <c r="K24" s="460"/>
      <c r="M24" s="49"/>
      <c r="N24" s="49"/>
      <c r="O24" s="49"/>
      <c r="P24" s="49"/>
    </row>
    <row r="25" spans="1:16">
      <c r="A25" s="37">
        <v>8</v>
      </c>
      <c r="C25" s="597" t="s">
        <v>493</v>
      </c>
      <c r="D25" s="601"/>
      <c r="E25" s="597">
        <f>E23*0.21</f>
        <v>0.20072745</v>
      </c>
      <c r="J25" s="112">
        <f>ROUND(J23*0.21,0)</f>
        <v>755</v>
      </c>
      <c r="K25" s="112"/>
      <c r="M25" s="49"/>
      <c r="N25" s="111"/>
      <c r="O25" s="49"/>
      <c r="P25" s="49"/>
    </row>
    <row r="26" spans="1:16" ht="9" customHeight="1">
      <c r="C26" s="597"/>
      <c r="D26" s="597"/>
      <c r="E26" s="597"/>
      <c r="K26" s="460"/>
      <c r="M26" s="49"/>
      <c r="N26" s="49"/>
      <c r="O26" s="49"/>
      <c r="P26" s="49"/>
    </row>
    <row r="27" spans="1:16" ht="13.5" thickBot="1">
      <c r="A27" s="37">
        <v>9</v>
      </c>
      <c r="C27" s="597" t="s">
        <v>157</v>
      </c>
      <c r="D27" s="597"/>
      <c r="E27" s="597">
        <f>ROUND(E23-E25,6)</f>
        <v>0.75511799999999996</v>
      </c>
      <c r="J27" s="113">
        <f>J23-J25</f>
        <v>2841</v>
      </c>
      <c r="K27" s="113"/>
      <c r="M27" s="49"/>
      <c r="N27" s="358"/>
      <c r="O27" s="49"/>
      <c r="P27" s="49"/>
    </row>
    <row r="28" spans="1:16" ht="13.5" customHeight="1" thickTop="1">
      <c r="C28" s="106"/>
      <c r="D28" s="106"/>
      <c r="F28" s="517"/>
      <c r="G28" s="517"/>
      <c r="H28" s="517"/>
      <c r="K28" s="460"/>
      <c r="M28" s="49"/>
      <c r="N28" s="49"/>
      <c r="O28" s="49"/>
      <c r="P28" s="49"/>
    </row>
    <row r="29" spans="1:16">
      <c r="A29" s="517"/>
      <c r="B29" s="517"/>
      <c r="C29" s="517"/>
      <c r="D29" s="517"/>
      <c r="E29" s="517"/>
      <c r="F29" s="517"/>
      <c r="G29" s="517"/>
      <c r="H29" s="517"/>
      <c r="J29" s="109">
        <f>J27/E27</f>
        <v>3762.3258881393372</v>
      </c>
      <c r="K29" s="109"/>
      <c r="L29" s="36" t="s">
        <v>431</v>
      </c>
      <c r="M29" s="49"/>
      <c r="N29" s="49"/>
      <c r="O29" s="49"/>
      <c r="P29" s="49"/>
    </row>
    <row r="30" spans="1:16" ht="15.75" customHeight="1">
      <c r="A30" s="517"/>
      <c r="B30" s="517"/>
      <c r="C30" s="517"/>
      <c r="D30" s="517"/>
      <c r="E30" s="517"/>
      <c r="F30" s="517"/>
      <c r="G30" s="517"/>
      <c r="H30" s="517"/>
      <c r="J30" s="496">
        <f>J29-'RR SUMMARY'!F23</f>
        <v>0.32588813933716665</v>
      </c>
      <c r="K30" s="496"/>
      <c r="L30" s="36" t="s">
        <v>83</v>
      </c>
      <c r="M30" s="49"/>
      <c r="N30" s="49"/>
      <c r="O30" s="49"/>
      <c r="P30" s="49"/>
    </row>
    <row r="31" spans="1:16" ht="4.5" customHeight="1">
      <c r="C31" s="106"/>
      <c r="D31" s="106"/>
      <c r="M31" s="49"/>
      <c r="N31" s="49"/>
      <c r="O31" s="49"/>
      <c r="P31" s="49"/>
    </row>
    <row r="32" spans="1:16">
      <c r="C32" s="106"/>
      <c r="D32" s="106"/>
      <c r="M32" s="49"/>
      <c r="N32" s="49"/>
      <c r="O32" s="49"/>
      <c r="P32" s="49"/>
    </row>
  </sheetData>
  <phoneticPr fontId="0" type="noConversion"/>
  <pageMargins left="0.75" right="0.5" top="0.97" bottom="0.84" header="0.5" footer="0.5"/>
  <pageSetup scale="98" orientation="portrait" r:id="rId1"/>
  <headerFooter alignWithMargins="0">
    <oddHeader xml:space="preserve">&amp;RExh. EMA-3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40625" defaultRowHeight="12.75"/>
  <cols>
    <col min="1" max="16384" width="9.140625" style="51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AP98"/>
  <sheetViews>
    <sheetView view="pageLayout" zoomScaleNormal="100" zoomScaleSheetLayoutView="100" workbookViewId="0">
      <selection activeCell="E84" sqref="E84"/>
    </sheetView>
  </sheetViews>
  <sheetFormatPr defaultColWidth="10.7109375" defaultRowHeight="12"/>
  <cols>
    <col min="1" max="1" width="5.7109375" style="158" customWidth="1"/>
    <col min="2" max="3" width="1.7109375" style="1" customWidth="1"/>
    <col min="4" max="4" width="30.28515625" style="1" customWidth="1"/>
    <col min="5" max="5" width="8.7109375" style="69" bestFit="1" customWidth="1"/>
    <col min="6" max="13" width="10.7109375" style="69" customWidth="1"/>
    <col min="14" max="14" width="10.85546875" style="69" customWidth="1"/>
    <col min="15" max="15" width="8.7109375" style="69" customWidth="1"/>
    <col min="16" max="16" width="12.5703125" style="69" customWidth="1"/>
    <col min="17" max="17" width="9.7109375" style="69" customWidth="1"/>
    <col min="18" max="18" width="10.28515625" style="69" customWidth="1"/>
    <col min="19" max="19" width="14.42578125" style="69" customWidth="1"/>
    <col min="20" max="20" width="11.42578125" style="69" customWidth="1"/>
    <col min="21" max="21" width="16.85546875" style="69" customWidth="1"/>
    <col min="22" max="22" width="18.28515625" style="414" customWidth="1"/>
    <col min="23" max="23" width="18" style="649" customWidth="1"/>
    <col min="24" max="24" width="20.140625" style="649" customWidth="1"/>
    <col min="25" max="25" width="18.7109375" style="375" customWidth="1"/>
    <col min="26" max="26" width="14.140625" style="375" customWidth="1"/>
    <col min="27" max="27" width="15.42578125" style="649" customWidth="1"/>
    <col min="28" max="28" width="15.5703125" style="649" customWidth="1"/>
    <col min="29" max="29" width="12.5703125" style="414" customWidth="1"/>
    <col min="30" max="30" width="12.42578125" style="414" customWidth="1"/>
    <col min="31" max="31" width="13.140625" style="414" customWidth="1"/>
    <col min="32" max="32" width="12.5703125" style="649" customWidth="1"/>
    <col min="33" max="33" width="13" style="173" customWidth="1"/>
    <col min="34" max="34" width="13.85546875" style="649" customWidth="1"/>
    <col min="35" max="35" width="15.28515625" style="649" customWidth="1"/>
    <col min="36" max="36" width="16.85546875" style="649" customWidth="1"/>
    <col min="37" max="37" width="12" style="649" customWidth="1"/>
    <col min="38" max="38" width="13.5703125" style="649" customWidth="1"/>
    <col min="39" max="39" width="9" style="612" hidden="1" customWidth="1"/>
    <col min="40" max="40" width="12.5703125" style="375" customWidth="1"/>
    <col min="41" max="16384" width="10.7109375" style="1"/>
  </cols>
  <sheetData>
    <row r="1" spans="1:40" ht="8.25" customHeight="1"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40" ht="12.75" customHeight="1">
      <c r="A2" s="376" t="str">
        <f>'ROO INPUT'!A3:C3</f>
        <v>AVISTA UTILITIES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60"/>
      <c r="T2" s="460"/>
      <c r="U2" s="460"/>
      <c r="V2" s="463"/>
      <c r="W2" s="463"/>
      <c r="X2" s="463"/>
      <c r="AA2" s="463"/>
      <c r="AB2" s="377"/>
      <c r="AD2" s="463"/>
      <c r="AF2" s="377"/>
      <c r="AG2" s="702"/>
      <c r="AH2" s="463"/>
      <c r="AK2" s="463"/>
      <c r="AL2" s="463"/>
      <c r="AM2" s="613"/>
    </row>
    <row r="3" spans="1:40" ht="15" customHeight="1">
      <c r="A3" s="376" t="s">
        <v>444</v>
      </c>
      <c r="F3" s="641" t="s">
        <v>461</v>
      </c>
      <c r="H3" s="649"/>
      <c r="I3" s="649"/>
      <c r="J3" s="649"/>
      <c r="K3" s="377"/>
      <c r="L3" s="649"/>
      <c r="M3" s="649"/>
      <c r="N3" s="649"/>
      <c r="O3" s="649"/>
      <c r="P3" s="649"/>
      <c r="Q3" s="649"/>
      <c r="R3" s="377"/>
      <c r="S3" s="463"/>
      <c r="T3" s="463"/>
      <c r="U3" s="463"/>
      <c r="V3" s="463"/>
      <c r="W3" s="657"/>
      <c r="X3" s="355"/>
      <c r="Y3" s="414"/>
      <c r="Z3" s="414"/>
      <c r="AA3" s="696" t="s">
        <v>462</v>
      </c>
      <c r="AD3" s="463"/>
      <c r="AE3" s="377"/>
      <c r="AG3" s="702"/>
      <c r="AH3" s="377"/>
      <c r="AJ3" s="737"/>
      <c r="AK3" s="463"/>
      <c r="AL3" s="463"/>
    </row>
    <row r="4" spans="1:40" ht="12.75">
      <c r="A4" s="376" t="str">
        <f>'ROO INPUT'!A5:C5</f>
        <v>TWELVE MONTHS ENDED DECEMBER 31, 2018</v>
      </c>
      <c r="E4" s="379" t="s">
        <v>485</v>
      </c>
      <c r="F4" s="375"/>
      <c r="G4" s="375"/>
      <c r="H4" s="649"/>
      <c r="I4" s="649"/>
      <c r="J4" s="414"/>
      <c r="K4" s="650"/>
      <c r="L4" s="650"/>
      <c r="M4" s="414"/>
      <c r="N4" s="377" t="s">
        <v>443</v>
      </c>
      <c r="O4" s="414"/>
      <c r="P4" s="414"/>
      <c r="Q4" s="414"/>
      <c r="R4" s="667"/>
      <c r="S4" s="463"/>
      <c r="T4" s="463"/>
      <c r="U4" s="463"/>
      <c r="V4" s="377" t="s">
        <v>443</v>
      </c>
      <c r="W4" s="657"/>
      <c r="X4" s="668"/>
      <c r="Y4" s="414"/>
      <c r="Z4" s="426"/>
      <c r="AA4" s="463"/>
      <c r="AC4" s="377" t="s">
        <v>443</v>
      </c>
      <c r="AD4" s="377" t="s">
        <v>443</v>
      </c>
      <c r="AE4" s="377" t="s">
        <v>443</v>
      </c>
      <c r="AF4" s="377" t="s">
        <v>443</v>
      </c>
      <c r="AG4" s="377" t="s">
        <v>443</v>
      </c>
      <c r="AH4" s="377" t="s">
        <v>443</v>
      </c>
      <c r="AJ4" s="738" t="s">
        <v>443</v>
      </c>
      <c r="AK4" s="688" t="s">
        <v>443</v>
      </c>
      <c r="AL4" s="650"/>
    </row>
    <row r="5" spans="1:40" s="380" customFormat="1" ht="14.25" customHeight="1">
      <c r="A5" s="376" t="str">
        <f>'ROO INPUT'!A6:C6</f>
        <v xml:space="preserve">(000'S OF DOLLARS)   </v>
      </c>
      <c r="B5" s="158"/>
      <c r="C5" s="158"/>
      <c r="D5" s="158"/>
      <c r="E5" s="516" t="s">
        <v>492</v>
      </c>
      <c r="F5" s="378"/>
      <c r="G5" s="378"/>
      <c r="H5" s="650"/>
      <c r="I5" s="650"/>
      <c r="J5" s="378"/>
      <c r="K5" s="650"/>
      <c r="L5" s="650"/>
      <c r="M5" s="378"/>
      <c r="N5" s="378"/>
      <c r="O5" s="378"/>
      <c r="P5" s="378"/>
      <c r="Q5" s="378"/>
      <c r="R5" s="667"/>
      <c r="S5" s="667"/>
      <c r="T5" s="673"/>
      <c r="U5" s="687"/>
      <c r="V5" s="673"/>
      <c r="W5" s="657"/>
      <c r="X5" s="668"/>
      <c r="Y5" s="378"/>
      <c r="Z5" s="674"/>
      <c r="AA5" s="687"/>
      <c r="AB5" s="687"/>
      <c r="AC5" s="687"/>
      <c r="AD5" s="687"/>
      <c r="AE5" s="667"/>
      <c r="AF5" s="687"/>
      <c r="AG5" s="703"/>
      <c r="AH5" s="650"/>
      <c r="AI5" s="687"/>
      <c r="AJ5" s="738"/>
      <c r="AK5" s="699"/>
      <c r="AL5" s="650"/>
      <c r="AM5" s="614"/>
      <c r="AN5" s="378"/>
    </row>
    <row r="6" spans="1:40" s="383" customFormat="1" ht="3.75" customHeight="1">
      <c r="A6" s="382"/>
      <c r="D6" s="501"/>
      <c r="E6" s="501"/>
      <c r="F6" s="379"/>
      <c r="G6" s="379"/>
      <c r="H6" s="377"/>
      <c r="I6" s="377"/>
      <c r="J6" s="377"/>
      <c r="K6" s="656"/>
      <c r="L6" s="377"/>
      <c r="M6" s="377"/>
      <c r="N6" s="377"/>
      <c r="O6" s="377"/>
      <c r="P6" s="377"/>
      <c r="Q6" s="377"/>
      <c r="R6" s="656"/>
      <c r="S6" s="377"/>
      <c r="T6" s="377"/>
      <c r="U6" s="377"/>
      <c r="V6" s="681"/>
      <c r="W6" s="658"/>
      <c r="X6" s="669"/>
      <c r="Y6" s="377"/>
      <c r="Z6" s="381"/>
      <c r="AA6" s="377"/>
      <c r="AB6" s="377"/>
      <c r="AC6" s="688"/>
      <c r="AD6" s="688"/>
      <c r="AE6" s="688"/>
      <c r="AF6" s="377"/>
      <c r="AG6" s="704"/>
      <c r="AH6" s="666"/>
      <c r="AI6" s="377"/>
      <c r="AJ6" s="739"/>
      <c r="AK6" s="377"/>
      <c r="AL6" s="723"/>
      <c r="AM6" s="613"/>
      <c r="AN6" s="377"/>
    </row>
    <row r="7" spans="1:40" s="383" customFormat="1" ht="12" customHeight="1">
      <c r="A7" s="384"/>
      <c r="B7" s="385"/>
      <c r="C7" s="386"/>
      <c r="D7" s="387"/>
      <c r="E7" s="388" t="s">
        <v>0</v>
      </c>
      <c r="F7" s="642" t="s">
        <v>1</v>
      </c>
      <c r="G7" s="642" t="s">
        <v>476</v>
      </c>
      <c r="H7" s="642" t="s">
        <v>435</v>
      </c>
      <c r="I7" s="652" t="s">
        <v>501</v>
      </c>
      <c r="J7" s="642" t="s">
        <v>2</v>
      </c>
      <c r="K7" s="642" t="s">
        <v>5</v>
      </c>
      <c r="L7" s="642" t="s">
        <v>113</v>
      </c>
      <c r="M7" s="642" t="s">
        <v>3</v>
      </c>
      <c r="N7" s="642" t="s">
        <v>4</v>
      </c>
      <c r="O7" s="642" t="s">
        <v>429</v>
      </c>
      <c r="P7" s="642" t="s">
        <v>6</v>
      </c>
      <c r="Q7" s="642" t="s">
        <v>5</v>
      </c>
      <c r="R7" s="642" t="s">
        <v>129</v>
      </c>
      <c r="S7" s="642" t="s">
        <v>446</v>
      </c>
      <c r="T7" s="659" t="s">
        <v>448</v>
      </c>
      <c r="U7" s="659" t="s">
        <v>481</v>
      </c>
      <c r="V7" s="642" t="s">
        <v>162</v>
      </c>
      <c r="W7" s="659" t="s">
        <v>5</v>
      </c>
      <c r="X7" s="371" t="s">
        <v>505</v>
      </c>
      <c r="Y7" s="371" t="s">
        <v>440</v>
      </c>
      <c r="Z7" s="675"/>
      <c r="AA7" s="690" t="s">
        <v>15</v>
      </c>
      <c r="AB7" s="642" t="s">
        <v>15</v>
      </c>
      <c r="AC7" s="642" t="s">
        <v>15</v>
      </c>
      <c r="AD7" s="642" t="s">
        <v>15</v>
      </c>
      <c r="AE7" s="642" t="s">
        <v>15</v>
      </c>
      <c r="AF7" s="642" t="s">
        <v>15</v>
      </c>
      <c r="AG7" s="705" t="s">
        <v>15</v>
      </c>
      <c r="AH7" s="642" t="s">
        <v>15</v>
      </c>
      <c r="AI7" s="642" t="s">
        <v>15</v>
      </c>
      <c r="AJ7" s="371" t="s">
        <v>439</v>
      </c>
      <c r="AK7" s="642" t="s">
        <v>15</v>
      </c>
      <c r="AL7" s="642" t="s">
        <v>15</v>
      </c>
      <c r="AM7" s="615" t="s">
        <v>15</v>
      </c>
      <c r="AN7" s="502" t="s">
        <v>439</v>
      </c>
    </row>
    <row r="8" spans="1:40" s="383" customFormat="1">
      <c r="A8" s="389" t="s">
        <v>7</v>
      </c>
      <c r="B8" s="390"/>
      <c r="C8" s="391"/>
      <c r="D8" s="392"/>
      <c r="E8" s="470" t="s">
        <v>8</v>
      </c>
      <c r="F8" s="643" t="s">
        <v>9</v>
      </c>
      <c r="G8" s="643" t="s">
        <v>477</v>
      </c>
      <c r="H8" s="643" t="s">
        <v>132</v>
      </c>
      <c r="I8" s="653" t="s">
        <v>502</v>
      </c>
      <c r="J8" s="643" t="s">
        <v>10</v>
      </c>
      <c r="K8" s="643" t="s">
        <v>11</v>
      </c>
      <c r="L8" s="643" t="s">
        <v>12</v>
      </c>
      <c r="M8" s="643" t="s">
        <v>12</v>
      </c>
      <c r="N8" s="643" t="s">
        <v>480</v>
      </c>
      <c r="O8" s="643" t="s">
        <v>430</v>
      </c>
      <c r="P8" s="643" t="s">
        <v>14</v>
      </c>
      <c r="Q8" s="643" t="s">
        <v>130</v>
      </c>
      <c r="R8" s="643" t="s">
        <v>478</v>
      </c>
      <c r="S8" s="643" t="s">
        <v>447</v>
      </c>
      <c r="T8" s="660" t="s">
        <v>449</v>
      </c>
      <c r="U8" s="660" t="s">
        <v>482</v>
      </c>
      <c r="V8" s="682" t="s">
        <v>475</v>
      </c>
      <c r="W8" s="660" t="s">
        <v>13</v>
      </c>
      <c r="X8" s="670" t="s">
        <v>487</v>
      </c>
      <c r="Y8" s="442" t="s">
        <v>211</v>
      </c>
      <c r="Z8" s="675"/>
      <c r="AA8" s="691" t="s">
        <v>445</v>
      </c>
      <c r="AB8" s="643" t="s">
        <v>486</v>
      </c>
      <c r="AC8" s="682" t="s">
        <v>125</v>
      </c>
      <c r="AD8" s="682" t="s">
        <v>125</v>
      </c>
      <c r="AE8" s="682" t="s">
        <v>484</v>
      </c>
      <c r="AF8" s="643" t="s">
        <v>510</v>
      </c>
      <c r="AG8" s="706" t="s">
        <v>483</v>
      </c>
      <c r="AH8" s="643" t="s">
        <v>11</v>
      </c>
      <c r="AI8" s="643" t="s">
        <v>44</v>
      </c>
      <c r="AJ8" s="653" t="s">
        <v>544</v>
      </c>
      <c r="AK8" s="643" t="s">
        <v>427</v>
      </c>
      <c r="AL8" s="682" t="s">
        <v>509</v>
      </c>
      <c r="AM8" s="616" t="s">
        <v>511</v>
      </c>
      <c r="AN8" s="503" t="s">
        <v>25</v>
      </c>
    </row>
    <row r="9" spans="1:40" s="383" customFormat="1">
      <c r="A9" s="393" t="s">
        <v>16</v>
      </c>
      <c r="B9" s="394"/>
      <c r="C9" s="395"/>
      <c r="D9" s="396" t="s">
        <v>17</v>
      </c>
      <c r="E9" s="471" t="s">
        <v>18</v>
      </c>
      <c r="F9" s="644" t="s">
        <v>19</v>
      </c>
      <c r="G9" s="644" t="s">
        <v>239</v>
      </c>
      <c r="H9" s="644"/>
      <c r="I9" s="654" t="s">
        <v>19</v>
      </c>
      <c r="J9" s="644" t="s">
        <v>21</v>
      </c>
      <c r="K9" s="644" t="s">
        <v>22</v>
      </c>
      <c r="L9" s="644"/>
      <c r="M9" s="644"/>
      <c r="N9" s="644" t="s">
        <v>23</v>
      </c>
      <c r="O9" s="644" t="s">
        <v>12</v>
      </c>
      <c r="P9" s="644" t="s">
        <v>504</v>
      </c>
      <c r="Q9" s="644" t="s">
        <v>21</v>
      </c>
      <c r="R9" s="644" t="s">
        <v>479</v>
      </c>
      <c r="S9" s="644" t="s">
        <v>114</v>
      </c>
      <c r="T9" s="661" t="s">
        <v>450</v>
      </c>
      <c r="U9" s="661" t="s">
        <v>507</v>
      </c>
      <c r="V9" s="683" t="s">
        <v>12</v>
      </c>
      <c r="W9" s="661" t="s">
        <v>24</v>
      </c>
      <c r="X9" s="671" t="s">
        <v>488</v>
      </c>
      <c r="Y9" s="603"/>
      <c r="Z9" s="676"/>
      <c r="AA9" s="692" t="s">
        <v>442</v>
      </c>
      <c r="AB9" s="644" t="s">
        <v>454</v>
      </c>
      <c r="AC9" s="683" t="s">
        <v>126</v>
      </c>
      <c r="AD9" s="683" t="s">
        <v>127</v>
      </c>
      <c r="AE9" s="683" t="s">
        <v>161</v>
      </c>
      <c r="AF9" s="644" t="s">
        <v>12</v>
      </c>
      <c r="AG9" s="707" t="s">
        <v>12</v>
      </c>
      <c r="AH9" s="644" t="s">
        <v>22</v>
      </c>
      <c r="AI9" s="644" t="s">
        <v>12</v>
      </c>
      <c r="AJ9" s="654" t="s">
        <v>463</v>
      </c>
      <c r="AK9" s="644" t="s">
        <v>428</v>
      </c>
      <c r="AL9" s="644" t="s">
        <v>454</v>
      </c>
      <c r="AM9" s="617"/>
      <c r="AN9" s="504"/>
    </row>
    <row r="10" spans="1:40" s="383" customFormat="1">
      <c r="A10" s="382"/>
      <c r="B10" s="397" t="s">
        <v>182</v>
      </c>
      <c r="E10" s="447">
        <v>1</v>
      </c>
      <c r="F10" s="447">
        <f>E10+0.01</f>
        <v>1.01</v>
      </c>
      <c r="G10" s="447">
        <f t="shared" ref="G10" si="0">F10+0.01</f>
        <v>1.02</v>
      </c>
      <c r="H10" s="651">
        <f>G10+0.01</f>
        <v>1.03</v>
      </c>
      <c r="I10" s="655">
        <f>H10+0.01</f>
        <v>1.04</v>
      </c>
      <c r="J10" s="651">
        <v>2.0099999999999998</v>
      </c>
      <c r="K10" s="651">
        <f>J10+0.01</f>
        <v>2.0199999999999996</v>
      </c>
      <c r="L10" s="651">
        <f t="shared" ref="L10:S10" si="1">K10+0.01</f>
        <v>2.0299999999999994</v>
      </c>
      <c r="M10" s="651">
        <f t="shared" si="1"/>
        <v>2.0399999999999991</v>
      </c>
      <c r="N10" s="651">
        <f t="shared" si="1"/>
        <v>2.0499999999999989</v>
      </c>
      <c r="O10" s="651">
        <f t="shared" si="1"/>
        <v>2.0599999999999987</v>
      </c>
      <c r="P10" s="651">
        <f t="shared" si="1"/>
        <v>2.0699999999999985</v>
      </c>
      <c r="Q10" s="651">
        <f t="shared" si="1"/>
        <v>2.0799999999999983</v>
      </c>
      <c r="R10" s="651">
        <f t="shared" si="1"/>
        <v>2.0899999999999981</v>
      </c>
      <c r="S10" s="398">
        <f t="shared" si="1"/>
        <v>2.0999999999999979</v>
      </c>
      <c r="T10" s="398">
        <f t="shared" ref="T10" si="2">S10+0.01</f>
        <v>2.1099999999999977</v>
      </c>
      <c r="U10" s="398">
        <f t="shared" ref="U10" si="3">T10+0.01</f>
        <v>2.1199999999999974</v>
      </c>
      <c r="V10" s="398">
        <f t="shared" ref="V10" si="4">U10+0.01</f>
        <v>2.1299999999999972</v>
      </c>
      <c r="W10" s="398">
        <f t="shared" ref="W10" si="5">V10+0.01</f>
        <v>2.139999999999997</v>
      </c>
      <c r="X10" s="398">
        <f t="shared" ref="X10" si="6">W10+0.01</f>
        <v>2.1499999999999968</v>
      </c>
      <c r="Y10" s="377"/>
      <c r="Z10" s="381"/>
      <c r="AA10" s="398">
        <v>3.01</v>
      </c>
      <c r="AB10" s="398">
        <f>AA10+0.01</f>
        <v>3.0199999999999996</v>
      </c>
      <c r="AC10" s="398">
        <f t="shared" ref="AC10:AM10" si="7">AB10+0.01</f>
        <v>3.0299999999999994</v>
      </c>
      <c r="AD10" s="398">
        <f t="shared" si="7"/>
        <v>3.0399999999999991</v>
      </c>
      <c r="AE10" s="398">
        <f t="shared" si="7"/>
        <v>3.0499999999999989</v>
      </c>
      <c r="AF10" s="398">
        <f t="shared" si="7"/>
        <v>3.0599999999999987</v>
      </c>
      <c r="AG10" s="708">
        <f t="shared" si="7"/>
        <v>3.0699999999999985</v>
      </c>
      <c r="AH10" s="398">
        <f t="shared" si="7"/>
        <v>3.0799999999999983</v>
      </c>
      <c r="AI10" s="398">
        <f t="shared" si="7"/>
        <v>3.0899999999999981</v>
      </c>
      <c r="AJ10" s="398">
        <f t="shared" si="7"/>
        <v>3.0999999999999979</v>
      </c>
      <c r="AK10" s="398">
        <f t="shared" si="7"/>
        <v>3.1099999999999977</v>
      </c>
      <c r="AL10" s="398">
        <f t="shared" si="7"/>
        <v>3.1199999999999974</v>
      </c>
      <c r="AM10" s="618">
        <f t="shared" si="7"/>
        <v>3.1299999999999972</v>
      </c>
      <c r="AN10" s="474"/>
    </row>
    <row r="11" spans="1:40" s="383" customFormat="1">
      <c r="A11" s="382"/>
      <c r="B11" s="397" t="s">
        <v>183</v>
      </c>
      <c r="E11" s="379" t="s">
        <v>184</v>
      </c>
      <c r="F11" s="379" t="s">
        <v>185</v>
      </c>
      <c r="G11" s="379" t="s">
        <v>186</v>
      </c>
      <c r="H11" s="377" t="s">
        <v>436</v>
      </c>
      <c r="I11" s="655" t="s">
        <v>503</v>
      </c>
      <c r="J11" s="377" t="s">
        <v>187</v>
      </c>
      <c r="K11" s="377" t="s">
        <v>433</v>
      </c>
      <c r="L11" s="377" t="s">
        <v>188</v>
      </c>
      <c r="M11" s="377" t="s">
        <v>189</v>
      </c>
      <c r="N11" s="377" t="s">
        <v>190</v>
      </c>
      <c r="O11" s="377" t="s">
        <v>191</v>
      </c>
      <c r="P11" s="377" t="s">
        <v>193</v>
      </c>
      <c r="Q11" s="377" t="s">
        <v>424</v>
      </c>
      <c r="R11" s="377" t="s">
        <v>192</v>
      </c>
      <c r="S11" s="379" t="s">
        <v>466</v>
      </c>
      <c r="T11" s="379" t="s">
        <v>451</v>
      </c>
      <c r="U11" s="379" t="s">
        <v>194</v>
      </c>
      <c r="V11" s="377" t="s">
        <v>195</v>
      </c>
      <c r="W11" s="377" t="s">
        <v>196</v>
      </c>
      <c r="X11" s="672" t="s">
        <v>506</v>
      </c>
      <c r="Y11" s="377" t="s">
        <v>425</v>
      </c>
      <c r="Z11" s="381"/>
      <c r="AA11" s="377" t="s">
        <v>453</v>
      </c>
      <c r="AB11" s="377" t="s">
        <v>473</v>
      </c>
      <c r="AC11" s="377" t="s">
        <v>197</v>
      </c>
      <c r="AD11" s="377" t="s">
        <v>198</v>
      </c>
      <c r="AE11" s="377" t="s">
        <v>199</v>
      </c>
      <c r="AF11" s="377" t="s">
        <v>515</v>
      </c>
      <c r="AG11" s="709" t="s">
        <v>512</v>
      </c>
      <c r="AH11" s="377" t="s">
        <v>434</v>
      </c>
      <c r="AI11" s="377" t="s">
        <v>513</v>
      </c>
      <c r="AJ11" s="381" t="s">
        <v>508</v>
      </c>
      <c r="AK11" s="377" t="s">
        <v>464</v>
      </c>
      <c r="AL11" s="377" t="s">
        <v>514</v>
      </c>
      <c r="AM11" s="613" t="s">
        <v>516</v>
      </c>
      <c r="AN11" s="474" t="s">
        <v>426</v>
      </c>
    </row>
    <row r="12" spans="1:40" ht="6" customHeight="1"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V12" s="649"/>
      <c r="Z12" s="484"/>
      <c r="AC12" s="649"/>
      <c r="AD12" s="649"/>
      <c r="AE12" s="649"/>
      <c r="AJ12" s="399"/>
      <c r="AN12" s="475"/>
    </row>
    <row r="13" spans="1:40">
      <c r="B13" s="1" t="s">
        <v>32</v>
      </c>
      <c r="V13" s="649"/>
      <c r="Z13" s="484"/>
      <c r="AC13" s="649"/>
      <c r="AD13" s="649"/>
      <c r="AE13" s="649"/>
      <c r="AJ13" s="399"/>
      <c r="AN13" s="475"/>
    </row>
    <row r="14" spans="1:40" s="3" customFormat="1">
      <c r="A14" s="158">
        <v>1</v>
      </c>
      <c r="B14" s="3" t="s">
        <v>33</v>
      </c>
      <c r="E14" s="472">
        <f>'ROO INPUT'!$F15</f>
        <v>140625</v>
      </c>
      <c r="F14" s="645">
        <v>0</v>
      </c>
      <c r="G14" s="645">
        <v>0</v>
      </c>
      <c r="H14" s="645">
        <v>0</v>
      </c>
      <c r="I14" s="645">
        <v>0</v>
      </c>
      <c r="J14" s="645">
        <v>-5070</v>
      </c>
      <c r="K14" s="645">
        <v>0</v>
      </c>
      <c r="L14" s="645">
        <v>0</v>
      </c>
      <c r="M14" s="645">
        <v>0</v>
      </c>
      <c r="N14" s="645">
        <v>0</v>
      </c>
      <c r="O14" s="645">
        <v>0</v>
      </c>
      <c r="P14" s="645">
        <v>0</v>
      </c>
      <c r="Q14" s="645">
        <v>0</v>
      </c>
      <c r="R14" s="645">
        <v>0</v>
      </c>
      <c r="S14" s="645">
        <v>6259</v>
      </c>
      <c r="T14" s="645">
        <v>5056</v>
      </c>
      <c r="U14" s="645">
        <v>0</v>
      </c>
      <c r="V14" s="645">
        <v>0</v>
      </c>
      <c r="W14" s="645">
        <v>0</v>
      </c>
      <c r="X14" s="645">
        <v>0</v>
      </c>
      <c r="Y14" s="400">
        <f>SUM(E14:X14)</f>
        <v>146870</v>
      </c>
      <c r="Z14" s="677"/>
      <c r="AA14" s="645">
        <v>-58118</v>
      </c>
      <c r="AB14" s="645">
        <v>0</v>
      </c>
      <c r="AC14" s="645">
        <v>0</v>
      </c>
      <c r="AD14" s="645">
        <v>0</v>
      </c>
      <c r="AE14" s="645">
        <v>0</v>
      </c>
      <c r="AF14" s="645">
        <v>0</v>
      </c>
      <c r="AG14" s="710">
        <v>0</v>
      </c>
      <c r="AH14" s="645">
        <v>0</v>
      </c>
      <c r="AI14" s="645">
        <v>0</v>
      </c>
      <c r="AJ14" s="740">
        <v>0</v>
      </c>
      <c r="AK14" s="645">
        <v>0</v>
      </c>
      <c r="AL14" s="645">
        <v>0</v>
      </c>
      <c r="AM14" s="619">
        <v>0</v>
      </c>
      <c r="AN14" s="476">
        <f>SUM(Y14:AM14)</f>
        <v>88752</v>
      </c>
    </row>
    <row r="15" spans="1:40">
      <c r="A15" s="158">
        <v>2</v>
      </c>
      <c r="B15" s="4" t="s">
        <v>34</v>
      </c>
      <c r="D15" s="4"/>
      <c r="E15" s="304">
        <f>'ROO INPUT'!$F16</f>
        <v>5088</v>
      </c>
      <c r="F15" s="646">
        <v>0</v>
      </c>
      <c r="G15" s="646">
        <v>0</v>
      </c>
      <c r="H15" s="646">
        <v>0</v>
      </c>
      <c r="I15" s="646">
        <v>0</v>
      </c>
      <c r="J15" s="646">
        <v>-128</v>
      </c>
      <c r="K15" s="646">
        <v>0</v>
      </c>
      <c r="L15" s="646">
        <v>0</v>
      </c>
      <c r="M15" s="646">
        <v>0</v>
      </c>
      <c r="N15" s="646">
        <v>0</v>
      </c>
      <c r="O15" s="646">
        <v>0</v>
      </c>
      <c r="P15" s="646">
        <v>0</v>
      </c>
      <c r="Q15" s="646">
        <v>0</v>
      </c>
      <c r="R15" s="646">
        <v>0</v>
      </c>
      <c r="S15" s="646"/>
      <c r="T15" s="646">
        <v>0</v>
      </c>
      <c r="U15" s="646">
        <v>0</v>
      </c>
      <c r="V15" s="646">
        <v>0</v>
      </c>
      <c r="W15" s="646">
        <v>0</v>
      </c>
      <c r="X15" s="646">
        <v>0</v>
      </c>
      <c r="Y15" s="401">
        <f>SUM(E15:X15)</f>
        <v>4960</v>
      </c>
      <c r="Z15" s="406"/>
      <c r="AA15" s="646">
        <v>-5</v>
      </c>
      <c r="AB15" s="646">
        <v>0</v>
      </c>
      <c r="AC15" s="646">
        <v>0</v>
      </c>
      <c r="AD15" s="646">
        <v>0</v>
      </c>
      <c r="AE15" s="646">
        <v>0</v>
      </c>
      <c r="AF15" s="646">
        <v>0</v>
      </c>
      <c r="AG15" s="711">
        <v>0</v>
      </c>
      <c r="AH15" s="646">
        <v>0</v>
      </c>
      <c r="AI15" s="646">
        <v>0</v>
      </c>
      <c r="AJ15" s="648">
        <v>0</v>
      </c>
      <c r="AK15" s="646">
        <v>0</v>
      </c>
      <c r="AL15" s="646">
        <v>0</v>
      </c>
      <c r="AM15" s="620">
        <v>0</v>
      </c>
      <c r="AN15" s="477">
        <f>SUM(Y15:AM15)</f>
        <v>4955</v>
      </c>
    </row>
    <row r="16" spans="1:40">
      <c r="A16" s="158">
        <v>3</v>
      </c>
      <c r="B16" s="4" t="s">
        <v>35</v>
      </c>
      <c r="D16" s="4"/>
      <c r="E16" s="306">
        <f>'ROO INPUT'!$F17</f>
        <v>50681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7">
        <v>0</v>
      </c>
      <c r="N16" s="647">
        <v>0</v>
      </c>
      <c r="O16" s="647">
        <v>0</v>
      </c>
      <c r="P16" s="647">
        <v>0</v>
      </c>
      <c r="Q16" s="647">
        <v>0</v>
      </c>
      <c r="R16" s="647">
        <v>0</v>
      </c>
      <c r="S16" s="647">
        <v>-3321</v>
      </c>
      <c r="T16" s="647">
        <v>-51690</v>
      </c>
      <c r="U16" s="647">
        <v>114</v>
      </c>
      <c r="V16" s="647">
        <v>0</v>
      </c>
      <c r="W16" s="647">
        <v>0</v>
      </c>
      <c r="X16" s="647">
        <v>0</v>
      </c>
      <c r="Y16" s="402">
        <f>SUM(E16:X16)</f>
        <v>-4216</v>
      </c>
      <c r="Z16" s="406"/>
      <c r="AA16" s="647">
        <v>4549</v>
      </c>
      <c r="AB16" s="647">
        <v>0</v>
      </c>
      <c r="AC16" s="647">
        <v>0</v>
      </c>
      <c r="AD16" s="647">
        <v>0</v>
      </c>
      <c r="AE16" s="647">
        <v>0</v>
      </c>
      <c r="AF16" s="647">
        <v>0</v>
      </c>
      <c r="AG16" s="712">
        <v>0</v>
      </c>
      <c r="AH16" s="647">
        <v>0</v>
      </c>
      <c r="AI16" s="647">
        <v>0</v>
      </c>
      <c r="AJ16" s="647">
        <v>0</v>
      </c>
      <c r="AK16" s="647">
        <v>0</v>
      </c>
      <c r="AL16" s="647">
        <v>0</v>
      </c>
      <c r="AM16" s="621">
        <v>0</v>
      </c>
      <c r="AN16" s="473">
        <f>SUM(Y16:AM16)</f>
        <v>333</v>
      </c>
    </row>
    <row r="17" spans="1:40">
      <c r="A17" s="158">
        <v>4</v>
      </c>
      <c r="B17" s="1" t="s">
        <v>36</v>
      </c>
      <c r="C17" s="4"/>
      <c r="D17" s="4"/>
      <c r="E17" s="304">
        <f>SUM(E14:E16)</f>
        <v>196394</v>
      </c>
      <c r="F17" s="304">
        <f t="shared" ref="F17:O17" si="8">SUM(F14:F16)</f>
        <v>0</v>
      </c>
      <c r="G17" s="304">
        <f t="shared" si="8"/>
        <v>0</v>
      </c>
      <c r="H17" s="304">
        <f t="shared" si="8"/>
        <v>0</v>
      </c>
      <c r="I17" s="304">
        <f t="shared" ref="I17" si="9">SUM(I14:I16)</f>
        <v>0</v>
      </c>
      <c r="J17" s="304">
        <f t="shared" si="8"/>
        <v>-5198</v>
      </c>
      <c r="K17" s="304">
        <f>SUM(K14:K16)</f>
        <v>0</v>
      </c>
      <c r="L17" s="304">
        <f t="shared" si="8"/>
        <v>0</v>
      </c>
      <c r="M17" s="304">
        <f t="shared" si="8"/>
        <v>0</v>
      </c>
      <c r="N17" s="304">
        <f t="shared" si="8"/>
        <v>0</v>
      </c>
      <c r="O17" s="304">
        <f t="shared" si="8"/>
        <v>0</v>
      </c>
      <c r="P17" s="304">
        <f t="shared" ref="P17:Q17" si="10">SUM(P14:P16)</f>
        <v>0</v>
      </c>
      <c r="Q17" s="304">
        <f t="shared" si="10"/>
        <v>0</v>
      </c>
      <c r="R17" s="304">
        <f t="shared" ref="R17" si="11">SUM(R14:R16)</f>
        <v>0</v>
      </c>
      <c r="S17" s="304">
        <f>SUM(S14:S16)</f>
        <v>2938</v>
      </c>
      <c r="T17" s="304">
        <f>SUM(T14:T16)</f>
        <v>-46634</v>
      </c>
      <c r="U17" s="304">
        <f t="shared" ref="U17" si="12">SUM(U14:U16)</f>
        <v>114</v>
      </c>
      <c r="V17" s="354">
        <f>SUM(V14:V16)</f>
        <v>0</v>
      </c>
      <c r="W17" s="354">
        <f t="shared" ref="W17" si="13">SUM(W14:W16)</f>
        <v>0</v>
      </c>
      <c r="X17" s="354">
        <f>SUM(X14:X16)</f>
        <v>0</v>
      </c>
      <c r="Y17" s="401">
        <f>SUM(Y14:Y16)</f>
        <v>147614</v>
      </c>
      <c r="Z17" s="406"/>
      <c r="AA17" s="354">
        <f>SUM(AA14:AA16)</f>
        <v>-53574</v>
      </c>
      <c r="AB17" s="354">
        <f>SUM(AB14:AB16)</f>
        <v>0</v>
      </c>
      <c r="AC17" s="354">
        <f>SUM(AC14:AC16)</f>
        <v>0</v>
      </c>
      <c r="AD17" s="354">
        <f t="shared" ref="AD17:AF17" si="14">SUM(AD14:AD16)</f>
        <v>0</v>
      </c>
      <c r="AE17" s="354">
        <f t="shared" si="14"/>
        <v>0</v>
      </c>
      <c r="AF17" s="354">
        <f t="shared" si="14"/>
        <v>0</v>
      </c>
      <c r="AG17" s="223">
        <f>SUM(AG14:AG16)</f>
        <v>0</v>
      </c>
      <c r="AH17" s="354">
        <f t="shared" ref="AH17" si="15">SUM(AH14:AH16)</f>
        <v>0</v>
      </c>
      <c r="AI17" s="354">
        <f t="shared" ref="AI17" si="16">SUM(AI14:AI16)</f>
        <v>0</v>
      </c>
      <c r="AJ17" s="664">
        <f>SUM(AJ14:AJ16)</f>
        <v>0</v>
      </c>
      <c r="AK17" s="354">
        <f>SUM(AK14:AK16)</f>
        <v>0</v>
      </c>
      <c r="AL17" s="354">
        <f t="shared" ref="AL17" si="17">SUM(AL14:AL16)</f>
        <v>0</v>
      </c>
      <c r="AM17" s="622">
        <f t="shared" ref="AM17" si="18">SUM(AM14:AM16)</f>
        <v>0</v>
      </c>
      <c r="AN17" s="477">
        <f t="shared" ref="AN17" si="19">SUM(AN14:AN16)</f>
        <v>94040</v>
      </c>
    </row>
    <row r="18" spans="1:40" ht="7.5" customHeight="1">
      <c r="C18" s="4"/>
      <c r="D18" s="4"/>
      <c r="E18" s="304"/>
      <c r="F18" s="646"/>
      <c r="G18" s="646"/>
      <c r="H18" s="646"/>
      <c r="I18" s="646"/>
      <c r="J18" s="646"/>
      <c r="K18" s="646"/>
      <c r="L18" s="646"/>
      <c r="M18" s="646"/>
      <c r="N18" s="646"/>
      <c r="O18" s="646"/>
      <c r="P18" s="646"/>
      <c r="Q18" s="646"/>
      <c r="R18" s="646"/>
      <c r="S18" s="646"/>
      <c r="T18" s="646"/>
      <c r="U18" s="646"/>
      <c r="V18" s="646"/>
      <c r="W18" s="646"/>
      <c r="X18" s="646"/>
      <c r="Y18" s="401"/>
      <c r="Z18" s="406"/>
      <c r="AA18" s="646"/>
      <c r="AB18" s="646"/>
      <c r="AC18" s="646"/>
      <c r="AD18" s="646"/>
      <c r="AE18" s="646"/>
      <c r="AF18" s="646"/>
      <c r="AG18" s="711"/>
      <c r="AH18" s="646"/>
      <c r="AI18" s="646"/>
      <c r="AJ18" s="648"/>
      <c r="AK18" s="646"/>
      <c r="AL18" s="646"/>
      <c r="AM18" s="620"/>
      <c r="AN18" s="477"/>
    </row>
    <row r="19" spans="1:40">
      <c r="B19" s="1" t="s">
        <v>37</v>
      </c>
      <c r="C19" s="4"/>
      <c r="D19" s="4"/>
      <c r="E19" s="304"/>
      <c r="F19" s="646"/>
      <c r="G19" s="646"/>
      <c r="H19" s="646"/>
      <c r="I19" s="646"/>
      <c r="J19" s="646"/>
      <c r="K19" s="646"/>
      <c r="L19" s="646"/>
      <c r="M19" s="646"/>
      <c r="N19" s="646"/>
      <c r="O19" s="646"/>
      <c r="P19" s="646"/>
      <c r="Q19" s="646"/>
      <c r="R19" s="646"/>
      <c r="S19" s="646"/>
      <c r="T19" s="646"/>
      <c r="U19" s="646"/>
      <c r="V19" s="646"/>
      <c r="W19" s="646"/>
      <c r="X19" s="646"/>
      <c r="Y19" s="401"/>
      <c r="Z19" s="406"/>
      <c r="AA19" s="646"/>
      <c r="AB19" s="646"/>
      <c r="AC19" s="646"/>
      <c r="AD19" s="646"/>
      <c r="AE19" s="646"/>
      <c r="AF19" s="646"/>
      <c r="AG19" s="711"/>
      <c r="AH19" s="646"/>
      <c r="AI19" s="646"/>
      <c r="AJ19" s="648"/>
      <c r="AK19" s="646"/>
      <c r="AL19" s="646"/>
      <c r="AM19" s="620"/>
      <c r="AN19" s="477"/>
    </row>
    <row r="20" spans="1:40">
      <c r="B20" s="4" t="s">
        <v>204</v>
      </c>
      <c r="D20" s="4"/>
      <c r="E20" s="304"/>
      <c r="F20" s="646"/>
      <c r="G20" s="646"/>
      <c r="H20" s="646"/>
      <c r="I20" s="646"/>
      <c r="J20" s="646"/>
      <c r="K20" s="646"/>
      <c r="L20" s="646"/>
      <c r="M20" s="646"/>
      <c r="N20" s="646"/>
      <c r="O20" s="646"/>
      <c r="P20" s="646"/>
      <c r="Q20" s="646"/>
      <c r="R20" s="646"/>
      <c r="S20" s="646"/>
      <c r="T20" s="646"/>
      <c r="U20" s="646"/>
      <c r="V20" s="646"/>
      <c r="W20" s="646"/>
      <c r="X20" s="646"/>
      <c r="Y20" s="401"/>
      <c r="Z20" s="406"/>
      <c r="AA20" s="646"/>
      <c r="AB20" s="646"/>
      <c r="AC20" s="646"/>
      <c r="AD20" s="646"/>
      <c r="AE20" s="646"/>
      <c r="AF20" s="646"/>
      <c r="AG20" s="711"/>
      <c r="AH20" s="646"/>
      <c r="AI20" s="646"/>
      <c r="AJ20" s="648"/>
      <c r="AK20" s="646"/>
      <c r="AL20" s="646"/>
      <c r="AM20" s="620"/>
      <c r="AN20" s="477"/>
    </row>
    <row r="21" spans="1:40">
      <c r="A21" s="158">
        <v>5</v>
      </c>
      <c r="C21" s="4" t="s">
        <v>38</v>
      </c>
      <c r="D21" s="4"/>
      <c r="E21" s="304">
        <f>'ROO INPUT'!$F22</f>
        <v>90669</v>
      </c>
      <c r="F21" s="646">
        <v>0</v>
      </c>
      <c r="G21" s="646">
        <v>0</v>
      </c>
      <c r="H21" s="646">
        <v>0</v>
      </c>
      <c r="I21" s="646">
        <v>0</v>
      </c>
      <c r="J21" s="646">
        <v>0</v>
      </c>
      <c r="K21" s="646">
        <v>0</v>
      </c>
      <c r="L21" s="646">
        <v>0</v>
      </c>
      <c r="M21" s="646">
        <v>0</v>
      </c>
      <c r="N21" s="646">
        <v>0</v>
      </c>
      <c r="O21" s="646">
        <v>0</v>
      </c>
      <c r="P21" s="646">
        <v>0</v>
      </c>
      <c r="Q21" s="646">
        <v>0</v>
      </c>
      <c r="R21" s="646">
        <v>0</v>
      </c>
      <c r="S21" s="646">
        <v>2651</v>
      </c>
      <c r="T21" s="646">
        <v>-41801</v>
      </c>
      <c r="U21" s="646">
        <v>0</v>
      </c>
      <c r="V21" s="646">
        <v>0</v>
      </c>
      <c r="W21" s="646">
        <v>0</v>
      </c>
      <c r="X21" s="646">
        <v>0</v>
      </c>
      <c r="Y21" s="401">
        <f>SUM(E21:X21)</f>
        <v>51519</v>
      </c>
      <c r="Z21" s="406"/>
      <c r="AA21" s="646">
        <v>-51519</v>
      </c>
      <c r="AB21" s="646">
        <v>0</v>
      </c>
      <c r="AC21" s="646">
        <v>0</v>
      </c>
      <c r="AD21" s="646">
        <v>0</v>
      </c>
      <c r="AE21" s="646">
        <v>0</v>
      </c>
      <c r="AF21" s="646">
        <v>0</v>
      </c>
      <c r="AG21" s="711">
        <v>0</v>
      </c>
      <c r="AH21" s="646">
        <v>0</v>
      </c>
      <c r="AI21" s="646">
        <v>0</v>
      </c>
      <c r="AJ21" s="648">
        <v>0</v>
      </c>
      <c r="AK21" s="646">
        <v>0</v>
      </c>
      <c r="AL21" s="646">
        <v>0</v>
      </c>
      <c r="AM21" s="620">
        <v>0</v>
      </c>
      <c r="AN21" s="477">
        <f>SUM(Y21:AM21)</f>
        <v>0</v>
      </c>
    </row>
    <row r="22" spans="1:40">
      <c r="A22" s="158">
        <v>6</v>
      </c>
      <c r="C22" s="4" t="s">
        <v>39</v>
      </c>
      <c r="D22" s="4"/>
      <c r="E22" s="304">
        <f>'ROO INPUT'!$F23</f>
        <v>955</v>
      </c>
      <c r="F22" s="646">
        <v>0</v>
      </c>
      <c r="G22" s="646">
        <v>0</v>
      </c>
      <c r="H22" s="646">
        <v>0</v>
      </c>
      <c r="I22" s="646">
        <v>0</v>
      </c>
      <c r="J22" s="646">
        <v>0</v>
      </c>
      <c r="K22" s="646">
        <v>0</v>
      </c>
      <c r="L22" s="646">
        <v>0</v>
      </c>
      <c r="M22" s="646">
        <v>0</v>
      </c>
      <c r="N22" s="646">
        <v>0</v>
      </c>
      <c r="O22" s="646">
        <v>0</v>
      </c>
      <c r="P22" s="646">
        <v>0</v>
      </c>
      <c r="Q22" s="646">
        <v>0</v>
      </c>
      <c r="R22" s="646">
        <v>0</v>
      </c>
      <c r="S22" s="646">
        <v>4</v>
      </c>
      <c r="T22" s="646">
        <v>0</v>
      </c>
      <c r="U22" s="646">
        <v>0</v>
      </c>
      <c r="V22" s="646">
        <v>0</v>
      </c>
      <c r="W22" s="646">
        <v>0</v>
      </c>
      <c r="X22" s="646">
        <v>0</v>
      </c>
      <c r="Y22" s="401">
        <f>SUM(E22:X22)</f>
        <v>959</v>
      </c>
      <c r="Z22" s="406"/>
      <c r="AA22" s="646">
        <v>0</v>
      </c>
      <c r="AB22" s="646">
        <v>0</v>
      </c>
      <c r="AC22" s="646">
        <v>16</v>
      </c>
      <c r="AD22" s="646">
        <v>0</v>
      </c>
      <c r="AE22" s="646">
        <v>10</v>
      </c>
      <c r="AF22" s="646">
        <v>0</v>
      </c>
      <c r="AG22" s="711">
        <v>0</v>
      </c>
      <c r="AH22" s="646">
        <v>0</v>
      </c>
      <c r="AI22" s="646">
        <v>0</v>
      </c>
      <c r="AJ22" s="648">
        <v>0</v>
      </c>
      <c r="AK22" s="646">
        <v>0</v>
      </c>
      <c r="AL22" s="646">
        <v>0</v>
      </c>
      <c r="AM22" s="620">
        <v>0</v>
      </c>
      <c r="AN22" s="477">
        <f>SUM(Y22:AM22)</f>
        <v>985</v>
      </c>
    </row>
    <row r="23" spans="1:40">
      <c r="A23" s="158">
        <v>7</v>
      </c>
      <c r="C23" s="4" t="s">
        <v>40</v>
      </c>
      <c r="D23" s="4"/>
      <c r="E23" s="306">
        <f>'ROO INPUT'!$F24</f>
        <v>-292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7">
        <v>0</v>
      </c>
      <c r="N23" s="647">
        <v>0</v>
      </c>
      <c r="O23" s="647">
        <v>0</v>
      </c>
      <c r="P23" s="647">
        <v>0</v>
      </c>
      <c r="Q23" s="647">
        <v>0</v>
      </c>
      <c r="R23" s="647">
        <v>0</v>
      </c>
      <c r="S23" s="647">
        <v>0</v>
      </c>
      <c r="T23" s="647">
        <v>292</v>
      </c>
      <c r="U23" s="647">
        <v>0</v>
      </c>
      <c r="V23" s="647">
        <v>0</v>
      </c>
      <c r="W23" s="647">
        <v>0</v>
      </c>
      <c r="X23" s="647">
        <v>0</v>
      </c>
      <c r="Y23" s="402">
        <f>SUM(E23:X23)</f>
        <v>0</v>
      </c>
      <c r="Z23" s="406"/>
      <c r="AA23" s="647">
        <v>0</v>
      </c>
      <c r="AB23" s="647">
        <v>0</v>
      </c>
      <c r="AC23" s="647"/>
      <c r="AD23" s="647">
        <v>0</v>
      </c>
      <c r="AE23" s="647">
        <v>0</v>
      </c>
      <c r="AF23" s="647">
        <v>0</v>
      </c>
      <c r="AG23" s="712">
        <v>0</v>
      </c>
      <c r="AH23" s="647">
        <v>0</v>
      </c>
      <c r="AI23" s="647">
        <v>0</v>
      </c>
      <c r="AJ23" s="647">
        <v>0</v>
      </c>
      <c r="AK23" s="647">
        <v>0</v>
      </c>
      <c r="AL23" s="647">
        <v>0</v>
      </c>
      <c r="AM23" s="621">
        <v>0</v>
      </c>
      <c r="AN23" s="473">
        <f>SUM(Y23:AM23)</f>
        <v>0</v>
      </c>
    </row>
    <row r="24" spans="1:40">
      <c r="A24" s="158">
        <v>8</v>
      </c>
      <c r="B24" s="4" t="s">
        <v>41</v>
      </c>
      <c r="C24" s="4"/>
      <c r="E24" s="354">
        <f>SUM(E21:E23)</f>
        <v>91332</v>
      </c>
      <c r="F24" s="354">
        <f t="shared" ref="F24:O24" si="20">SUM(F21:F23)</f>
        <v>0</v>
      </c>
      <c r="G24" s="354">
        <f t="shared" si="20"/>
        <v>0</v>
      </c>
      <c r="H24" s="354">
        <f t="shared" si="20"/>
        <v>0</v>
      </c>
      <c r="I24" s="354">
        <f t="shared" ref="I24" si="21">SUM(I21:I23)</f>
        <v>0</v>
      </c>
      <c r="J24" s="354">
        <f t="shared" si="20"/>
        <v>0</v>
      </c>
      <c r="K24" s="354">
        <f>SUM(K21:K23)</f>
        <v>0</v>
      </c>
      <c r="L24" s="354">
        <f t="shared" si="20"/>
        <v>0</v>
      </c>
      <c r="M24" s="354">
        <f t="shared" si="20"/>
        <v>0</v>
      </c>
      <c r="N24" s="354">
        <f t="shared" si="20"/>
        <v>0</v>
      </c>
      <c r="O24" s="354">
        <f t="shared" si="20"/>
        <v>0</v>
      </c>
      <c r="P24" s="354">
        <f t="shared" ref="P24:Q24" si="22">SUM(P21:P23)</f>
        <v>0</v>
      </c>
      <c r="Q24" s="354">
        <f t="shared" si="22"/>
        <v>0</v>
      </c>
      <c r="R24" s="354">
        <f>SUM(R21:R23)</f>
        <v>0</v>
      </c>
      <c r="S24" s="354">
        <f>SUM(S21:S23)</f>
        <v>2655</v>
      </c>
      <c r="T24" s="354">
        <f>SUM(T21:T23)</f>
        <v>-41509</v>
      </c>
      <c r="U24" s="354">
        <f t="shared" ref="U24" si="23">SUM(U21:U23)</f>
        <v>0</v>
      </c>
      <c r="V24" s="354">
        <f t="shared" ref="V24:AB24" si="24">SUM(V21:V23)</f>
        <v>0</v>
      </c>
      <c r="W24" s="354">
        <f t="shared" si="24"/>
        <v>0</v>
      </c>
      <c r="X24" s="354">
        <f t="shared" si="24"/>
        <v>0</v>
      </c>
      <c r="Y24" s="401">
        <f t="shared" si="24"/>
        <v>52478</v>
      </c>
      <c r="Z24" s="406"/>
      <c r="AA24" s="354">
        <f t="shared" si="24"/>
        <v>-51519</v>
      </c>
      <c r="AB24" s="354">
        <f t="shared" si="24"/>
        <v>0</v>
      </c>
      <c r="AC24" s="354">
        <f t="shared" ref="AC24" si="25">SUM(AC21:AC23)</f>
        <v>16</v>
      </c>
      <c r="AD24" s="354">
        <f t="shared" ref="AD24" si="26">SUM(AD21:AD23)</f>
        <v>0</v>
      </c>
      <c r="AE24" s="354">
        <f>SUM(AE21:AE23)</f>
        <v>10</v>
      </c>
      <c r="AF24" s="354">
        <f t="shared" ref="AF24" si="27">SUM(AF21:AF23)</f>
        <v>0</v>
      </c>
      <c r="AG24" s="223">
        <f>SUM(AG21:AG23)</f>
        <v>0</v>
      </c>
      <c r="AH24" s="354">
        <f t="shared" ref="AH24" si="28">SUM(AH21:AH23)</f>
        <v>0</v>
      </c>
      <c r="AI24" s="354">
        <f>SUM(AI21:AI23)</f>
        <v>0</v>
      </c>
      <c r="AJ24" s="664">
        <f>SUM(AJ21:AJ23)</f>
        <v>0</v>
      </c>
      <c r="AK24" s="354">
        <f>SUM(AK21:AK23)</f>
        <v>0</v>
      </c>
      <c r="AL24" s="354">
        <f t="shared" ref="AL24" si="29">SUM(AL21:AL23)</f>
        <v>0</v>
      </c>
      <c r="AM24" s="622">
        <f t="shared" ref="AM24" si="30">SUM(AM21:AM23)</f>
        <v>0</v>
      </c>
      <c r="AN24" s="477">
        <f t="shared" ref="AN24" si="31">SUM(AN21:AN23)</f>
        <v>985</v>
      </c>
    </row>
    <row r="25" spans="1:40" ht="9" customHeight="1">
      <c r="B25" s="4"/>
      <c r="C25" s="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54"/>
      <c r="W25" s="354"/>
      <c r="X25" s="354"/>
      <c r="Y25" s="401"/>
      <c r="Z25" s="406"/>
      <c r="AA25" s="354"/>
      <c r="AB25" s="354"/>
      <c r="AC25" s="354"/>
      <c r="AD25" s="354"/>
      <c r="AE25" s="354"/>
      <c r="AF25" s="354"/>
      <c r="AG25" s="223"/>
      <c r="AH25" s="354"/>
      <c r="AI25" s="354"/>
      <c r="AJ25" s="664"/>
      <c r="AK25" s="354"/>
      <c r="AL25" s="354"/>
      <c r="AM25" s="622"/>
      <c r="AN25" s="477"/>
    </row>
    <row r="26" spans="1:40">
      <c r="B26" s="4" t="s">
        <v>42</v>
      </c>
      <c r="D26" s="4"/>
      <c r="E26" s="304"/>
      <c r="F26" s="646"/>
      <c r="G26" s="646"/>
      <c r="H26" s="646"/>
      <c r="I26" s="646"/>
      <c r="J26" s="646"/>
      <c r="K26" s="646"/>
      <c r="L26" s="646"/>
      <c r="M26" s="646"/>
      <c r="N26" s="646"/>
      <c r="O26" s="646"/>
      <c r="P26" s="646"/>
      <c r="Q26" s="646"/>
      <c r="R26" s="646"/>
      <c r="S26" s="646"/>
      <c r="T26" s="646"/>
      <c r="U26" s="646"/>
      <c r="V26" s="646"/>
      <c r="W26" s="646"/>
      <c r="X26" s="646"/>
      <c r="Y26" s="401"/>
      <c r="Z26" s="406"/>
      <c r="AA26" s="646"/>
      <c r="AB26" s="646"/>
      <c r="AC26" s="646"/>
      <c r="AD26" s="646"/>
      <c r="AE26" s="646"/>
      <c r="AF26" s="646"/>
      <c r="AG26" s="711"/>
      <c r="AH26" s="646"/>
      <c r="AI26" s="646"/>
      <c r="AJ26" s="648"/>
      <c r="AK26" s="646"/>
      <c r="AL26" s="646"/>
      <c r="AM26" s="620"/>
      <c r="AN26" s="477"/>
    </row>
    <row r="27" spans="1:40">
      <c r="A27" s="158">
        <v>9</v>
      </c>
      <c r="C27" s="4" t="s">
        <v>43</v>
      </c>
      <c r="D27" s="4"/>
      <c r="E27" s="304">
        <f>'ROO INPUT'!$F28</f>
        <v>1532</v>
      </c>
      <c r="F27" s="646">
        <v>0</v>
      </c>
      <c r="G27" s="646">
        <v>0</v>
      </c>
      <c r="H27" s="646">
        <v>0</v>
      </c>
      <c r="I27" s="646">
        <v>0</v>
      </c>
      <c r="J27" s="646">
        <v>0</v>
      </c>
      <c r="K27" s="646">
        <v>0</v>
      </c>
      <c r="L27" s="646">
        <v>0</v>
      </c>
      <c r="M27" s="646">
        <v>0</v>
      </c>
      <c r="N27" s="646">
        <v>0</v>
      </c>
      <c r="O27" s="646">
        <v>0</v>
      </c>
      <c r="P27" s="646">
        <v>0</v>
      </c>
      <c r="Q27" s="646">
        <v>0</v>
      </c>
      <c r="R27" s="646">
        <v>0</v>
      </c>
      <c r="S27" s="646">
        <v>0</v>
      </c>
      <c r="T27" s="646">
        <v>0</v>
      </c>
      <c r="U27" s="646">
        <v>0</v>
      </c>
      <c r="V27" s="646">
        <v>0</v>
      </c>
      <c r="W27" s="646">
        <v>0</v>
      </c>
      <c r="X27" s="646">
        <v>0</v>
      </c>
      <c r="Y27" s="401">
        <f>SUM(E27:X27)</f>
        <v>1532</v>
      </c>
      <c r="Z27" s="406"/>
      <c r="AA27" s="646">
        <v>0</v>
      </c>
      <c r="AB27" s="646">
        <v>0</v>
      </c>
      <c r="AC27" s="646">
        <v>0</v>
      </c>
      <c r="AD27" s="646">
        <v>0</v>
      </c>
      <c r="AE27" s="646">
        <v>0</v>
      </c>
      <c r="AF27" s="646">
        <v>0</v>
      </c>
      <c r="AG27" s="711">
        <v>0</v>
      </c>
      <c r="AH27" s="646">
        <v>0</v>
      </c>
      <c r="AI27" s="646">
        <v>0</v>
      </c>
      <c r="AJ27" s="648">
        <v>0</v>
      </c>
      <c r="AK27" s="646">
        <v>0</v>
      </c>
      <c r="AL27" s="646">
        <v>0</v>
      </c>
      <c r="AM27" s="620">
        <v>0</v>
      </c>
      <c r="AN27" s="477">
        <f>SUM(Y27:AM27)</f>
        <v>1532</v>
      </c>
    </row>
    <row r="28" spans="1:40">
      <c r="A28" s="158">
        <v>10</v>
      </c>
      <c r="C28" s="4" t="s">
        <v>200</v>
      </c>
      <c r="D28" s="4"/>
      <c r="E28" s="304">
        <f>'ROO INPUT'!$F29</f>
        <v>627</v>
      </c>
      <c r="F28" s="646">
        <v>0</v>
      </c>
      <c r="G28" s="646">
        <v>0</v>
      </c>
      <c r="H28" s="646">
        <v>0</v>
      </c>
      <c r="I28" s="646">
        <v>0</v>
      </c>
      <c r="J28" s="646">
        <v>0</v>
      </c>
      <c r="K28" s="646">
        <v>0</v>
      </c>
      <c r="L28" s="646">
        <v>0</v>
      </c>
      <c r="M28" s="646">
        <v>0</v>
      </c>
      <c r="N28" s="646">
        <v>0</v>
      </c>
      <c r="O28" s="646">
        <v>0</v>
      </c>
      <c r="P28" s="646">
        <v>0</v>
      </c>
      <c r="Q28" s="646">
        <v>0</v>
      </c>
      <c r="R28" s="646">
        <v>0</v>
      </c>
      <c r="S28" s="646">
        <v>0</v>
      </c>
      <c r="T28" s="646">
        <v>0</v>
      </c>
      <c r="U28" s="646">
        <v>0</v>
      </c>
      <c r="V28" s="646">
        <v>0</v>
      </c>
      <c r="W28" s="646">
        <v>0</v>
      </c>
      <c r="X28" s="646">
        <v>43</v>
      </c>
      <c r="Y28" s="401">
        <f>SUM(E28:X28)</f>
        <v>670</v>
      </c>
      <c r="Z28" s="406"/>
      <c r="AA28" s="646">
        <v>0</v>
      </c>
      <c r="AB28" s="646">
        <v>0</v>
      </c>
      <c r="AC28" s="646">
        <v>0</v>
      </c>
      <c r="AD28" s="646">
        <v>0</v>
      </c>
      <c r="AE28" s="646">
        <v>0</v>
      </c>
      <c r="AF28" s="646">
        <v>0</v>
      </c>
      <c r="AG28" s="711">
        <v>0</v>
      </c>
      <c r="AH28" s="646">
        <v>0</v>
      </c>
      <c r="AI28" s="646">
        <v>-244</v>
      </c>
      <c r="AJ28" s="648">
        <v>0</v>
      </c>
      <c r="AK28" s="646">
        <v>0</v>
      </c>
      <c r="AL28" s="646">
        <v>0</v>
      </c>
      <c r="AM28" s="620">
        <v>0</v>
      </c>
      <c r="AN28" s="477">
        <f>SUM(Y28:AM28)</f>
        <v>426</v>
      </c>
    </row>
    <row r="29" spans="1:40">
      <c r="A29" s="158">
        <v>11</v>
      </c>
      <c r="C29" s="4" t="s">
        <v>21</v>
      </c>
      <c r="D29" s="4"/>
      <c r="E29" s="306">
        <f>'ROO INPUT'!$F30</f>
        <v>302</v>
      </c>
      <c r="F29" s="647">
        <v>0</v>
      </c>
      <c r="G29" s="647">
        <v>0</v>
      </c>
      <c r="H29" s="647">
        <v>0</v>
      </c>
      <c r="I29" s="647">
        <v>0</v>
      </c>
      <c r="J29" s="647">
        <v>0</v>
      </c>
      <c r="K29" s="647">
        <v>-78</v>
      </c>
      <c r="L29" s="647">
        <v>0</v>
      </c>
      <c r="M29" s="647">
        <v>0</v>
      </c>
      <c r="N29" s="647">
        <v>0</v>
      </c>
      <c r="O29" s="647">
        <v>0</v>
      </c>
      <c r="P29" s="647">
        <v>0</v>
      </c>
      <c r="Q29" s="647">
        <v>0</v>
      </c>
      <c r="R29" s="647">
        <v>0</v>
      </c>
      <c r="S29" s="647">
        <v>0</v>
      </c>
      <c r="T29" s="647">
        <v>0</v>
      </c>
      <c r="U29" s="647">
        <v>0</v>
      </c>
      <c r="V29" s="647">
        <v>0</v>
      </c>
      <c r="W29" s="647">
        <v>0</v>
      </c>
      <c r="X29" s="647">
        <v>0</v>
      </c>
      <c r="Y29" s="402">
        <f>SUM(E29:X29)</f>
        <v>224</v>
      </c>
      <c r="Z29" s="406"/>
      <c r="AA29" s="647">
        <v>0</v>
      </c>
      <c r="AB29" s="647">
        <v>0</v>
      </c>
      <c r="AC29" s="647">
        <v>0</v>
      </c>
      <c r="AD29" s="647">
        <v>0</v>
      </c>
      <c r="AE29" s="647">
        <v>0</v>
      </c>
      <c r="AF29" s="647">
        <v>0</v>
      </c>
      <c r="AG29" s="712">
        <v>0</v>
      </c>
      <c r="AH29" s="647">
        <v>13</v>
      </c>
      <c r="AI29" s="647">
        <v>0</v>
      </c>
      <c r="AJ29" s="647">
        <v>0</v>
      </c>
      <c r="AK29" s="647">
        <v>0</v>
      </c>
      <c r="AL29" s="647">
        <v>0</v>
      </c>
      <c r="AM29" s="621">
        <v>0</v>
      </c>
      <c r="AN29" s="473">
        <f>SUM(Y29:AM29)</f>
        <v>237</v>
      </c>
    </row>
    <row r="30" spans="1:40">
      <c r="A30" s="158">
        <v>12</v>
      </c>
      <c r="B30" s="4" t="s">
        <v>45</v>
      </c>
      <c r="C30" s="4"/>
      <c r="E30" s="304">
        <f t="shared" ref="E30:AF30" si="32">SUM(E27:E29)</f>
        <v>2461</v>
      </c>
      <c r="F30" s="304">
        <f t="shared" si="32"/>
        <v>0</v>
      </c>
      <c r="G30" s="304">
        <f t="shared" si="32"/>
        <v>0</v>
      </c>
      <c r="H30" s="304">
        <f t="shared" si="32"/>
        <v>0</v>
      </c>
      <c r="I30" s="304">
        <f t="shared" ref="I30" si="33">SUM(I27:I29)</f>
        <v>0</v>
      </c>
      <c r="J30" s="354">
        <f t="shared" si="32"/>
        <v>0</v>
      </c>
      <c r="K30" s="354">
        <f>SUM(K27:K29)</f>
        <v>-78</v>
      </c>
      <c r="L30" s="304">
        <f t="shared" si="32"/>
        <v>0</v>
      </c>
      <c r="M30" s="304">
        <f t="shared" si="32"/>
        <v>0</v>
      </c>
      <c r="N30" s="304">
        <f t="shared" si="32"/>
        <v>0</v>
      </c>
      <c r="O30" s="304">
        <f t="shared" si="32"/>
        <v>0</v>
      </c>
      <c r="P30" s="304">
        <f t="shared" ref="P30:Q30" si="34">SUM(P27:P29)</f>
        <v>0</v>
      </c>
      <c r="Q30" s="304">
        <f t="shared" si="34"/>
        <v>0</v>
      </c>
      <c r="R30" s="304">
        <f>SUM(R27:R29)</f>
        <v>0</v>
      </c>
      <c r="S30" s="304">
        <f>SUM(S27:S29)</f>
        <v>0</v>
      </c>
      <c r="T30" s="304">
        <f>SUM(T27:T29)</f>
        <v>0</v>
      </c>
      <c r="U30" s="304">
        <f t="shared" ref="U30" si="35">SUM(U27:U29)</f>
        <v>0</v>
      </c>
      <c r="V30" s="354">
        <f>SUM(V27:V29)</f>
        <v>0</v>
      </c>
      <c r="W30" s="354">
        <f>SUM(W27:W29)</f>
        <v>0</v>
      </c>
      <c r="X30" s="354">
        <f>SUM(X27:X29)</f>
        <v>43</v>
      </c>
      <c r="Y30" s="401">
        <f t="shared" si="32"/>
        <v>2426</v>
      </c>
      <c r="Z30" s="406"/>
      <c r="AA30" s="354">
        <f>SUM(AA27:AA29)</f>
        <v>0</v>
      </c>
      <c r="AB30" s="354">
        <f>SUM(AB27:AB29)</f>
        <v>0</v>
      </c>
      <c r="AC30" s="354">
        <f t="shared" ref="AC30" si="36">SUM(AC27:AC29)</f>
        <v>0</v>
      </c>
      <c r="AD30" s="354">
        <f t="shared" si="32"/>
        <v>0</v>
      </c>
      <c r="AE30" s="354">
        <f t="shared" si="32"/>
        <v>0</v>
      </c>
      <c r="AF30" s="354">
        <f t="shared" si="32"/>
        <v>0</v>
      </c>
      <c r="AG30" s="223">
        <f>SUM(AG27:AG29)</f>
        <v>0</v>
      </c>
      <c r="AH30" s="354">
        <f t="shared" ref="AH30" si="37">SUM(AH27:AH29)</f>
        <v>13</v>
      </c>
      <c r="AI30" s="354">
        <f>SUM(AI27:AI29)</f>
        <v>-244</v>
      </c>
      <c r="AJ30" s="664">
        <f>SUM(AJ27:AJ29)</f>
        <v>0</v>
      </c>
      <c r="AK30" s="354">
        <f>SUM(AK27:AK29)</f>
        <v>0</v>
      </c>
      <c r="AL30" s="354">
        <f t="shared" ref="AL30" si="38">SUM(AL27:AL29)</f>
        <v>0</v>
      </c>
      <c r="AM30" s="622">
        <f t="shared" ref="AM30" si="39">SUM(AM27:AM29)</f>
        <v>0</v>
      </c>
      <c r="AN30" s="477">
        <f t="shared" ref="AN30" si="40">SUM(AN27:AN29)</f>
        <v>2195</v>
      </c>
    </row>
    <row r="31" spans="1:40" ht="9" customHeight="1">
      <c r="B31" s="4"/>
      <c r="C31" s="4"/>
      <c r="E31" s="304"/>
      <c r="F31" s="304"/>
      <c r="G31" s="304"/>
      <c r="H31" s="304"/>
      <c r="I31" s="304"/>
      <c r="J31" s="354"/>
      <c r="K31" s="35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54"/>
      <c r="W31" s="354"/>
      <c r="X31" s="354"/>
      <c r="Y31" s="401"/>
      <c r="Z31" s="406"/>
      <c r="AA31" s="354"/>
      <c r="AB31" s="354"/>
      <c r="AC31" s="354"/>
      <c r="AD31" s="354"/>
      <c r="AE31" s="354"/>
      <c r="AF31" s="354"/>
      <c r="AG31" s="223"/>
      <c r="AH31" s="354"/>
      <c r="AI31" s="354"/>
      <c r="AJ31" s="664"/>
      <c r="AK31" s="354"/>
      <c r="AL31" s="354"/>
      <c r="AM31" s="622"/>
      <c r="AN31" s="477"/>
    </row>
    <row r="32" spans="1:40">
      <c r="B32" s="4" t="s">
        <v>46</v>
      </c>
      <c r="D32" s="4"/>
      <c r="E32" s="304"/>
      <c r="F32" s="646"/>
      <c r="G32" s="646"/>
      <c r="H32" s="646"/>
      <c r="I32" s="646"/>
      <c r="J32" s="646"/>
      <c r="K32" s="646"/>
      <c r="L32" s="646"/>
      <c r="M32" s="646"/>
      <c r="N32" s="646"/>
      <c r="O32" s="646"/>
      <c r="P32" s="646"/>
      <c r="Q32" s="646"/>
      <c r="R32" s="646"/>
      <c r="S32" s="646"/>
      <c r="T32" s="646"/>
      <c r="U32" s="646"/>
      <c r="V32" s="646"/>
      <c r="W32" s="646"/>
      <c r="X32" s="646"/>
      <c r="Y32" s="401"/>
      <c r="Z32" s="406"/>
      <c r="AA32" s="646"/>
      <c r="AB32" s="646"/>
      <c r="AC32" s="646"/>
      <c r="AD32" s="646"/>
      <c r="AE32" s="646"/>
      <c r="AF32" s="646"/>
      <c r="AG32" s="711"/>
      <c r="AH32" s="646"/>
      <c r="AI32" s="646"/>
      <c r="AJ32" s="648"/>
      <c r="AK32" s="646"/>
      <c r="AL32" s="646"/>
      <c r="AM32" s="620"/>
      <c r="AN32" s="477"/>
    </row>
    <row r="33" spans="1:40">
      <c r="A33" s="158">
        <v>13</v>
      </c>
      <c r="C33" s="4" t="s">
        <v>43</v>
      </c>
      <c r="D33" s="4"/>
      <c r="E33" s="304">
        <f>'ROO INPUT'!$F34</f>
        <v>12316</v>
      </c>
      <c r="F33" s="646">
        <v>0</v>
      </c>
      <c r="G33" s="646">
        <v>0</v>
      </c>
      <c r="H33" s="646">
        <v>0</v>
      </c>
      <c r="I33" s="646">
        <v>0</v>
      </c>
      <c r="J33" s="646">
        <v>0</v>
      </c>
      <c r="K33" s="646">
        <v>0</v>
      </c>
      <c r="L33" s="646">
        <v>0</v>
      </c>
      <c r="M33" s="646">
        <v>0</v>
      </c>
      <c r="N33" s="646">
        <v>0</v>
      </c>
      <c r="O33" s="646">
        <v>0</v>
      </c>
      <c r="P33" s="646">
        <v>0</v>
      </c>
      <c r="Q33" s="646">
        <v>0</v>
      </c>
      <c r="R33" s="646">
        <v>0</v>
      </c>
      <c r="S33" s="646">
        <v>0</v>
      </c>
      <c r="T33" s="646">
        <v>0</v>
      </c>
      <c r="U33" s="646">
        <v>-8</v>
      </c>
      <c r="V33" s="646">
        <v>0</v>
      </c>
      <c r="W33" s="646">
        <v>0</v>
      </c>
      <c r="X33" s="646">
        <v>0</v>
      </c>
      <c r="Y33" s="401">
        <f>SUM(E33:X33)</f>
        <v>12308</v>
      </c>
      <c r="Z33" s="406"/>
      <c r="AA33" s="646">
        <v>0</v>
      </c>
      <c r="AB33" s="646">
        <v>0</v>
      </c>
      <c r="AC33" s="646">
        <v>211</v>
      </c>
      <c r="AD33" s="646"/>
      <c r="AE33" s="646">
        <v>132</v>
      </c>
      <c r="AF33" s="646">
        <v>0</v>
      </c>
      <c r="AG33" s="711">
        <v>0</v>
      </c>
      <c r="AH33" s="646">
        <v>0</v>
      </c>
      <c r="AI33" s="646">
        <v>0</v>
      </c>
      <c r="AJ33" s="648">
        <v>0</v>
      </c>
      <c r="AK33" s="646">
        <v>0</v>
      </c>
      <c r="AL33" s="646">
        <v>0</v>
      </c>
      <c r="AM33" s="620">
        <v>0</v>
      </c>
      <c r="AN33" s="477">
        <f>SUM(Y33:AM33)</f>
        <v>12651</v>
      </c>
    </row>
    <row r="34" spans="1:40">
      <c r="A34" s="158">
        <v>14</v>
      </c>
      <c r="C34" s="4" t="s">
        <v>200</v>
      </c>
      <c r="D34" s="4"/>
      <c r="E34" s="354">
        <f>'ROO INPUT'!$F35</f>
        <v>11642</v>
      </c>
      <c r="F34" s="646">
        <v>0</v>
      </c>
      <c r="G34" s="646">
        <v>0</v>
      </c>
      <c r="H34" s="646">
        <v>0</v>
      </c>
      <c r="I34" s="646">
        <v>0</v>
      </c>
      <c r="J34" s="646">
        <v>0</v>
      </c>
      <c r="K34" s="646">
        <v>0</v>
      </c>
      <c r="L34" s="646">
        <v>0</v>
      </c>
      <c r="M34" s="646">
        <v>0</v>
      </c>
      <c r="N34" s="646">
        <v>0</v>
      </c>
      <c r="O34" s="646">
        <v>0</v>
      </c>
      <c r="P34" s="646">
        <v>0</v>
      </c>
      <c r="Q34" s="646">
        <v>0</v>
      </c>
      <c r="R34" s="646">
        <v>-13</v>
      </c>
      <c r="S34" s="646">
        <v>0</v>
      </c>
      <c r="T34" s="646">
        <v>0</v>
      </c>
      <c r="U34" s="646">
        <v>0</v>
      </c>
      <c r="V34" s="646">
        <v>0</v>
      </c>
      <c r="W34" s="646">
        <v>0</v>
      </c>
      <c r="X34" s="646">
        <v>567</v>
      </c>
      <c r="Y34" s="401">
        <f>SUM(E34:X34)</f>
        <v>12196</v>
      </c>
      <c r="Z34" s="406"/>
      <c r="AA34" s="646">
        <v>0</v>
      </c>
      <c r="AB34" s="646">
        <v>0</v>
      </c>
      <c r="AC34" s="646">
        <v>0</v>
      </c>
      <c r="AD34" s="646">
        <v>0</v>
      </c>
      <c r="AE34" s="646">
        <v>0</v>
      </c>
      <c r="AF34" s="646">
        <v>0</v>
      </c>
      <c r="AG34" s="711">
        <v>0</v>
      </c>
      <c r="AH34" s="646">
        <v>0</v>
      </c>
      <c r="AI34" s="646">
        <v>-731</v>
      </c>
      <c r="AJ34" s="648">
        <v>0</v>
      </c>
      <c r="AK34" s="646">
        <v>0</v>
      </c>
      <c r="AL34" s="646">
        <v>0</v>
      </c>
      <c r="AM34" s="620">
        <v>0</v>
      </c>
      <c r="AN34" s="477">
        <f>SUM(Y34:AM34)</f>
        <v>11465</v>
      </c>
    </row>
    <row r="35" spans="1:40">
      <c r="A35" s="158">
        <v>15</v>
      </c>
      <c r="C35" s="4" t="s">
        <v>21</v>
      </c>
      <c r="D35" s="4"/>
      <c r="E35" s="306">
        <f>'ROO INPUT'!$F36</f>
        <v>14128</v>
      </c>
      <c r="F35" s="647">
        <v>0</v>
      </c>
      <c r="G35" s="647">
        <v>0</v>
      </c>
      <c r="H35" s="647">
        <v>0</v>
      </c>
      <c r="I35" s="647">
        <v>0</v>
      </c>
      <c r="J35" s="647">
        <v>-5184</v>
      </c>
      <c r="K35" s="647">
        <v>80</v>
      </c>
      <c r="L35" s="647">
        <v>0</v>
      </c>
      <c r="M35" s="647">
        <v>0</v>
      </c>
      <c r="N35" s="647">
        <v>0</v>
      </c>
      <c r="O35" s="647">
        <v>0</v>
      </c>
      <c r="P35" s="647">
        <v>0</v>
      </c>
      <c r="Q35" s="647">
        <v>0</v>
      </c>
      <c r="R35" s="647">
        <v>0</v>
      </c>
      <c r="S35" s="647">
        <f>ROUND((S$14+S$15)*CF!$E$19,0)</f>
        <v>240</v>
      </c>
      <c r="T35" s="647">
        <f>ROUND((T$14+T$15)*CF!$E$19,0)</f>
        <v>194</v>
      </c>
      <c r="U35" s="647">
        <v>0</v>
      </c>
      <c r="V35" s="647">
        <v>0</v>
      </c>
      <c r="W35" s="647">
        <v>0</v>
      </c>
      <c r="X35" s="647">
        <v>0</v>
      </c>
      <c r="Y35" s="402">
        <f>SUM(E35:X35)</f>
        <v>9458</v>
      </c>
      <c r="Z35" s="406"/>
      <c r="AA35" s="647">
        <f>ROUND((AA$14+AA$15)*CF!$E$19,0)</f>
        <v>-2230</v>
      </c>
      <c r="AB35" s="647">
        <v>0</v>
      </c>
      <c r="AC35" s="647">
        <v>0</v>
      </c>
      <c r="AD35" s="647">
        <v>0</v>
      </c>
      <c r="AE35" s="647">
        <v>0</v>
      </c>
      <c r="AF35" s="647">
        <v>0</v>
      </c>
      <c r="AG35" s="712">
        <v>0</v>
      </c>
      <c r="AH35" s="647">
        <v>199</v>
      </c>
      <c r="AI35" s="647">
        <v>0</v>
      </c>
      <c r="AJ35" s="647">
        <v>0</v>
      </c>
      <c r="AK35" s="647">
        <v>0</v>
      </c>
      <c r="AL35" s="647">
        <v>0</v>
      </c>
      <c r="AM35" s="621">
        <v>0</v>
      </c>
      <c r="AN35" s="473">
        <f>SUM(Y35:AM35)</f>
        <v>7427</v>
      </c>
    </row>
    <row r="36" spans="1:40" ht="12.95" customHeight="1">
      <c r="A36" s="158">
        <v>16</v>
      </c>
      <c r="B36" s="4" t="s">
        <v>47</v>
      </c>
      <c r="C36" s="4"/>
      <c r="E36" s="304">
        <f t="shared" ref="E36:O36" si="41">SUM(E33:E35)</f>
        <v>38086</v>
      </c>
      <c r="F36" s="304">
        <f t="shared" si="41"/>
        <v>0</v>
      </c>
      <c r="G36" s="304">
        <f t="shared" si="41"/>
        <v>0</v>
      </c>
      <c r="H36" s="304">
        <f t="shared" si="41"/>
        <v>0</v>
      </c>
      <c r="I36" s="304">
        <f t="shared" ref="I36" si="42">SUM(I33:I35)</f>
        <v>0</v>
      </c>
      <c r="J36" s="354">
        <f t="shared" si="41"/>
        <v>-5184</v>
      </c>
      <c r="K36" s="354">
        <f>SUM(K33:K35)</f>
        <v>80</v>
      </c>
      <c r="L36" s="304">
        <f t="shared" si="41"/>
        <v>0</v>
      </c>
      <c r="M36" s="304">
        <f t="shared" si="41"/>
        <v>0</v>
      </c>
      <c r="N36" s="304">
        <f t="shared" si="41"/>
        <v>0</v>
      </c>
      <c r="O36" s="304">
        <f t="shared" si="41"/>
        <v>0</v>
      </c>
      <c r="P36" s="304">
        <f t="shared" ref="P36:Q36" si="43">SUM(P33:P35)</f>
        <v>0</v>
      </c>
      <c r="Q36" s="304">
        <f t="shared" si="43"/>
        <v>0</v>
      </c>
      <c r="R36" s="304">
        <f t="shared" ref="R36:V36" si="44">SUM(R33:R35)</f>
        <v>-13</v>
      </c>
      <c r="S36" s="304">
        <f t="shared" si="44"/>
        <v>240</v>
      </c>
      <c r="T36" s="304">
        <f t="shared" si="44"/>
        <v>194</v>
      </c>
      <c r="U36" s="304">
        <f t="shared" si="44"/>
        <v>-8</v>
      </c>
      <c r="V36" s="354">
        <f t="shared" si="44"/>
        <v>0</v>
      </c>
      <c r="W36" s="354">
        <f t="shared" ref="W36" si="45">SUM(W33:W35)</f>
        <v>0</v>
      </c>
      <c r="X36" s="354">
        <f t="shared" ref="X36" si="46">SUM(X33:X35)</f>
        <v>567</v>
      </c>
      <c r="Y36" s="401">
        <f>SUM(Y33:Y35)</f>
        <v>33962</v>
      </c>
      <c r="Z36" s="406"/>
      <c r="AA36" s="354">
        <f>SUM(AA33:AA35)</f>
        <v>-2230</v>
      </c>
      <c r="AB36" s="354">
        <f>SUM(AB33:AB35)</f>
        <v>0</v>
      </c>
      <c r="AC36" s="354">
        <f>SUM(AC33:AC35)</f>
        <v>211</v>
      </c>
      <c r="AD36" s="354">
        <f>SUM(AD33:AD35)</f>
        <v>0</v>
      </c>
      <c r="AE36" s="354">
        <f t="shared" ref="AE36:AF36" si="47">SUM(AE33:AE35)</f>
        <v>132</v>
      </c>
      <c r="AF36" s="354">
        <f t="shared" si="47"/>
        <v>0</v>
      </c>
      <c r="AG36" s="223">
        <f>SUM(AG33:AG35)</f>
        <v>0</v>
      </c>
      <c r="AH36" s="354">
        <f t="shared" ref="AH36" si="48">SUM(AH33:AH35)</f>
        <v>199</v>
      </c>
      <c r="AI36" s="354">
        <f t="shared" ref="AI36" si="49">SUM(AI33:AI35)</f>
        <v>-731</v>
      </c>
      <c r="AJ36" s="664">
        <f>SUM(AJ33:AJ35)</f>
        <v>0</v>
      </c>
      <c r="AK36" s="354">
        <f>SUM(AK33:AK35)</f>
        <v>0</v>
      </c>
      <c r="AL36" s="354">
        <f t="shared" ref="AL36" si="50">SUM(AL33:AL35)</f>
        <v>0</v>
      </c>
      <c r="AM36" s="622">
        <f t="shared" ref="AM36" si="51">SUM(AM33:AM35)</f>
        <v>0</v>
      </c>
      <c r="AN36" s="477">
        <f t="shared" ref="AN36" si="52">SUM(AN33:AN35)</f>
        <v>31543</v>
      </c>
    </row>
    <row r="37" spans="1:40" ht="9.75" customHeight="1">
      <c r="C37" s="4"/>
      <c r="D37" s="4"/>
      <c r="E37" s="304"/>
      <c r="F37" s="304"/>
      <c r="G37" s="304"/>
      <c r="H37" s="304"/>
      <c r="I37" s="304"/>
      <c r="J37" s="354"/>
      <c r="K37" s="35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54"/>
      <c r="W37" s="354"/>
      <c r="X37" s="354"/>
      <c r="Y37" s="401"/>
      <c r="Z37" s="406"/>
      <c r="AA37" s="354"/>
      <c r="AB37" s="354"/>
      <c r="AC37" s="354"/>
      <c r="AD37" s="354"/>
      <c r="AE37" s="354"/>
      <c r="AF37" s="354"/>
      <c r="AG37" s="223"/>
      <c r="AH37" s="354"/>
      <c r="AI37" s="354"/>
      <c r="AJ37" s="664"/>
      <c r="AK37" s="354"/>
      <c r="AL37" s="354"/>
      <c r="AM37" s="622"/>
      <c r="AN37" s="477"/>
    </row>
    <row r="38" spans="1:40" ht="12.95" customHeight="1">
      <c r="A38" s="158">
        <v>17</v>
      </c>
      <c r="B38" s="1" t="s">
        <v>48</v>
      </c>
      <c r="C38" s="4"/>
      <c r="D38" s="4"/>
      <c r="E38" s="304">
        <f>'ROO INPUT'!$F39</f>
        <v>7234</v>
      </c>
      <c r="F38" s="648">
        <v>0</v>
      </c>
      <c r="G38" s="648">
        <v>10</v>
      </c>
      <c r="H38" s="648">
        <v>0</v>
      </c>
      <c r="I38" s="648">
        <v>0</v>
      </c>
      <c r="J38" s="648">
        <v>0</v>
      </c>
      <c r="K38" s="648"/>
      <c r="L38" s="648">
        <v>-320</v>
      </c>
      <c r="M38" s="648">
        <v>0</v>
      </c>
      <c r="N38" s="648">
        <v>0</v>
      </c>
      <c r="O38" s="648">
        <v>0</v>
      </c>
      <c r="P38" s="648">
        <v>0</v>
      </c>
      <c r="Q38" s="648">
        <v>0</v>
      </c>
      <c r="R38" s="648">
        <v>0</v>
      </c>
      <c r="S38" s="646">
        <f>ROUND((S$14+S$15)*CF!$E$15,0)</f>
        <v>24</v>
      </c>
      <c r="T38" s="646">
        <f>ROUND((T$14+T$15)*CF!$E$15,0)</f>
        <v>19</v>
      </c>
      <c r="U38" s="646">
        <v>0</v>
      </c>
      <c r="V38" s="354">
        <v>0</v>
      </c>
      <c r="W38" s="646">
        <v>0</v>
      </c>
      <c r="X38" s="354">
        <v>0</v>
      </c>
      <c r="Y38" s="401">
        <f>SUM(E38:X38)</f>
        <v>6967</v>
      </c>
      <c r="Z38" s="406"/>
      <c r="AA38" s="646">
        <f>ROUND((AA$14+AA$15)*CF!$E$15,0)</f>
        <v>-220</v>
      </c>
      <c r="AB38" s="648">
        <v>0</v>
      </c>
      <c r="AC38" s="354">
        <v>112</v>
      </c>
      <c r="AD38" s="354">
        <v>0</v>
      </c>
      <c r="AE38" s="354">
        <v>71</v>
      </c>
      <c r="AF38" s="648">
        <v>0</v>
      </c>
      <c r="AG38" s="711"/>
      <c r="AH38" s="646"/>
      <c r="AI38" s="648">
        <v>0</v>
      </c>
      <c r="AJ38" s="648">
        <v>0</v>
      </c>
      <c r="AK38" s="646">
        <v>0</v>
      </c>
      <c r="AL38" s="646">
        <v>31</v>
      </c>
      <c r="AM38" s="623">
        <v>0</v>
      </c>
      <c r="AN38" s="477">
        <f>SUM(Y38:AM38)</f>
        <v>6961</v>
      </c>
    </row>
    <row r="39" spans="1:40">
      <c r="A39" s="158">
        <v>18</v>
      </c>
      <c r="B39" s="1" t="s">
        <v>49</v>
      </c>
      <c r="C39" s="4"/>
      <c r="D39" s="4"/>
      <c r="E39" s="304">
        <f>'ROO INPUT'!$F40</f>
        <v>8093</v>
      </c>
      <c r="F39" s="646">
        <v>0</v>
      </c>
      <c r="G39" s="646">
        <v>0</v>
      </c>
      <c r="H39" s="646">
        <v>0</v>
      </c>
      <c r="I39" s="646">
        <v>0</v>
      </c>
      <c r="J39" s="646">
        <v>0</v>
      </c>
      <c r="K39" s="646">
        <v>0</v>
      </c>
      <c r="L39" s="646">
        <v>0</v>
      </c>
      <c r="M39" s="646">
        <v>0</v>
      </c>
      <c r="N39" s="646">
        <v>0</v>
      </c>
      <c r="O39" s="646">
        <v>0</v>
      </c>
      <c r="P39" s="646">
        <v>0</v>
      </c>
      <c r="Q39" s="646">
        <v>0</v>
      </c>
      <c r="R39" s="646">
        <v>0</v>
      </c>
      <c r="S39" s="646">
        <v>0</v>
      </c>
      <c r="T39" s="646">
        <v>-6860</v>
      </c>
      <c r="U39" s="646">
        <v>-1</v>
      </c>
      <c r="V39" s="646">
        <v>0</v>
      </c>
      <c r="W39" s="646">
        <v>0</v>
      </c>
      <c r="X39" s="646">
        <v>0</v>
      </c>
      <c r="Y39" s="401">
        <f>SUM(E39:X39)</f>
        <v>1232</v>
      </c>
      <c r="Z39" s="406"/>
      <c r="AA39" s="646">
        <v>0</v>
      </c>
      <c r="AB39" s="646">
        <v>0</v>
      </c>
      <c r="AC39" s="646">
        <v>11</v>
      </c>
      <c r="AD39" s="646">
        <v>0</v>
      </c>
      <c r="AE39" s="646">
        <v>6</v>
      </c>
      <c r="AF39" s="646">
        <v>0</v>
      </c>
      <c r="AG39" s="711">
        <v>0</v>
      </c>
      <c r="AH39" s="646">
        <v>0</v>
      </c>
      <c r="AI39" s="646">
        <v>0</v>
      </c>
      <c r="AJ39" s="648">
        <v>0</v>
      </c>
      <c r="AK39" s="646">
        <v>0</v>
      </c>
      <c r="AL39" s="646">
        <v>0</v>
      </c>
      <c r="AM39" s="620">
        <v>0</v>
      </c>
      <c r="AN39" s="477">
        <f>SUM(Y39:AM39)</f>
        <v>1249</v>
      </c>
    </row>
    <row r="40" spans="1:40">
      <c r="A40" s="158">
        <v>19</v>
      </c>
      <c r="B40" s="1" t="s">
        <v>50</v>
      </c>
      <c r="C40" s="4"/>
      <c r="D40" s="4"/>
      <c r="E40" s="304">
        <f>'ROO INPUT'!$F41</f>
        <v>0</v>
      </c>
      <c r="F40" s="646">
        <v>0</v>
      </c>
      <c r="G40" s="646">
        <v>0</v>
      </c>
      <c r="H40" s="646">
        <v>0</v>
      </c>
      <c r="I40" s="646">
        <v>0</v>
      </c>
      <c r="J40" s="646">
        <v>0</v>
      </c>
      <c r="K40" s="646">
        <v>0</v>
      </c>
      <c r="L40" s="646">
        <v>0</v>
      </c>
      <c r="M40" s="646">
        <v>0</v>
      </c>
      <c r="N40" s="646">
        <v>0</v>
      </c>
      <c r="O40" s="646">
        <v>0</v>
      </c>
      <c r="P40" s="646">
        <v>0</v>
      </c>
      <c r="Q40" s="646">
        <v>0</v>
      </c>
      <c r="R40" s="646">
        <v>0</v>
      </c>
      <c r="S40" s="646">
        <v>0</v>
      </c>
      <c r="T40" s="646">
        <v>0</v>
      </c>
      <c r="U40" s="646">
        <v>0</v>
      </c>
      <c r="V40" s="646">
        <v>0</v>
      </c>
      <c r="W40" s="646">
        <v>0</v>
      </c>
      <c r="X40" s="646">
        <v>0</v>
      </c>
      <c r="Y40" s="401">
        <f>SUM(E40:X40)</f>
        <v>0</v>
      </c>
      <c r="Z40" s="406"/>
      <c r="AA40" s="646">
        <v>0</v>
      </c>
      <c r="AB40" s="646">
        <v>0</v>
      </c>
      <c r="AC40" s="646">
        <v>0</v>
      </c>
      <c r="AD40" s="646">
        <v>0</v>
      </c>
      <c r="AE40" s="646">
        <v>0</v>
      </c>
      <c r="AF40" s="646">
        <v>0</v>
      </c>
      <c r="AG40" s="711">
        <v>0</v>
      </c>
      <c r="AH40" s="646">
        <v>0</v>
      </c>
      <c r="AI40" s="646">
        <v>0</v>
      </c>
      <c r="AJ40" s="648">
        <v>0</v>
      </c>
      <c r="AK40" s="646">
        <v>0</v>
      </c>
      <c r="AL40" s="646">
        <v>0</v>
      </c>
      <c r="AM40" s="620">
        <v>0</v>
      </c>
      <c r="AN40" s="477">
        <f>SUM(Y40:AM40)</f>
        <v>0</v>
      </c>
    </row>
    <row r="41" spans="1:40" ht="7.5" customHeight="1">
      <c r="C41" s="4"/>
      <c r="D41" s="4"/>
      <c r="E41" s="304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46"/>
      <c r="Y41" s="401"/>
      <c r="Z41" s="406"/>
      <c r="AA41" s="646"/>
      <c r="AB41" s="646"/>
      <c r="AC41" s="646"/>
      <c r="AD41" s="646"/>
      <c r="AE41" s="646"/>
      <c r="AF41" s="646"/>
      <c r="AG41" s="711"/>
      <c r="AH41" s="646"/>
      <c r="AI41" s="646"/>
      <c r="AJ41" s="648"/>
      <c r="AK41" s="646"/>
      <c r="AL41" s="646"/>
      <c r="AM41" s="620"/>
      <c r="AN41" s="477"/>
    </row>
    <row r="42" spans="1:40">
      <c r="B42" s="1" t="s">
        <v>51</v>
      </c>
      <c r="C42" s="4"/>
      <c r="D42" s="4"/>
      <c r="E42" s="304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401">
        <f>SUM(E42:X42)</f>
        <v>0</v>
      </c>
      <c r="Z42" s="406"/>
      <c r="AA42" s="646"/>
      <c r="AB42" s="646"/>
      <c r="AC42" s="646"/>
      <c r="AD42" s="646"/>
      <c r="AE42" s="646"/>
      <c r="AF42" s="646"/>
      <c r="AG42" s="711"/>
      <c r="AH42" s="646"/>
      <c r="AI42" s="646"/>
      <c r="AJ42" s="648"/>
      <c r="AK42" s="646"/>
      <c r="AL42" s="646"/>
      <c r="AM42" s="620"/>
      <c r="AN42" s="477"/>
    </row>
    <row r="43" spans="1:40">
      <c r="A43" s="158">
        <v>20</v>
      </c>
      <c r="C43" s="4" t="s">
        <v>43</v>
      </c>
      <c r="D43" s="4"/>
      <c r="E43" s="304">
        <f>'ROO INPUT'!$F44</f>
        <v>15045</v>
      </c>
      <c r="F43" s="646">
        <v>0</v>
      </c>
      <c r="G43" s="646">
        <v>0</v>
      </c>
      <c r="H43" s="646">
        <v>0</v>
      </c>
      <c r="I43" s="646">
        <v>0</v>
      </c>
      <c r="J43" s="646">
        <v>0</v>
      </c>
      <c r="K43" s="646">
        <v>0</v>
      </c>
      <c r="L43" s="646">
        <v>0</v>
      </c>
      <c r="M43" s="646">
        <v>-50</v>
      </c>
      <c r="N43" s="646">
        <v>3</v>
      </c>
      <c r="O43" s="646">
        <v>0</v>
      </c>
      <c r="P43" s="646">
        <v>-17</v>
      </c>
      <c r="Q43" s="646">
        <v>0</v>
      </c>
      <c r="R43" s="646">
        <v>0</v>
      </c>
      <c r="S43" s="646">
        <f>ROUND((S$14+S$15)*CF!$E$17,0)</f>
        <v>13</v>
      </c>
      <c r="T43" s="646">
        <f>ROUND((T$14+T$15)*CF!$E$17,0)</f>
        <v>10</v>
      </c>
      <c r="U43" s="646">
        <v>-371</v>
      </c>
      <c r="V43" s="646">
        <v>-703</v>
      </c>
      <c r="W43" s="646">
        <v>0</v>
      </c>
      <c r="X43" s="646">
        <v>0</v>
      </c>
      <c r="Y43" s="401">
        <f>SUM(E43:X43)</f>
        <v>13930</v>
      </c>
      <c r="Z43" s="406"/>
      <c r="AA43" s="646">
        <f>ROUND((AA$14+AA$15)*CF!$E$17,0)</f>
        <v>-116</v>
      </c>
      <c r="AB43" s="646">
        <v>0</v>
      </c>
      <c r="AC43" s="646">
        <v>152</v>
      </c>
      <c r="AD43" s="689">
        <v>27</v>
      </c>
      <c r="AE43" s="646">
        <v>103</v>
      </c>
      <c r="AF43" s="646">
        <v>-43</v>
      </c>
      <c r="AG43" s="713">
        <v>241</v>
      </c>
      <c r="AH43" s="646">
        <v>0</v>
      </c>
      <c r="AI43" s="646">
        <v>0</v>
      </c>
      <c r="AJ43" s="648">
        <v>0</v>
      </c>
      <c r="AK43" s="646">
        <v>0</v>
      </c>
      <c r="AL43" s="689">
        <v>0</v>
      </c>
      <c r="AM43" s="620">
        <v>0</v>
      </c>
      <c r="AN43" s="477">
        <f>SUM(Y43:AM43)</f>
        <v>14294</v>
      </c>
    </row>
    <row r="44" spans="1:40">
      <c r="A44" s="158">
        <v>21</v>
      </c>
      <c r="C44" s="4" t="s">
        <v>200</v>
      </c>
      <c r="D44" s="4"/>
      <c r="E44" s="304">
        <f>'ROO INPUT'!$F45</f>
        <v>8492</v>
      </c>
      <c r="F44" s="646">
        <v>0</v>
      </c>
      <c r="G44" s="646">
        <v>0</v>
      </c>
      <c r="H44" s="646">
        <v>0</v>
      </c>
      <c r="I44" s="646">
        <v>0</v>
      </c>
      <c r="J44" s="646">
        <v>0</v>
      </c>
      <c r="K44" s="646">
        <v>0</v>
      </c>
      <c r="L44" s="646">
        <v>0</v>
      </c>
      <c r="M44" s="646">
        <v>0</v>
      </c>
      <c r="N44" s="646">
        <v>0</v>
      </c>
      <c r="O44" s="646">
        <v>0</v>
      </c>
      <c r="P44" s="646">
        <v>0</v>
      </c>
      <c r="Q44" s="646">
        <v>0</v>
      </c>
      <c r="R44" s="646">
        <v>0</v>
      </c>
      <c r="S44" s="646"/>
      <c r="T44" s="646"/>
      <c r="U44" s="646">
        <v>0</v>
      </c>
      <c r="V44" s="646">
        <v>0</v>
      </c>
      <c r="W44" s="646">
        <v>0</v>
      </c>
      <c r="X44" s="646">
        <v>961</v>
      </c>
      <c r="Y44" s="401">
        <f>SUM(E44:X44)</f>
        <v>9453</v>
      </c>
      <c r="Z44" s="406"/>
      <c r="AA44" s="646">
        <v>0</v>
      </c>
      <c r="AB44" s="646">
        <v>0</v>
      </c>
      <c r="AC44" s="646">
        <v>0</v>
      </c>
      <c r="AD44" s="646">
        <v>0</v>
      </c>
      <c r="AE44" s="646">
        <v>0</v>
      </c>
      <c r="AF44" s="646">
        <v>0</v>
      </c>
      <c r="AG44" s="711">
        <v>0</v>
      </c>
      <c r="AH44" s="646">
        <v>0</v>
      </c>
      <c r="AI44" s="646">
        <f>-309-234</f>
        <v>-543</v>
      </c>
      <c r="AJ44" s="648">
        <v>0</v>
      </c>
      <c r="AK44" s="646">
        <v>0</v>
      </c>
      <c r="AL44" s="646">
        <v>0</v>
      </c>
      <c r="AM44" s="620">
        <v>0</v>
      </c>
      <c r="AN44" s="477">
        <f>SUM(Y44:AM44)</f>
        <v>8910</v>
      </c>
    </row>
    <row r="45" spans="1:40">
      <c r="A45" s="158">
        <v>22</v>
      </c>
      <c r="C45" s="427" t="s">
        <v>411</v>
      </c>
      <c r="D45" s="4"/>
      <c r="E45" s="304">
        <f>'ROO INPUT'!$F46</f>
        <v>-1559</v>
      </c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>
        <v>0</v>
      </c>
      <c r="T45" s="646">
        <v>1083</v>
      </c>
      <c r="U45" s="646">
        <v>0</v>
      </c>
      <c r="V45" s="646">
        <v>0</v>
      </c>
      <c r="W45" s="646">
        <v>0</v>
      </c>
      <c r="X45" s="646">
        <v>0</v>
      </c>
      <c r="Y45" s="401">
        <f>SUM(E45:X45)</f>
        <v>-476</v>
      </c>
      <c r="Z45" s="406"/>
      <c r="AA45" s="646">
        <v>0</v>
      </c>
      <c r="AB45" s="646">
        <v>1745</v>
      </c>
      <c r="AC45" s="646"/>
      <c r="AD45" s="646"/>
      <c r="AE45" s="646"/>
      <c r="AF45" s="646">
        <v>0</v>
      </c>
      <c r="AG45" s="711"/>
      <c r="AH45" s="646"/>
      <c r="AI45" s="646"/>
      <c r="AJ45" s="648"/>
      <c r="AK45" s="646"/>
      <c r="AL45" s="646">
        <v>836</v>
      </c>
      <c r="AM45" s="620">
        <v>0</v>
      </c>
      <c r="AN45" s="477">
        <f>SUM(Y45:AM45)</f>
        <v>2105</v>
      </c>
    </row>
    <row r="46" spans="1:40">
      <c r="A46" s="158">
        <v>23</v>
      </c>
      <c r="C46" s="4" t="s">
        <v>21</v>
      </c>
      <c r="D46" s="4"/>
      <c r="E46" s="306">
        <f>'ROO INPUT'!$F47</f>
        <v>0</v>
      </c>
      <c r="F46" s="647">
        <v>0</v>
      </c>
      <c r="G46" s="647">
        <v>0</v>
      </c>
      <c r="H46" s="647">
        <v>0</v>
      </c>
      <c r="I46" s="647">
        <v>0</v>
      </c>
      <c r="J46" s="647">
        <v>0</v>
      </c>
      <c r="K46" s="647">
        <v>0</v>
      </c>
      <c r="L46" s="647">
        <v>0</v>
      </c>
      <c r="M46" s="647">
        <v>0</v>
      </c>
      <c r="N46" s="647">
        <v>0</v>
      </c>
      <c r="O46" s="647">
        <v>0</v>
      </c>
      <c r="P46" s="647">
        <v>0</v>
      </c>
      <c r="Q46" s="647">
        <v>0</v>
      </c>
      <c r="R46" s="647">
        <v>0</v>
      </c>
      <c r="S46" s="647">
        <v>0</v>
      </c>
      <c r="T46" s="647">
        <v>0</v>
      </c>
      <c r="U46" s="647">
        <v>0</v>
      </c>
      <c r="V46" s="647">
        <v>0</v>
      </c>
      <c r="W46" s="647">
        <v>0</v>
      </c>
      <c r="X46" s="647">
        <v>0</v>
      </c>
      <c r="Y46" s="402">
        <f>SUM(E46:X46)</f>
        <v>0</v>
      </c>
      <c r="Z46" s="406"/>
      <c r="AA46" s="647">
        <v>0</v>
      </c>
      <c r="AB46" s="647">
        <v>0</v>
      </c>
      <c r="AC46" s="647">
        <v>0</v>
      </c>
      <c r="AD46" s="647">
        <v>0</v>
      </c>
      <c r="AE46" s="647">
        <v>0</v>
      </c>
      <c r="AF46" s="647">
        <v>0</v>
      </c>
      <c r="AG46" s="712">
        <v>0</v>
      </c>
      <c r="AH46" s="647">
        <v>0</v>
      </c>
      <c r="AI46" s="647">
        <v>0</v>
      </c>
      <c r="AJ46" s="647">
        <v>0</v>
      </c>
      <c r="AK46" s="647">
        <v>0</v>
      </c>
      <c r="AL46" s="647">
        <v>0</v>
      </c>
      <c r="AM46" s="621">
        <v>0</v>
      </c>
      <c r="AN46" s="473">
        <f>SUM(Y46:AM46)</f>
        <v>0</v>
      </c>
    </row>
    <row r="47" spans="1:40">
      <c r="A47" s="158">
        <v>24</v>
      </c>
      <c r="B47" s="4" t="s">
        <v>52</v>
      </c>
      <c r="C47" s="4"/>
      <c r="E47" s="306">
        <f>SUM(E43:E46)</f>
        <v>21978</v>
      </c>
      <c r="F47" s="306">
        <f t="shared" ref="F47:O47" si="53">SUM(F43:F46)</f>
        <v>0</v>
      </c>
      <c r="G47" s="306">
        <f t="shared" si="53"/>
        <v>0</v>
      </c>
      <c r="H47" s="306">
        <f t="shared" si="53"/>
        <v>0</v>
      </c>
      <c r="I47" s="306">
        <f t="shared" ref="I47" si="54">SUM(I43:I46)</f>
        <v>0</v>
      </c>
      <c r="J47" s="306">
        <f t="shared" si="53"/>
        <v>0</v>
      </c>
      <c r="K47" s="306">
        <f>SUM(K43:K46)</f>
        <v>0</v>
      </c>
      <c r="L47" s="306">
        <f t="shared" si="53"/>
        <v>0</v>
      </c>
      <c r="M47" s="306">
        <f t="shared" si="53"/>
        <v>-50</v>
      </c>
      <c r="N47" s="306">
        <f t="shared" si="53"/>
        <v>3</v>
      </c>
      <c r="O47" s="306">
        <f t="shared" si="53"/>
        <v>0</v>
      </c>
      <c r="P47" s="306">
        <f t="shared" ref="P47:Q47" si="55">SUM(P43:P46)</f>
        <v>-17</v>
      </c>
      <c r="Q47" s="306">
        <f t="shared" si="55"/>
        <v>0</v>
      </c>
      <c r="R47" s="306">
        <f t="shared" ref="R47:U47" si="56">SUM(R43:R46)</f>
        <v>0</v>
      </c>
      <c r="S47" s="306">
        <f t="shared" si="56"/>
        <v>13</v>
      </c>
      <c r="T47" s="306">
        <f t="shared" si="56"/>
        <v>1093</v>
      </c>
      <c r="U47" s="306">
        <f t="shared" si="56"/>
        <v>-371</v>
      </c>
      <c r="V47" s="307">
        <f>SUM(V43:V46)</f>
        <v>-703</v>
      </c>
      <c r="W47" s="307">
        <f>SUM(W43:W46)</f>
        <v>0</v>
      </c>
      <c r="X47" s="307">
        <f>SUM(X43:X46)</f>
        <v>961</v>
      </c>
      <c r="Y47" s="402">
        <f t="shared" ref="Y47" si="57">SUM(Y43:Y46)</f>
        <v>22907</v>
      </c>
      <c r="Z47" s="406"/>
      <c r="AA47" s="307">
        <f>SUM(AA43:AA46)</f>
        <v>-116</v>
      </c>
      <c r="AB47" s="307">
        <f>SUM(AB43:AB46)</f>
        <v>1745</v>
      </c>
      <c r="AC47" s="307">
        <f t="shared" ref="AC47" si="58">SUM(AC43:AC46)</f>
        <v>152</v>
      </c>
      <c r="AD47" s="307">
        <f>SUM(AD43:AD46)</f>
        <v>27</v>
      </c>
      <c r="AE47" s="307">
        <v>104</v>
      </c>
      <c r="AF47" s="307">
        <f t="shared" ref="AF47" si="59">SUM(AF43:AF46)</f>
        <v>-43</v>
      </c>
      <c r="AG47" s="714">
        <f>SUM(AG43:AG46)</f>
        <v>241</v>
      </c>
      <c r="AH47" s="307">
        <f t="shared" ref="AH47" si="60">SUM(AH43:AH46)</f>
        <v>0</v>
      </c>
      <c r="AI47" s="307">
        <f>SUM(AI43:AI46)</f>
        <v>-543</v>
      </c>
      <c r="AJ47" s="307">
        <f>SUM(AJ43:AJ46)</f>
        <v>0</v>
      </c>
      <c r="AK47" s="307">
        <f>SUM(AK43:AK46)</f>
        <v>0</v>
      </c>
      <c r="AL47" s="307">
        <f t="shared" ref="AL47" si="61">SUM(AL43:AL46)</f>
        <v>836</v>
      </c>
      <c r="AM47" s="624">
        <f t="shared" ref="AM47" si="62">SUM(AM43:AM46)</f>
        <v>0</v>
      </c>
      <c r="AN47" s="473">
        <f t="shared" ref="AN47" si="63">SUM(AN43:AN46)</f>
        <v>25309</v>
      </c>
    </row>
    <row r="48" spans="1:40" ht="19.5" customHeight="1">
      <c r="A48" s="158">
        <v>25</v>
      </c>
      <c r="B48" s="1" t="s">
        <v>53</v>
      </c>
      <c r="C48" s="4"/>
      <c r="D48" s="4"/>
      <c r="E48" s="306">
        <f t="shared" ref="E48:AF48" si="64">E20+E24+E30+E36+E38+E39+E40+E47</f>
        <v>169184</v>
      </c>
      <c r="F48" s="306">
        <f t="shared" si="64"/>
        <v>0</v>
      </c>
      <c r="G48" s="306">
        <f t="shared" si="64"/>
        <v>10</v>
      </c>
      <c r="H48" s="306">
        <f t="shared" si="64"/>
        <v>0</v>
      </c>
      <c r="I48" s="306">
        <f t="shared" ref="I48" si="65">I20+I24+I30+I36+I38+I39+I40+I47</f>
        <v>0</v>
      </c>
      <c r="J48" s="306">
        <f t="shared" si="64"/>
        <v>-5184</v>
      </c>
      <c r="K48" s="306">
        <f>K20+K24+K30+K36+K38+K39+K40+K47</f>
        <v>2</v>
      </c>
      <c r="L48" s="306">
        <f t="shared" si="64"/>
        <v>-320</v>
      </c>
      <c r="M48" s="306">
        <f t="shared" si="64"/>
        <v>-50</v>
      </c>
      <c r="N48" s="306">
        <f t="shared" si="64"/>
        <v>3</v>
      </c>
      <c r="O48" s="306">
        <f t="shared" si="64"/>
        <v>0</v>
      </c>
      <c r="P48" s="306">
        <f t="shared" si="64"/>
        <v>-17</v>
      </c>
      <c r="Q48" s="306">
        <f t="shared" si="64"/>
        <v>0</v>
      </c>
      <c r="R48" s="306">
        <f t="shared" ref="R48:U48" si="66">R20+R24+R30+R36+R38+R39+R40+R47</f>
        <v>-13</v>
      </c>
      <c r="S48" s="306">
        <f t="shared" si="66"/>
        <v>2932</v>
      </c>
      <c r="T48" s="306">
        <f t="shared" si="66"/>
        <v>-47063</v>
      </c>
      <c r="U48" s="306">
        <f t="shared" si="66"/>
        <v>-380</v>
      </c>
      <c r="V48" s="307">
        <f>V20+V24+V30+V36+V38+V39+V40+V47</f>
        <v>-703</v>
      </c>
      <c r="W48" s="307">
        <f>W20+W24+W30+W36+W38+W39+W40+W47</f>
        <v>0</v>
      </c>
      <c r="X48" s="307">
        <f>X20+X24+X30+X36+X38+X39+X40+X47</f>
        <v>1571</v>
      </c>
      <c r="Y48" s="402">
        <f t="shared" si="64"/>
        <v>119972</v>
      </c>
      <c r="Z48" s="406"/>
      <c r="AA48" s="307">
        <f>AA20+AA24+AA30+AA36+AA38+AA39+AA40+AA47</f>
        <v>-54085</v>
      </c>
      <c r="AB48" s="307">
        <f>AB20+AB24+AB30+AB36+AB38+AB39+AB40+AB47</f>
        <v>1745</v>
      </c>
      <c r="AC48" s="307">
        <f t="shared" ref="AC48" si="67">AC20+AC24+AC30+AC36+AC38+AC39+AC40+AC47</f>
        <v>502</v>
      </c>
      <c r="AD48" s="307">
        <f t="shared" si="64"/>
        <v>27</v>
      </c>
      <c r="AE48" s="307">
        <f t="shared" si="64"/>
        <v>323</v>
      </c>
      <c r="AF48" s="307">
        <f t="shared" si="64"/>
        <v>-43</v>
      </c>
      <c r="AG48" s="714">
        <f>AG20+AG24+AG30+AG36+AG38+AG39+AG40+AG47</f>
        <v>241</v>
      </c>
      <c r="AH48" s="307">
        <f t="shared" ref="AH48" si="68">AH20+AH24+AH30+AH36+AH38+AH39+AH40+AH47</f>
        <v>212</v>
      </c>
      <c r="AI48" s="307">
        <f>AI20+AI24+AI30+AI36+AI38+AI39+AI40+AI47</f>
        <v>-1518</v>
      </c>
      <c r="AJ48" s="307">
        <f>AJ20+AJ24+AJ30+AJ36+AJ38+AJ39+AJ40+AJ47</f>
        <v>0</v>
      </c>
      <c r="AK48" s="307">
        <f>AK20+AK24+AK30+AK36+AK38+AK39+AK40+AK47</f>
        <v>0</v>
      </c>
      <c r="AL48" s="307">
        <f>AL20+AL24+AL30+AL36+AL38+AL39+AL40+AL47</f>
        <v>867</v>
      </c>
      <c r="AM48" s="624">
        <f t="shared" ref="AM48" si="69">AM20+AM24+AM30+AM36+AM38+AM39+AM40+AM47</f>
        <v>0</v>
      </c>
      <c r="AN48" s="473">
        <f t="shared" ref="AN48" si="70">AN20+AN24+AN30+AN36+AN38+AN39+AN40+AN47</f>
        <v>68242</v>
      </c>
    </row>
    <row r="49" spans="1:40" ht="9" customHeight="1">
      <c r="C49" s="4"/>
      <c r="D49" s="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54"/>
      <c r="W49" s="354"/>
      <c r="X49" s="354"/>
      <c r="Y49" s="401"/>
      <c r="Z49" s="406"/>
      <c r="AA49" s="354"/>
      <c r="AB49" s="354"/>
      <c r="AC49" s="354"/>
      <c r="AD49" s="354"/>
      <c r="AE49" s="354"/>
      <c r="AF49" s="354"/>
      <c r="AG49" s="223"/>
      <c r="AH49" s="354"/>
      <c r="AI49" s="354"/>
      <c r="AJ49" s="664"/>
      <c r="AK49" s="354"/>
      <c r="AL49" s="354"/>
      <c r="AM49" s="622"/>
      <c r="AN49" s="477"/>
    </row>
    <row r="50" spans="1:40" ht="12.95" customHeight="1">
      <c r="A50" s="158">
        <v>26</v>
      </c>
      <c r="B50" s="1" t="s">
        <v>54</v>
      </c>
      <c r="C50" s="4"/>
      <c r="D50" s="4"/>
      <c r="E50" s="304">
        <f t="shared" ref="E50:Q50" si="71">E17-E48</f>
        <v>27210</v>
      </c>
      <c r="F50" s="304">
        <f t="shared" si="71"/>
        <v>0</v>
      </c>
      <c r="G50" s="304">
        <f t="shared" si="71"/>
        <v>-10</v>
      </c>
      <c r="H50" s="304">
        <f t="shared" si="71"/>
        <v>0</v>
      </c>
      <c r="I50" s="304">
        <f t="shared" ref="I50" si="72">I17-I48</f>
        <v>0</v>
      </c>
      <c r="J50" s="304">
        <f t="shared" si="71"/>
        <v>-14</v>
      </c>
      <c r="K50" s="304">
        <f>K17-K48</f>
        <v>-2</v>
      </c>
      <c r="L50" s="304">
        <f t="shared" si="71"/>
        <v>320</v>
      </c>
      <c r="M50" s="304">
        <f t="shared" si="71"/>
        <v>50</v>
      </c>
      <c r="N50" s="304">
        <f t="shared" si="71"/>
        <v>-3</v>
      </c>
      <c r="O50" s="304">
        <f t="shared" si="71"/>
        <v>0</v>
      </c>
      <c r="P50" s="304">
        <f t="shared" si="71"/>
        <v>17</v>
      </c>
      <c r="Q50" s="304">
        <f t="shared" si="71"/>
        <v>0</v>
      </c>
      <c r="R50" s="304">
        <f t="shared" ref="R50:U50" si="73">R17-R48</f>
        <v>13</v>
      </c>
      <c r="S50" s="304">
        <f t="shared" si="73"/>
        <v>6</v>
      </c>
      <c r="T50" s="304">
        <f t="shared" si="73"/>
        <v>429</v>
      </c>
      <c r="U50" s="304">
        <f t="shared" si="73"/>
        <v>494</v>
      </c>
      <c r="V50" s="354">
        <f>V17-V48</f>
        <v>703</v>
      </c>
      <c r="W50" s="354">
        <f>W17-W48</f>
        <v>0</v>
      </c>
      <c r="X50" s="354">
        <f>X17-X48</f>
        <v>-1571</v>
      </c>
      <c r="Y50" s="401">
        <f>SUM(E50:X50)</f>
        <v>27642</v>
      </c>
      <c r="Z50" s="406"/>
      <c r="AA50" s="354">
        <f>AA17-AA48</f>
        <v>511</v>
      </c>
      <c r="AB50" s="354">
        <f>AB17-AB48</f>
        <v>-1745</v>
      </c>
      <c r="AC50" s="354">
        <f t="shared" ref="AC50" si="74">AC17-AC48</f>
        <v>-502</v>
      </c>
      <c r="AD50" s="354">
        <f t="shared" ref="AD50:AF50" si="75">AD17-AD48</f>
        <v>-27</v>
      </c>
      <c r="AE50" s="354">
        <f t="shared" si="75"/>
        <v>-323</v>
      </c>
      <c r="AF50" s="354">
        <f t="shared" si="75"/>
        <v>43</v>
      </c>
      <c r="AG50" s="223">
        <f>AG17-AG48</f>
        <v>-241</v>
      </c>
      <c r="AH50" s="354">
        <f t="shared" ref="AH50" si="76">AH17-AH48</f>
        <v>-212</v>
      </c>
      <c r="AI50" s="354">
        <f>AI17-AI48</f>
        <v>1518</v>
      </c>
      <c r="AJ50" s="664">
        <f>AJ17-AJ48</f>
        <v>0</v>
      </c>
      <c r="AK50" s="354">
        <f>AK17-AK48</f>
        <v>0</v>
      </c>
      <c r="AL50" s="354">
        <f t="shared" ref="AL50" si="77">AL17-AL48</f>
        <v>-867</v>
      </c>
      <c r="AM50" s="622">
        <f t="shared" ref="AM50" si="78">AM17-AM48</f>
        <v>0</v>
      </c>
      <c r="AN50" s="477">
        <f t="shared" ref="AN50" si="79">AN17-AN48</f>
        <v>25798</v>
      </c>
    </row>
    <row r="51" spans="1:40" ht="6" customHeight="1">
      <c r="C51" s="4"/>
      <c r="D51" s="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54"/>
      <c r="W51" s="354"/>
      <c r="X51" s="354"/>
      <c r="Y51" s="401"/>
      <c r="Z51" s="406"/>
      <c r="AA51" s="354"/>
      <c r="AB51" s="354"/>
      <c r="AC51" s="354"/>
      <c r="AD51" s="354"/>
      <c r="AE51" s="354"/>
      <c r="AF51" s="354"/>
      <c r="AG51" s="223"/>
      <c r="AH51" s="354"/>
      <c r="AI51" s="354"/>
      <c r="AJ51" s="664"/>
      <c r="AK51" s="354"/>
      <c r="AL51" s="354"/>
      <c r="AM51" s="622"/>
      <c r="AN51" s="477"/>
    </row>
    <row r="52" spans="1:40" ht="12.95" customHeight="1">
      <c r="B52" s="1" t="s">
        <v>55</v>
      </c>
      <c r="C52" s="4"/>
      <c r="D52" s="4"/>
      <c r="E52" s="304"/>
      <c r="F52" s="646"/>
      <c r="G52" s="646"/>
      <c r="H52" s="646"/>
      <c r="I52" s="646"/>
      <c r="J52" s="646"/>
      <c r="K52" s="646"/>
      <c r="L52" s="646"/>
      <c r="M52" s="646"/>
      <c r="N52" s="646"/>
      <c r="O52" s="646"/>
      <c r="P52" s="646"/>
      <c r="Q52" s="646"/>
      <c r="R52" s="646"/>
      <c r="S52" s="646"/>
      <c r="T52" s="646"/>
      <c r="U52" s="646"/>
      <c r="V52" s="646"/>
      <c r="W52" s="646"/>
      <c r="X52" s="646"/>
      <c r="Y52" s="401"/>
      <c r="Z52" s="406"/>
      <c r="AA52" s="646"/>
      <c r="AB52" s="646"/>
      <c r="AC52" s="646"/>
      <c r="AD52" s="646"/>
      <c r="AE52" s="646"/>
      <c r="AF52" s="646"/>
      <c r="AG52" s="711"/>
      <c r="AH52" s="646"/>
      <c r="AI52" s="646"/>
      <c r="AJ52" s="648"/>
      <c r="AK52" s="646"/>
      <c r="AL52" s="646"/>
      <c r="AM52" s="620"/>
      <c r="AN52" s="477"/>
    </row>
    <row r="53" spans="1:40">
      <c r="A53" s="158">
        <v>27</v>
      </c>
      <c r="B53" s="4" t="s">
        <v>56</v>
      </c>
      <c r="D53" s="4"/>
      <c r="E53" s="304">
        <f>'ROO INPUT'!$F54</f>
        <v>2557</v>
      </c>
      <c r="F53" s="646">
        <f t="shared" ref="F53:N53" si="80">F50*0.21</f>
        <v>0</v>
      </c>
      <c r="G53" s="646">
        <f t="shared" si="80"/>
        <v>-2.1</v>
      </c>
      <c r="H53" s="646">
        <f t="shared" si="80"/>
        <v>0</v>
      </c>
      <c r="I53" s="646">
        <f t="shared" si="80"/>
        <v>0</v>
      </c>
      <c r="J53" s="646">
        <f t="shared" si="80"/>
        <v>-2.94</v>
      </c>
      <c r="K53" s="646">
        <f t="shared" si="80"/>
        <v>-0.42</v>
      </c>
      <c r="L53" s="646">
        <f t="shared" si="80"/>
        <v>67.2</v>
      </c>
      <c r="M53" s="646">
        <f t="shared" si="80"/>
        <v>10.5</v>
      </c>
      <c r="N53" s="646">
        <f t="shared" si="80"/>
        <v>-0.63</v>
      </c>
      <c r="O53" s="646">
        <v>0</v>
      </c>
      <c r="P53" s="646">
        <f t="shared" ref="P53:V53" si="81">P50*0.21</f>
        <v>3.57</v>
      </c>
      <c r="Q53" s="646">
        <f t="shared" si="81"/>
        <v>0</v>
      </c>
      <c r="R53" s="646">
        <f t="shared" si="81"/>
        <v>2.73</v>
      </c>
      <c r="S53" s="646">
        <f t="shared" si="81"/>
        <v>1.26</v>
      </c>
      <c r="T53" s="646">
        <f t="shared" si="81"/>
        <v>90.09</v>
      </c>
      <c r="U53" s="646">
        <f t="shared" si="81"/>
        <v>103.74</v>
      </c>
      <c r="V53" s="646">
        <f t="shared" si="81"/>
        <v>147.63</v>
      </c>
      <c r="W53" s="646">
        <f>'DEBT CALC'!E57</f>
        <v>132</v>
      </c>
      <c r="X53" s="646">
        <f>X50*0.21</f>
        <v>-329.90999999999997</v>
      </c>
      <c r="Y53" s="401">
        <f>SUM(E53:X53)</f>
        <v>2779.7200000000003</v>
      </c>
      <c r="Z53" s="406"/>
      <c r="AA53" s="646">
        <f t="shared" ref="AA53:AM53" si="82">AA50*0.21</f>
        <v>107.31</v>
      </c>
      <c r="AB53" s="646">
        <f t="shared" si="82"/>
        <v>-366.45</v>
      </c>
      <c r="AC53" s="646">
        <f t="shared" si="82"/>
        <v>-105.42</v>
      </c>
      <c r="AD53" s="646">
        <f t="shared" si="82"/>
        <v>-5.67</v>
      </c>
      <c r="AE53" s="646">
        <f t="shared" si="82"/>
        <v>-67.83</v>
      </c>
      <c r="AF53" s="646">
        <f t="shared" ref="AF53" si="83">AF50*0.21</f>
        <v>9.0299999999999994</v>
      </c>
      <c r="AG53" s="711">
        <f t="shared" si="82"/>
        <v>-50.61</v>
      </c>
      <c r="AH53" s="646">
        <f t="shared" si="82"/>
        <v>-44.519999999999996</v>
      </c>
      <c r="AI53" s="646">
        <f t="shared" si="82"/>
        <v>318.77999999999997</v>
      </c>
      <c r="AJ53" s="646">
        <f t="shared" si="82"/>
        <v>0</v>
      </c>
      <c r="AK53" s="646">
        <f t="shared" si="82"/>
        <v>0</v>
      </c>
      <c r="AL53" s="646">
        <f t="shared" si="82"/>
        <v>-182.07</v>
      </c>
      <c r="AM53" s="620">
        <f t="shared" si="82"/>
        <v>0</v>
      </c>
      <c r="AN53" s="477">
        <f>SUM(Y53:AM53)</f>
        <v>2392.27</v>
      </c>
    </row>
    <row r="54" spans="1:40">
      <c r="A54" s="158">
        <v>28</v>
      </c>
      <c r="B54" s="4" t="s">
        <v>181</v>
      </c>
      <c r="D54" s="4"/>
      <c r="E54" s="304">
        <f>'ROO INPUT'!$F55</f>
        <v>0</v>
      </c>
      <c r="F54" s="646">
        <f>(F81*'RR SUMMARY'!$P$12)*-0.21</f>
        <v>7.149051</v>
      </c>
      <c r="G54" s="646">
        <f>(G81*'RR SUMMARY'!$P$12)*-0.21</f>
        <v>4.0131E-2</v>
      </c>
      <c r="H54" s="646">
        <f>(H81*'RR SUMMARY'!$P$12)*-0.21</f>
        <v>0</v>
      </c>
      <c r="I54" s="646">
        <f>(I81*'RR SUMMARY'!$P$12)*-0.21</f>
        <v>34.615853999999999</v>
      </c>
      <c r="J54" s="646">
        <f>(J81*'RR SUMMARY'!$P$12)*-0.21</f>
        <v>0</v>
      </c>
      <c r="K54" s="646">
        <f>(K81*'RR SUMMARY'!$P$12)*-0.21</f>
        <v>0</v>
      </c>
      <c r="L54" s="646">
        <f>(L81*'RR SUMMARY'!$P$12)*-0.21</f>
        <v>0</v>
      </c>
      <c r="M54" s="646">
        <f>(M81*'RR SUMMARY'!$P$12)*-0.21</f>
        <v>0</v>
      </c>
      <c r="N54" s="646">
        <f>(N81*'RR SUMMARY'!$P$12)*-0.21</f>
        <v>0</v>
      </c>
      <c r="O54" s="646"/>
      <c r="P54" s="646">
        <f>(P81*'RR SUMMARY'!$P$12)*-0.21</f>
        <v>0</v>
      </c>
      <c r="Q54" s="646">
        <f>(Q81*'RR SUMMARY'!$P$12)*-0.21</f>
        <v>0</v>
      </c>
      <c r="R54" s="646">
        <f>(R81*'RR SUMMARY'!$P$12)*-0.21</f>
        <v>0</v>
      </c>
      <c r="S54" s="646">
        <f>(S81*'RR SUMMARY'!$P$12)*-0.21</f>
        <v>0</v>
      </c>
      <c r="T54" s="646">
        <f>(T81*'RR SUMMARY'!$P$12)*-0.21</f>
        <v>0</v>
      </c>
      <c r="U54" s="646">
        <f>(U81*'RR SUMMARY'!$P$12)*-0.21</f>
        <v>0</v>
      </c>
      <c r="V54" s="646">
        <f>(V81*'RR SUMMARY'!$P$12)*-0.21</f>
        <v>0</v>
      </c>
      <c r="W54" s="646"/>
      <c r="X54" s="646">
        <f>(X81*'RR SUMMARY'!$P$12)*-0.21</f>
        <v>-185.00964300000001</v>
      </c>
      <c r="Y54" s="401">
        <f>SUM(E54:X54)</f>
        <v>-143.20460700000001</v>
      </c>
      <c r="Z54" s="406"/>
      <c r="AA54" s="646">
        <f>(AA81*'RR SUMMARY'!$P$12)*-0.21</f>
        <v>0</v>
      </c>
      <c r="AB54" s="646">
        <f>(AB81*'RR SUMMARY'!$P$12)*-0.21</f>
        <v>-0.54463499999999998</v>
      </c>
      <c r="AC54" s="646">
        <f>(AC81*'RR SUMMARY'!$P$12)*-0.21</f>
        <v>0</v>
      </c>
      <c r="AD54" s="646">
        <f>(AD81*'RR SUMMARY'!$P$12)*-0.21</f>
        <v>0</v>
      </c>
      <c r="AE54" s="646">
        <f>(AE81*'RR SUMMARY'!$P$12)*-0.21</f>
        <v>0</v>
      </c>
      <c r="AF54" s="646">
        <f>(AF81*'RR SUMMARY'!$P$12)*-0.21</f>
        <v>0</v>
      </c>
      <c r="AG54" s="711">
        <f>(AG81*'RR SUMMARY'!$P$12)*-0.21</f>
        <v>0</v>
      </c>
      <c r="AH54" s="646">
        <f>(AH81*'RR SUMMARY'!$P$12)*-0.21</f>
        <v>0</v>
      </c>
      <c r="AI54" s="646">
        <f>(AI81*'RR SUMMARY'!$P$12)*-0.21</f>
        <v>0</v>
      </c>
      <c r="AJ54" s="646">
        <v>0</v>
      </c>
      <c r="AK54" s="646">
        <f>(AK81*'RR SUMMARY'!$P$12)*-0.21</f>
        <v>0</v>
      </c>
      <c r="AL54" s="646">
        <f>(AL81*'RR SUMMARY'!$P$12)*-0.21</f>
        <v>0</v>
      </c>
      <c r="AM54" s="620">
        <f>(AM81*'RR SUMMARY'!$P$12)*-0.21</f>
        <v>0</v>
      </c>
      <c r="AN54" s="477">
        <f>SUM(Y54:AM54)</f>
        <v>-143.74924200000001</v>
      </c>
    </row>
    <row r="55" spans="1:40">
      <c r="A55" s="158">
        <v>29</v>
      </c>
      <c r="B55" s="4" t="s">
        <v>57</v>
      </c>
      <c r="D55" s="4"/>
      <c r="E55" s="304">
        <f>'ROO INPUT'!$F56</f>
        <v>54</v>
      </c>
      <c r="F55" s="646">
        <v>0</v>
      </c>
      <c r="G55" s="646">
        <v>0</v>
      </c>
      <c r="H55" s="646">
        <v>0</v>
      </c>
      <c r="I55" s="646">
        <v>0</v>
      </c>
      <c r="J55" s="646">
        <v>0</v>
      </c>
      <c r="K55" s="646">
        <v>0</v>
      </c>
      <c r="L55" s="646">
        <v>0</v>
      </c>
      <c r="M55" s="646">
        <v>0</v>
      </c>
      <c r="N55" s="646">
        <v>0</v>
      </c>
      <c r="O55" s="646">
        <v>0</v>
      </c>
      <c r="P55" s="646">
        <v>0</v>
      </c>
      <c r="Q55" s="646">
        <v>0</v>
      </c>
      <c r="R55" s="646">
        <v>0</v>
      </c>
      <c r="S55" s="646">
        <v>0</v>
      </c>
      <c r="T55" s="646">
        <v>339</v>
      </c>
      <c r="U55" s="646">
        <v>0</v>
      </c>
      <c r="V55" s="646">
        <v>0</v>
      </c>
      <c r="W55" s="646">
        <v>0</v>
      </c>
      <c r="X55" s="646">
        <v>0</v>
      </c>
      <c r="Y55" s="401">
        <f>SUM(E55:X55)</f>
        <v>393</v>
      </c>
      <c r="Z55" s="406"/>
      <c r="AA55" s="646">
        <v>0</v>
      </c>
      <c r="AB55" s="646">
        <v>0</v>
      </c>
      <c r="AC55" s="646">
        <v>0</v>
      </c>
      <c r="AD55" s="646">
        <v>0</v>
      </c>
      <c r="AE55" s="646">
        <v>0</v>
      </c>
      <c r="AF55" s="646">
        <v>0</v>
      </c>
      <c r="AG55" s="711">
        <v>0</v>
      </c>
      <c r="AH55" s="646">
        <v>0</v>
      </c>
      <c r="AI55" s="646">
        <v>0</v>
      </c>
      <c r="AJ55" s="648">
        <v>0</v>
      </c>
      <c r="AK55" s="646">
        <v>0</v>
      </c>
      <c r="AL55" s="646">
        <v>0</v>
      </c>
      <c r="AM55" s="620">
        <v>0</v>
      </c>
      <c r="AN55" s="477">
        <f>SUM(Y55:AM55)</f>
        <v>393</v>
      </c>
    </row>
    <row r="56" spans="1:40">
      <c r="A56" s="158">
        <v>30</v>
      </c>
      <c r="B56" s="4" t="s">
        <v>58</v>
      </c>
      <c r="D56" s="4"/>
      <c r="E56" s="306">
        <f>'ROO INPUT'!$F57</f>
        <v>-15</v>
      </c>
      <c r="F56" s="647"/>
      <c r="G56" s="647"/>
      <c r="H56" s="647"/>
      <c r="I56" s="647"/>
      <c r="J56" s="647">
        <v>0</v>
      </c>
      <c r="K56" s="647">
        <v>0</v>
      </c>
      <c r="L56" s="647">
        <v>0</v>
      </c>
      <c r="M56" s="647">
        <v>0</v>
      </c>
      <c r="N56" s="647">
        <v>0</v>
      </c>
      <c r="O56" s="647">
        <v>0</v>
      </c>
      <c r="P56" s="647">
        <v>0</v>
      </c>
      <c r="Q56" s="647">
        <v>0</v>
      </c>
      <c r="R56" s="647">
        <v>0</v>
      </c>
      <c r="S56" s="647">
        <v>0</v>
      </c>
      <c r="T56" s="647">
        <v>0</v>
      </c>
      <c r="U56" s="647">
        <v>0</v>
      </c>
      <c r="V56" s="647">
        <v>0</v>
      </c>
      <c r="W56" s="647">
        <v>0</v>
      </c>
      <c r="X56" s="647">
        <v>0</v>
      </c>
      <c r="Y56" s="402">
        <f>SUM(E56:X56)</f>
        <v>-15</v>
      </c>
      <c r="Z56" s="406"/>
      <c r="AA56" s="647">
        <v>0</v>
      </c>
      <c r="AB56" s="647">
        <v>0</v>
      </c>
      <c r="AC56" s="647">
        <v>0</v>
      </c>
      <c r="AD56" s="647">
        <v>0</v>
      </c>
      <c r="AE56" s="647">
        <v>0</v>
      </c>
      <c r="AF56" s="647">
        <v>0</v>
      </c>
      <c r="AG56" s="712">
        <v>0</v>
      </c>
      <c r="AH56" s="647">
        <v>0</v>
      </c>
      <c r="AI56" s="647">
        <v>0</v>
      </c>
      <c r="AJ56" s="647">
        <v>0</v>
      </c>
      <c r="AK56" s="647">
        <v>0</v>
      </c>
      <c r="AL56" s="647">
        <v>0</v>
      </c>
      <c r="AM56" s="621">
        <v>0</v>
      </c>
      <c r="AN56" s="473">
        <f>SUM(Y56:AM56)</f>
        <v>-15</v>
      </c>
    </row>
    <row r="57" spans="1:40" ht="9.75" customHeight="1"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54"/>
      <c r="W57" s="354"/>
      <c r="X57" s="354"/>
      <c r="Y57" s="401"/>
      <c r="Z57" s="406"/>
      <c r="AA57" s="354"/>
      <c r="AB57" s="354"/>
      <c r="AC57" s="354"/>
      <c r="AD57" s="354"/>
      <c r="AE57" s="354"/>
      <c r="AF57" s="354"/>
      <c r="AG57" s="223"/>
      <c r="AH57" s="354"/>
      <c r="AI57" s="354"/>
      <c r="AJ57" s="664"/>
      <c r="AK57" s="354"/>
      <c r="AL57" s="354"/>
      <c r="AM57" s="622"/>
      <c r="AN57" s="477"/>
    </row>
    <row r="58" spans="1:40" s="3" customFormat="1" ht="12.75" thickBot="1">
      <c r="A58" s="158">
        <v>31</v>
      </c>
      <c r="B58" s="3" t="s">
        <v>59</v>
      </c>
      <c r="E58" s="448">
        <f>E50-SUM(E53:E56)</f>
        <v>24614</v>
      </c>
      <c r="F58" s="448">
        <f t="shared" ref="F58:P58" si="84">F50-SUM(F53:F56)</f>
        <v>-7.149051</v>
      </c>
      <c r="G58" s="448">
        <f>G50-SUM(G53:G56)</f>
        <v>-7.940131</v>
      </c>
      <c r="H58" s="448">
        <f t="shared" si="84"/>
        <v>0</v>
      </c>
      <c r="I58" s="448">
        <f t="shared" ref="I58" si="85">I50-SUM(I53:I56)</f>
        <v>-34.615853999999999</v>
      </c>
      <c r="J58" s="448">
        <f t="shared" si="84"/>
        <v>-11.06</v>
      </c>
      <c r="K58" s="448">
        <f>K50-SUM(K53:K56)</f>
        <v>-1.58</v>
      </c>
      <c r="L58" s="448">
        <f t="shared" si="84"/>
        <v>252.8</v>
      </c>
      <c r="M58" s="448">
        <f t="shared" si="84"/>
        <v>39.5</v>
      </c>
      <c r="N58" s="448">
        <f t="shared" si="84"/>
        <v>-2.37</v>
      </c>
      <c r="O58" s="448">
        <f t="shared" si="84"/>
        <v>0</v>
      </c>
      <c r="P58" s="448">
        <f t="shared" si="84"/>
        <v>13.43</v>
      </c>
      <c r="Q58" s="448">
        <f t="shared" ref="Q58:S58" si="86">Q50-SUM(Q53:Q56)</f>
        <v>0</v>
      </c>
      <c r="R58" s="448">
        <f t="shared" si="86"/>
        <v>10.27</v>
      </c>
      <c r="S58" s="448">
        <f t="shared" si="86"/>
        <v>4.74</v>
      </c>
      <c r="T58" s="448">
        <f t="shared" ref="T58" si="87">T50-SUM(T53:T56)</f>
        <v>-9.0000000000031832E-2</v>
      </c>
      <c r="U58" s="448">
        <f>U50-SUM(U53:U56)</f>
        <v>390.26</v>
      </c>
      <c r="V58" s="662">
        <f>V50-SUM(V53:V56)</f>
        <v>555.37</v>
      </c>
      <c r="W58" s="662">
        <f t="shared" ref="W58" si="88">W50-SUM(W53:W56)</f>
        <v>-132</v>
      </c>
      <c r="X58" s="662">
        <f>X50-SUM(X53:X56)</f>
        <v>-1056.080357</v>
      </c>
      <c r="Y58" s="404">
        <f>Y50-SUM(Y53:Y56)+Y57</f>
        <v>24627.484606999999</v>
      </c>
      <c r="Z58" s="677"/>
      <c r="AA58" s="662">
        <f t="shared" ref="AA58" si="89">AA50-SUM(AA53:AA56)</f>
        <v>403.69</v>
      </c>
      <c r="AB58" s="662">
        <f t="shared" ref="AB58" si="90">AB50-SUM(AB53:AB56)</f>
        <v>-1378.005365</v>
      </c>
      <c r="AC58" s="662">
        <f t="shared" ref="AC58" si="91">AC50-SUM(AC53:AC56)</f>
        <v>-396.58</v>
      </c>
      <c r="AD58" s="662">
        <f t="shared" ref="AD58:AF58" si="92">AD50-SUM(AD53:AD56)</f>
        <v>-21.33</v>
      </c>
      <c r="AE58" s="662">
        <f t="shared" si="92"/>
        <v>-255.17000000000002</v>
      </c>
      <c r="AF58" s="662">
        <f t="shared" si="92"/>
        <v>33.97</v>
      </c>
      <c r="AG58" s="715">
        <f t="shared" ref="AG58:AL58" si="93">AG50-SUM(AG53:AG56)</f>
        <v>-190.39</v>
      </c>
      <c r="AH58" s="662">
        <f t="shared" si="93"/>
        <v>-167.48000000000002</v>
      </c>
      <c r="AI58" s="662">
        <f t="shared" si="93"/>
        <v>1199.22</v>
      </c>
      <c r="AJ58" s="662">
        <f t="shared" si="93"/>
        <v>0</v>
      </c>
      <c r="AK58" s="662">
        <f t="shared" si="93"/>
        <v>0</v>
      </c>
      <c r="AL58" s="662">
        <f t="shared" si="93"/>
        <v>-684.93000000000006</v>
      </c>
      <c r="AM58" s="625">
        <f t="shared" ref="AM58" si="94">AM50-SUM(AM53:AM56)</f>
        <v>0</v>
      </c>
      <c r="AN58" s="478">
        <f>AN50-SUM(AN53:AN56)+AN57</f>
        <v>23171.479242000001</v>
      </c>
    </row>
    <row r="59" spans="1:40" ht="6" customHeight="1" thickTop="1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412"/>
      <c r="W59" s="354"/>
      <c r="X59" s="354"/>
      <c r="Y59" s="401"/>
      <c r="Z59" s="406"/>
      <c r="AA59" s="354"/>
      <c r="AB59" s="354"/>
      <c r="AC59" s="412"/>
      <c r="AD59" s="412"/>
      <c r="AE59" s="412"/>
      <c r="AF59" s="354"/>
      <c r="AG59" s="223"/>
      <c r="AH59" s="354"/>
      <c r="AI59" s="354"/>
      <c r="AJ59" s="664"/>
      <c r="AK59" s="354"/>
      <c r="AL59" s="354"/>
      <c r="AM59" s="622"/>
      <c r="AN59" s="477"/>
    </row>
    <row r="60" spans="1:40">
      <c r="B60" s="1" t="s">
        <v>104</v>
      </c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412"/>
      <c r="W60" s="354"/>
      <c r="X60" s="354"/>
      <c r="Y60" s="401"/>
      <c r="Z60" s="406"/>
      <c r="AA60" s="354"/>
      <c r="AB60" s="354"/>
      <c r="AC60" s="412"/>
      <c r="AD60" s="412"/>
      <c r="AE60" s="412"/>
      <c r="AF60" s="354"/>
      <c r="AG60" s="223"/>
      <c r="AH60" s="354"/>
      <c r="AI60" s="354"/>
      <c r="AJ60" s="664"/>
      <c r="AK60" s="354"/>
      <c r="AL60" s="354"/>
      <c r="AM60" s="622"/>
      <c r="AN60" s="477"/>
    </row>
    <row r="61" spans="1:40">
      <c r="B61" s="1" t="s">
        <v>105</v>
      </c>
      <c r="E61" s="304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84"/>
      <c r="W61" s="646"/>
      <c r="X61" s="646"/>
      <c r="Y61" s="401"/>
      <c r="Z61" s="406"/>
      <c r="AA61" s="646"/>
      <c r="AB61" s="646"/>
      <c r="AC61" s="684"/>
      <c r="AD61" s="684"/>
      <c r="AE61" s="684"/>
      <c r="AF61" s="646"/>
      <c r="AG61" s="711"/>
      <c r="AH61" s="646"/>
      <c r="AI61" s="646"/>
      <c r="AJ61" s="648"/>
      <c r="AK61" s="646"/>
      <c r="AL61" s="646"/>
      <c r="AM61" s="620"/>
      <c r="AN61" s="477"/>
    </row>
    <row r="62" spans="1:40">
      <c r="A62" s="158">
        <v>32</v>
      </c>
      <c r="B62" s="4"/>
      <c r="C62" s="4" t="s">
        <v>42</v>
      </c>
      <c r="D62" s="4"/>
      <c r="E62" s="472">
        <f>'ROO INPUT'!$F63</f>
        <v>28442</v>
      </c>
      <c r="F62" s="645">
        <v>0</v>
      </c>
      <c r="G62" s="645">
        <v>0</v>
      </c>
      <c r="H62" s="645">
        <v>0</v>
      </c>
      <c r="I62" s="645">
        <v>0</v>
      </c>
      <c r="J62" s="645">
        <v>0</v>
      </c>
      <c r="K62" s="645">
        <v>0</v>
      </c>
      <c r="L62" s="645">
        <v>0</v>
      </c>
      <c r="M62" s="645">
        <v>0</v>
      </c>
      <c r="N62" s="645">
        <v>0</v>
      </c>
      <c r="O62" s="645">
        <v>0</v>
      </c>
      <c r="P62" s="645">
        <v>0</v>
      </c>
      <c r="Q62" s="645">
        <v>0</v>
      </c>
      <c r="R62" s="645">
        <v>0</v>
      </c>
      <c r="S62" s="645">
        <v>0</v>
      </c>
      <c r="T62" s="645">
        <v>0</v>
      </c>
      <c r="U62" s="645">
        <v>0</v>
      </c>
      <c r="V62" s="685">
        <v>0</v>
      </c>
      <c r="W62" s="645">
        <v>0</v>
      </c>
      <c r="X62" s="645">
        <v>600</v>
      </c>
      <c r="Y62" s="400">
        <f>SUM(E62:X62)</f>
        <v>29042</v>
      </c>
      <c r="Z62" s="677"/>
      <c r="AA62" s="645">
        <v>0</v>
      </c>
      <c r="AB62" s="645">
        <v>0</v>
      </c>
      <c r="AC62" s="685">
        <v>0</v>
      </c>
      <c r="AD62" s="685">
        <v>0</v>
      </c>
      <c r="AE62" s="685">
        <v>0</v>
      </c>
      <c r="AF62" s="645">
        <v>0</v>
      </c>
      <c r="AG62" s="710">
        <v>0</v>
      </c>
      <c r="AH62" s="645">
        <v>0</v>
      </c>
      <c r="AI62" s="645">
        <v>0</v>
      </c>
      <c r="AJ62" s="740">
        <v>0</v>
      </c>
      <c r="AK62" s="645">
        <v>0</v>
      </c>
      <c r="AL62" s="645">
        <v>0</v>
      </c>
      <c r="AM62" s="619">
        <v>0</v>
      </c>
      <c r="AN62" s="476">
        <f>SUM(Y62:AM62)</f>
        <v>29042</v>
      </c>
    </row>
    <row r="63" spans="1:40">
      <c r="A63" s="158">
        <v>33</v>
      </c>
      <c r="B63" s="4"/>
      <c r="C63" s="4" t="s">
        <v>61</v>
      </c>
      <c r="D63" s="4"/>
      <c r="E63" s="304">
        <f>'ROO INPUT'!$F64</f>
        <v>462636</v>
      </c>
      <c r="F63" s="646">
        <v>0</v>
      </c>
      <c r="G63" s="646">
        <v>0</v>
      </c>
      <c r="H63" s="646">
        <v>0</v>
      </c>
      <c r="I63" s="646">
        <v>-7041</v>
      </c>
      <c r="J63" s="646">
        <v>0</v>
      </c>
      <c r="K63" s="646">
        <v>0</v>
      </c>
      <c r="L63" s="646">
        <v>0</v>
      </c>
      <c r="M63" s="646">
        <v>0</v>
      </c>
      <c r="N63" s="646">
        <v>0</v>
      </c>
      <c r="O63" s="646">
        <v>0</v>
      </c>
      <c r="P63" s="646">
        <v>0</v>
      </c>
      <c r="Q63" s="646">
        <v>0</v>
      </c>
      <c r="R63" s="646">
        <v>0</v>
      </c>
      <c r="S63" s="646">
        <v>0</v>
      </c>
      <c r="T63" s="646">
        <v>0</v>
      </c>
      <c r="U63" s="646">
        <v>0</v>
      </c>
      <c r="V63" s="684">
        <v>0</v>
      </c>
      <c r="W63" s="646">
        <v>0</v>
      </c>
      <c r="X63" s="646">
        <v>24409</v>
      </c>
      <c r="Y63" s="401">
        <f>SUM(E63:X63)</f>
        <v>480004</v>
      </c>
      <c r="Z63" s="406"/>
      <c r="AA63" s="646">
        <v>0</v>
      </c>
      <c r="AB63" s="646">
        <v>0</v>
      </c>
      <c r="AC63" s="684">
        <v>0</v>
      </c>
      <c r="AD63" s="684">
        <v>0</v>
      </c>
      <c r="AE63" s="684">
        <v>0</v>
      </c>
      <c r="AF63" s="646">
        <v>0</v>
      </c>
      <c r="AG63" s="711"/>
      <c r="AH63" s="646">
        <v>0</v>
      </c>
      <c r="AI63" s="646">
        <v>0</v>
      </c>
      <c r="AJ63" s="648">
        <v>0</v>
      </c>
      <c r="AK63" s="646">
        <v>0</v>
      </c>
      <c r="AL63" s="646"/>
      <c r="AM63" s="620">
        <v>0</v>
      </c>
      <c r="AN63" s="477">
        <f>SUM(Y63:AM63)</f>
        <v>480004</v>
      </c>
    </row>
    <row r="64" spans="1:40">
      <c r="A64" s="158">
        <v>34</v>
      </c>
      <c r="B64" s="4"/>
      <c r="C64" s="4" t="s">
        <v>62</v>
      </c>
      <c r="D64" s="4"/>
      <c r="E64" s="306">
        <f>'ROO INPUT'!$F65</f>
        <v>114053</v>
      </c>
      <c r="F64" s="647">
        <v>0</v>
      </c>
      <c r="G64" s="647">
        <v>0</v>
      </c>
      <c r="H64" s="647">
        <v>0</v>
      </c>
      <c r="I64" s="647">
        <v>0</v>
      </c>
      <c r="J64" s="647">
        <v>0</v>
      </c>
      <c r="K64" s="647">
        <v>0</v>
      </c>
      <c r="L64" s="647">
        <v>0</v>
      </c>
      <c r="M64" s="647">
        <v>0</v>
      </c>
      <c r="N64" s="647">
        <v>0</v>
      </c>
      <c r="O64" s="647">
        <v>0</v>
      </c>
      <c r="P64" s="647">
        <v>0</v>
      </c>
      <c r="Q64" s="647">
        <v>0</v>
      </c>
      <c r="R64" s="647">
        <v>0</v>
      </c>
      <c r="S64" s="647">
        <v>0</v>
      </c>
      <c r="T64" s="647">
        <v>0</v>
      </c>
      <c r="U64" s="647">
        <v>0</v>
      </c>
      <c r="V64" s="686">
        <v>0</v>
      </c>
      <c r="W64" s="647">
        <v>0</v>
      </c>
      <c r="X64" s="647">
        <f>11662+1273</f>
        <v>12935</v>
      </c>
      <c r="Y64" s="402">
        <f>SUM(E64:X64)</f>
        <v>126988</v>
      </c>
      <c r="Z64" s="406"/>
      <c r="AA64" s="647">
        <v>0</v>
      </c>
      <c r="AB64" s="647">
        <v>0</v>
      </c>
      <c r="AC64" s="686">
        <v>0</v>
      </c>
      <c r="AD64" s="686">
        <v>0</v>
      </c>
      <c r="AE64" s="686">
        <v>0</v>
      </c>
      <c r="AF64" s="647">
        <v>0</v>
      </c>
      <c r="AG64" s="712"/>
      <c r="AH64" s="647">
        <v>0</v>
      </c>
      <c r="AI64" s="647">
        <v>0</v>
      </c>
      <c r="AJ64" s="647">
        <v>0</v>
      </c>
      <c r="AK64" s="647">
        <v>0</v>
      </c>
      <c r="AL64" s="647"/>
      <c r="AM64" s="621">
        <v>0</v>
      </c>
      <c r="AN64" s="473">
        <f>SUM(Y64:AM64)</f>
        <v>126988</v>
      </c>
    </row>
    <row r="65" spans="1:42" ht="15.75" customHeight="1">
      <c r="A65" s="158">
        <v>35</v>
      </c>
      <c r="B65" s="4" t="s">
        <v>63</v>
      </c>
      <c r="C65" s="4"/>
      <c r="E65" s="304">
        <f>SUM(E62:E64)</f>
        <v>605131</v>
      </c>
      <c r="F65" s="304">
        <f t="shared" ref="F65:O65" si="95">SUM(F62:F64)</f>
        <v>0</v>
      </c>
      <c r="G65" s="304">
        <f t="shared" si="95"/>
        <v>0</v>
      </c>
      <c r="H65" s="304">
        <f t="shared" si="95"/>
        <v>0</v>
      </c>
      <c r="I65" s="304">
        <f t="shared" ref="I65" si="96">SUM(I62:I64)</f>
        <v>-7041</v>
      </c>
      <c r="J65" s="304">
        <f t="shared" si="95"/>
        <v>0</v>
      </c>
      <c r="K65" s="304">
        <f>SUM(K62:K64)</f>
        <v>0</v>
      </c>
      <c r="L65" s="304">
        <f t="shared" si="95"/>
        <v>0</v>
      </c>
      <c r="M65" s="304">
        <f t="shared" si="95"/>
        <v>0</v>
      </c>
      <c r="N65" s="304">
        <f t="shared" si="95"/>
        <v>0</v>
      </c>
      <c r="O65" s="304">
        <f t="shared" si="95"/>
        <v>0</v>
      </c>
      <c r="P65" s="304">
        <f t="shared" ref="P65:Y65" si="97">SUM(P62:P64)</f>
        <v>0</v>
      </c>
      <c r="Q65" s="304">
        <f t="shared" si="97"/>
        <v>0</v>
      </c>
      <c r="R65" s="304">
        <f t="shared" ref="R65:V65" si="98">SUM(R62:R64)</f>
        <v>0</v>
      </c>
      <c r="S65" s="304">
        <f t="shared" si="98"/>
        <v>0</v>
      </c>
      <c r="T65" s="304">
        <f t="shared" si="98"/>
        <v>0</v>
      </c>
      <c r="U65" s="304">
        <f t="shared" si="98"/>
        <v>0</v>
      </c>
      <c r="V65" s="354">
        <f t="shared" si="98"/>
        <v>0</v>
      </c>
      <c r="W65" s="354">
        <f t="shared" ref="W65" si="99">SUM(W62:W64)</f>
        <v>0</v>
      </c>
      <c r="X65" s="354">
        <f t="shared" ref="X65" si="100">SUM(X62:X64)</f>
        <v>37944</v>
      </c>
      <c r="Y65" s="401">
        <f t="shared" si="97"/>
        <v>636034</v>
      </c>
      <c r="Z65" s="406"/>
      <c r="AA65" s="354">
        <f>SUM(AA62:AA64)</f>
        <v>0</v>
      </c>
      <c r="AB65" s="354">
        <f>SUM(AB62:AB64)</f>
        <v>0</v>
      </c>
      <c r="AC65" s="354">
        <f t="shared" ref="AC65" si="101">SUM(AC62:AC64)</f>
        <v>0</v>
      </c>
      <c r="AD65" s="354">
        <f t="shared" ref="AD65:AF65" si="102">SUM(AD62:AD64)</f>
        <v>0</v>
      </c>
      <c r="AE65" s="354">
        <f t="shared" si="102"/>
        <v>0</v>
      </c>
      <c r="AF65" s="354">
        <f t="shared" si="102"/>
        <v>0</v>
      </c>
      <c r="AG65" s="223">
        <f>SUM(AG62:AG64)</f>
        <v>0</v>
      </c>
      <c r="AH65" s="354">
        <f t="shared" ref="AH65" si="103">SUM(AH62:AH64)</f>
        <v>0</v>
      </c>
      <c r="AI65" s="354">
        <f>SUM(AI62:AI64)</f>
        <v>0</v>
      </c>
      <c r="AJ65" s="664">
        <f>SUM(AJ62:AJ64)</f>
        <v>0</v>
      </c>
      <c r="AK65" s="354">
        <f>SUM(AK62:AK64)</f>
        <v>0</v>
      </c>
      <c r="AL65" s="354">
        <f t="shared" ref="AL65" si="104">SUM(AL62:AL64)</f>
        <v>0</v>
      </c>
      <c r="AM65" s="622">
        <f t="shared" ref="AM65" si="105">SUM(AM62:AM64)</f>
        <v>0</v>
      </c>
      <c r="AN65" s="477">
        <f t="shared" ref="AN65" si="106">SUM(AN62:AN64)</f>
        <v>636034</v>
      </c>
    </row>
    <row r="66" spans="1:42" ht="3.75" customHeight="1">
      <c r="B66" s="4"/>
      <c r="C66" s="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54"/>
      <c r="W66" s="354"/>
      <c r="X66" s="354"/>
      <c r="Y66" s="401"/>
      <c r="Z66" s="406"/>
      <c r="AA66" s="354"/>
      <c r="AB66" s="354"/>
      <c r="AC66" s="354"/>
      <c r="AD66" s="354"/>
      <c r="AE66" s="354"/>
      <c r="AF66" s="354"/>
      <c r="AG66" s="223"/>
      <c r="AH66" s="354"/>
      <c r="AI66" s="354"/>
      <c r="AJ66" s="664"/>
      <c r="AK66" s="354"/>
      <c r="AL66" s="354"/>
      <c r="AM66" s="622"/>
      <c r="AN66" s="477"/>
    </row>
    <row r="67" spans="1:42">
      <c r="B67" s="4" t="s">
        <v>202</v>
      </c>
      <c r="C67" s="4"/>
      <c r="D67" s="4"/>
      <c r="E67" s="304"/>
      <c r="F67" s="646"/>
      <c r="G67" s="646"/>
      <c r="H67" s="646"/>
      <c r="I67" s="646"/>
      <c r="J67" s="646"/>
      <c r="K67" s="646"/>
      <c r="L67" s="646"/>
      <c r="M67" s="646"/>
      <c r="N67" s="646"/>
      <c r="O67" s="646"/>
      <c r="P67" s="646"/>
      <c r="Q67" s="646"/>
      <c r="R67" s="646"/>
      <c r="S67" s="646"/>
      <c r="T67" s="646"/>
      <c r="U67" s="646"/>
      <c r="V67" s="646"/>
      <c r="W67" s="646"/>
      <c r="X67" s="646"/>
      <c r="Y67" s="401"/>
      <c r="Z67" s="406"/>
      <c r="AA67" s="646"/>
      <c r="AB67" s="646"/>
      <c r="AC67" s="646"/>
      <c r="AD67" s="646"/>
      <c r="AE67" s="646"/>
      <c r="AF67" s="646"/>
      <c r="AG67" s="711"/>
      <c r="AH67" s="646"/>
      <c r="AI67" s="646"/>
      <c r="AJ67" s="648"/>
      <c r="AK67" s="646"/>
      <c r="AL67" s="646"/>
      <c r="AM67" s="620"/>
      <c r="AN67" s="477"/>
    </row>
    <row r="68" spans="1:42">
      <c r="A68" s="158">
        <v>36</v>
      </c>
      <c r="B68" s="4"/>
      <c r="C68" s="4" t="s">
        <v>42</v>
      </c>
      <c r="D68" s="4"/>
      <c r="E68" s="304">
        <f>'ROO INPUT'!$F69</f>
        <v>-11051</v>
      </c>
      <c r="F68" s="646">
        <v>0</v>
      </c>
      <c r="G68" s="646">
        <v>0</v>
      </c>
      <c r="H68" s="646">
        <v>0</v>
      </c>
      <c r="I68" s="646">
        <v>0</v>
      </c>
      <c r="J68" s="646">
        <v>0</v>
      </c>
      <c r="K68" s="646">
        <v>0</v>
      </c>
      <c r="L68" s="646">
        <v>0</v>
      </c>
      <c r="M68" s="646">
        <v>0</v>
      </c>
      <c r="N68" s="646">
        <v>0</v>
      </c>
      <c r="O68" s="646">
        <v>0</v>
      </c>
      <c r="P68" s="646">
        <v>0</v>
      </c>
      <c r="Q68" s="646">
        <v>0</v>
      </c>
      <c r="R68" s="646">
        <v>0</v>
      </c>
      <c r="S68" s="646">
        <v>0</v>
      </c>
      <c r="T68" s="646">
        <v>0</v>
      </c>
      <c r="U68" s="646">
        <v>0</v>
      </c>
      <c r="V68" s="646">
        <v>0</v>
      </c>
      <c r="W68" s="646">
        <v>0</v>
      </c>
      <c r="X68" s="646">
        <v>-431</v>
      </c>
      <c r="Y68" s="401">
        <f>SUM(E68:X68)</f>
        <v>-11482</v>
      </c>
      <c r="Z68" s="406"/>
      <c r="AA68" s="646">
        <v>0</v>
      </c>
      <c r="AB68" s="646">
        <v>0</v>
      </c>
      <c r="AC68" s="646">
        <v>0</v>
      </c>
      <c r="AD68" s="646">
        <v>0</v>
      </c>
      <c r="AE68" s="646">
        <v>0</v>
      </c>
      <c r="AF68" s="646">
        <v>0</v>
      </c>
      <c r="AG68" s="711">
        <v>0</v>
      </c>
      <c r="AH68" s="646">
        <v>0</v>
      </c>
      <c r="AI68" s="646">
        <v>0</v>
      </c>
      <c r="AJ68" s="741">
        <v>0</v>
      </c>
      <c r="AK68" s="646">
        <v>0</v>
      </c>
      <c r="AL68" s="646">
        <v>0</v>
      </c>
      <c r="AM68" s="620">
        <v>0</v>
      </c>
      <c r="AN68" s="477">
        <f>SUM(Y68:AM68)</f>
        <v>-11482</v>
      </c>
    </row>
    <row r="69" spans="1:42">
      <c r="A69" s="158">
        <v>37</v>
      </c>
      <c r="B69" s="4"/>
      <c r="C69" s="4" t="s">
        <v>61</v>
      </c>
      <c r="D69" s="4"/>
      <c r="E69" s="304">
        <f>'ROO INPUT'!$F70</f>
        <v>-145402</v>
      </c>
      <c r="F69" s="646">
        <v>0</v>
      </c>
      <c r="G69" s="646">
        <v>0</v>
      </c>
      <c r="H69" s="646">
        <v>0</v>
      </c>
      <c r="I69" s="646">
        <v>433</v>
      </c>
      <c r="J69" s="646">
        <v>0</v>
      </c>
      <c r="K69" s="646">
        <v>0</v>
      </c>
      <c r="L69" s="646">
        <v>0</v>
      </c>
      <c r="M69" s="646">
        <v>0</v>
      </c>
      <c r="N69" s="646">
        <v>0</v>
      </c>
      <c r="O69" s="646">
        <v>0</v>
      </c>
      <c r="P69" s="646">
        <v>0</v>
      </c>
      <c r="Q69" s="646">
        <v>0</v>
      </c>
      <c r="R69" s="646">
        <v>0</v>
      </c>
      <c r="S69" s="646">
        <v>0</v>
      </c>
      <c r="T69" s="646">
        <v>0</v>
      </c>
      <c r="U69" s="646">
        <v>0</v>
      </c>
      <c r="V69" s="646">
        <v>0</v>
      </c>
      <c r="W69" s="646">
        <v>0</v>
      </c>
      <c r="X69" s="646">
        <v>-3208</v>
      </c>
      <c r="Y69" s="401">
        <f>SUM(E69:X69)</f>
        <v>-148177</v>
      </c>
      <c r="Z69" s="406"/>
      <c r="AA69" s="646">
        <v>0</v>
      </c>
      <c r="AB69" s="646">
        <v>0</v>
      </c>
      <c r="AC69" s="646">
        <v>0</v>
      </c>
      <c r="AD69" s="646">
        <v>0</v>
      </c>
      <c r="AE69" s="646">
        <v>0</v>
      </c>
      <c r="AF69" s="646">
        <v>0</v>
      </c>
      <c r="AG69" s="711"/>
      <c r="AH69" s="646">
        <v>0</v>
      </c>
      <c r="AI69" s="646">
        <v>0</v>
      </c>
      <c r="AJ69" s="648">
        <v>0</v>
      </c>
      <c r="AK69" s="646">
        <v>0</v>
      </c>
      <c r="AL69" s="646"/>
      <c r="AM69" s="620">
        <v>0</v>
      </c>
      <c r="AN69" s="477">
        <f>SUM(Y69:AM69)</f>
        <v>-148177</v>
      </c>
    </row>
    <row r="70" spans="1:42">
      <c r="A70" s="158">
        <v>38</v>
      </c>
      <c r="B70" s="4"/>
      <c r="C70" s="4" t="s">
        <v>62</v>
      </c>
      <c r="D70" s="4"/>
      <c r="E70" s="304">
        <f>'ROO INPUT'!$F71</f>
        <v>-32354</v>
      </c>
      <c r="F70" s="646">
        <v>0</v>
      </c>
      <c r="G70" s="646">
        <v>0</v>
      </c>
      <c r="H70" s="646">
        <v>0</v>
      </c>
      <c r="I70" s="646">
        <v>0</v>
      </c>
      <c r="J70" s="646">
        <v>0</v>
      </c>
      <c r="K70" s="646">
        <v>0</v>
      </c>
      <c r="L70" s="646">
        <v>0</v>
      </c>
      <c r="M70" s="646">
        <v>0</v>
      </c>
      <c r="N70" s="646">
        <v>0</v>
      </c>
      <c r="O70" s="646">
        <v>0</v>
      </c>
      <c r="P70" s="646">
        <v>0</v>
      </c>
      <c r="Q70" s="646">
        <v>0</v>
      </c>
      <c r="R70" s="646">
        <v>0</v>
      </c>
      <c r="S70" s="646">
        <v>0</v>
      </c>
      <c r="T70" s="646">
        <v>0</v>
      </c>
      <c r="U70" s="646">
        <v>0</v>
      </c>
      <c r="V70" s="646">
        <v>0</v>
      </c>
      <c r="W70" s="646">
        <v>0</v>
      </c>
      <c r="X70" s="646">
        <f>-1451-887</f>
        <v>-2338</v>
      </c>
      <c r="Y70" s="401">
        <f>SUM(E70:X70)</f>
        <v>-34692</v>
      </c>
      <c r="Z70" s="406"/>
      <c r="AA70" s="646">
        <v>0</v>
      </c>
      <c r="AB70" s="646">
        <v>0</v>
      </c>
      <c r="AC70" s="646">
        <v>0</v>
      </c>
      <c r="AD70" s="646">
        <v>0</v>
      </c>
      <c r="AE70" s="646">
        <v>0</v>
      </c>
      <c r="AF70" s="646">
        <v>0</v>
      </c>
      <c r="AG70" s="711"/>
      <c r="AH70" s="646">
        <v>0</v>
      </c>
      <c r="AI70" s="646">
        <v>0</v>
      </c>
      <c r="AJ70" s="647">
        <v>0</v>
      </c>
      <c r="AK70" s="646">
        <v>0</v>
      </c>
      <c r="AL70" s="646"/>
      <c r="AM70" s="620">
        <v>0</v>
      </c>
      <c r="AN70" s="477">
        <f>SUM(Y70:AM70)</f>
        <v>-34692</v>
      </c>
    </row>
    <row r="71" spans="1:42">
      <c r="A71" s="158">
        <v>39</v>
      </c>
      <c r="B71" s="4" t="s">
        <v>415</v>
      </c>
      <c r="C71" s="4"/>
      <c r="E71" s="309">
        <f>SUM(E68:E70)</f>
        <v>-188807</v>
      </c>
      <c r="F71" s="309">
        <f t="shared" ref="F71:O71" si="107">SUM(F68:F70)</f>
        <v>0</v>
      </c>
      <c r="G71" s="309">
        <f t="shared" si="107"/>
        <v>0</v>
      </c>
      <c r="H71" s="309">
        <f t="shared" si="107"/>
        <v>0</v>
      </c>
      <c r="I71" s="309">
        <f t="shared" ref="I71" si="108">SUM(I68:I70)</f>
        <v>433</v>
      </c>
      <c r="J71" s="309">
        <f t="shared" si="107"/>
        <v>0</v>
      </c>
      <c r="K71" s="309">
        <f>SUM(K68:K70)</f>
        <v>0</v>
      </c>
      <c r="L71" s="309">
        <f t="shared" si="107"/>
        <v>0</v>
      </c>
      <c r="M71" s="309">
        <f t="shared" si="107"/>
        <v>0</v>
      </c>
      <c r="N71" s="309">
        <f t="shared" si="107"/>
        <v>0</v>
      </c>
      <c r="O71" s="309">
        <f t="shared" si="107"/>
        <v>0</v>
      </c>
      <c r="P71" s="309">
        <f t="shared" ref="P71:Q71" si="109">SUM(P68:P70)</f>
        <v>0</v>
      </c>
      <c r="Q71" s="309">
        <f t="shared" si="109"/>
        <v>0</v>
      </c>
      <c r="R71" s="309">
        <f t="shared" ref="R71:U71" si="110">SUM(R68:R70)</f>
        <v>0</v>
      </c>
      <c r="S71" s="309">
        <f t="shared" si="110"/>
        <v>0</v>
      </c>
      <c r="T71" s="309">
        <f t="shared" si="110"/>
        <v>0</v>
      </c>
      <c r="U71" s="309">
        <f t="shared" si="110"/>
        <v>0</v>
      </c>
      <c r="V71" s="663">
        <f t="shared" ref="V71" si="111">SUM(V68:V70)</f>
        <v>0</v>
      </c>
      <c r="W71" s="663">
        <f>SUM(W68:W70)</f>
        <v>0</v>
      </c>
      <c r="X71" s="663">
        <f t="shared" ref="X71" si="112">SUM(X68:X70)</f>
        <v>-5977</v>
      </c>
      <c r="Y71" s="405">
        <f t="shared" ref="Y71:AF71" si="113">SUM(Y68:Y70)</f>
        <v>-194351</v>
      </c>
      <c r="Z71" s="406"/>
      <c r="AA71" s="663">
        <f>SUM(AA68:AA70)</f>
        <v>0</v>
      </c>
      <c r="AB71" s="663">
        <f>SUM(AB68:AB70)</f>
        <v>0</v>
      </c>
      <c r="AC71" s="663">
        <f t="shared" ref="AC71" si="114">SUM(AC68:AC70)</f>
        <v>0</v>
      </c>
      <c r="AD71" s="663">
        <f t="shared" si="113"/>
        <v>0</v>
      </c>
      <c r="AE71" s="663">
        <f t="shared" si="113"/>
        <v>0</v>
      </c>
      <c r="AF71" s="663">
        <f t="shared" si="113"/>
        <v>0</v>
      </c>
      <c r="AG71" s="716">
        <f>SUM(AG68:AG70)</f>
        <v>0</v>
      </c>
      <c r="AH71" s="663">
        <f t="shared" ref="AH71" si="115">SUM(AH68:AH70)</f>
        <v>0</v>
      </c>
      <c r="AI71" s="663">
        <f>SUM(AI68:AI70)</f>
        <v>0</v>
      </c>
      <c r="AJ71" s="663">
        <v>0</v>
      </c>
      <c r="AK71" s="663">
        <f>SUM(AK68:AK70)</f>
        <v>0</v>
      </c>
      <c r="AL71" s="663">
        <f t="shared" ref="AL71" si="116">SUM(AL68:AL70)</f>
        <v>0</v>
      </c>
      <c r="AM71" s="626">
        <f t="shared" ref="AM71" si="117">SUM(AM68:AM70)</f>
        <v>0</v>
      </c>
      <c r="AN71" s="479">
        <f t="shared" ref="AN71" si="118">SUM(AN68:AN70)</f>
        <v>-194351</v>
      </c>
    </row>
    <row r="72" spans="1:42">
      <c r="A72" s="158">
        <v>40</v>
      </c>
      <c r="B72" s="4" t="s">
        <v>173</v>
      </c>
      <c r="C72" s="4"/>
      <c r="D72" s="4"/>
      <c r="E72" s="312">
        <f>E65+E71</f>
        <v>416324</v>
      </c>
      <c r="F72" s="312">
        <f t="shared" ref="F72:AN72" si="119">F65+F71</f>
        <v>0</v>
      </c>
      <c r="G72" s="312">
        <f t="shared" si="119"/>
        <v>0</v>
      </c>
      <c r="H72" s="312">
        <f t="shared" si="119"/>
        <v>0</v>
      </c>
      <c r="I72" s="312">
        <f t="shared" ref="I72" si="120">I65+I71</f>
        <v>-6608</v>
      </c>
      <c r="J72" s="312">
        <f t="shared" si="119"/>
        <v>0</v>
      </c>
      <c r="K72" s="312">
        <f t="shared" si="119"/>
        <v>0</v>
      </c>
      <c r="L72" s="312">
        <f t="shared" si="119"/>
        <v>0</v>
      </c>
      <c r="M72" s="312">
        <f t="shared" si="119"/>
        <v>0</v>
      </c>
      <c r="N72" s="312">
        <f t="shared" si="119"/>
        <v>0</v>
      </c>
      <c r="O72" s="312">
        <f t="shared" si="119"/>
        <v>0</v>
      </c>
      <c r="P72" s="312">
        <f t="shared" si="119"/>
        <v>0</v>
      </c>
      <c r="Q72" s="312">
        <f t="shared" si="119"/>
        <v>0</v>
      </c>
      <c r="R72" s="312">
        <f t="shared" si="119"/>
        <v>0</v>
      </c>
      <c r="S72" s="312">
        <f t="shared" si="119"/>
        <v>0</v>
      </c>
      <c r="T72" s="312">
        <f t="shared" ref="T72" si="121">T65+T71</f>
        <v>0</v>
      </c>
      <c r="U72" s="312">
        <f>U65+U71</f>
        <v>0</v>
      </c>
      <c r="V72" s="664">
        <f>V65+V71</f>
        <v>0</v>
      </c>
      <c r="W72" s="664">
        <f>W65+W71</f>
        <v>0</v>
      </c>
      <c r="X72" s="664">
        <f>X65+X71</f>
        <v>31967</v>
      </c>
      <c r="Y72" s="406">
        <f t="shared" si="119"/>
        <v>441683</v>
      </c>
      <c r="Z72" s="406"/>
      <c r="AA72" s="664">
        <f t="shared" ref="AA72" si="122">AA65+AA71</f>
        <v>0</v>
      </c>
      <c r="AB72" s="664">
        <f>AB65+AB71</f>
        <v>0</v>
      </c>
      <c r="AC72" s="664">
        <f t="shared" ref="AC72" si="123">AC65+AC71</f>
        <v>0</v>
      </c>
      <c r="AD72" s="664">
        <f t="shared" si="119"/>
        <v>0</v>
      </c>
      <c r="AE72" s="664">
        <f t="shared" si="119"/>
        <v>0</v>
      </c>
      <c r="AF72" s="664">
        <f t="shared" si="119"/>
        <v>0</v>
      </c>
      <c r="AG72" s="717">
        <f>AG65+AG71</f>
        <v>0</v>
      </c>
      <c r="AH72" s="664">
        <f t="shared" ref="AH72" si="124">AH65+AH71</f>
        <v>0</v>
      </c>
      <c r="AI72" s="664">
        <f t="shared" ref="AI72:AM72" si="125">AI65+AI71</f>
        <v>0</v>
      </c>
      <c r="AJ72" s="664">
        <v>0</v>
      </c>
      <c r="AK72" s="664">
        <f t="shared" si="125"/>
        <v>0</v>
      </c>
      <c r="AL72" s="664">
        <f t="shared" si="125"/>
        <v>0</v>
      </c>
      <c r="AM72" s="627">
        <f t="shared" si="125"/>
        <v>0</v>
      </c>
      <c r="AN72" s="477">
        <f t="shared" si="119"/>
        <v>441683</v>
      </c>
    </row>
    <row r="73" spans="1:42" s="403" customFormat="1" ht="13.5" customHeight="1">
      <c r="A73" s="5">
        <v>41</v>
      </c>
      <c r="B73" s="6" t="s">
        <v>110</v>
      </c>
      <c r="C73" s="6"/>
      <c r="D73" s="6"/>
      <c r="E73" s="306">
        <f>'ROO INPUT'!$F74</f>
        <v>-88908</v>
      </c>
      <c r="F73" s="647">
        <v>-1247</v>
      </c>
      <c r="G73" s="647">
        <v>0</v>
      </c>
      <c r="H73" s="647">
        <v>0</v>
      </c>
      <c r="I73" s="647">
        <v>570</v>
      </c>
      <c r="J73" s="647">
        <v>0</v>
      </c>
      <c r="K73" s="647">
        <v>0</v>
      </c>
      <c r="L73" s="647">
        <v>0</v>
      </c>
      <c r="M73" s="647">
        <v>0</v>
      </c>
      <c r="N73" s="647">
        <v>0</v>
      </c>
      <c r="O73" s="647">
        <v>0</v>
      </c>
      <c r="P73" s="647">
        <v>0</v>
      </c>
      <c r="Q73" s="647">
        <v>0</v>
      </c>
      <c r="R73" s="647">
        <v>0</v>
      </c>
      <c r="S73" s="647">
        <v>0</v>
      </c>
      <c r="T73" s="647">
        <v>0</v>
      </c>
      <c r="U73" s="647">
        <v>0</v>
      </c>
      <c r="V73" s="647">
        <v>0</v>
      </c>
      <c r="W73" s="647">
        <v>0</v>
      </c>
      <c r="X73" s="647">
        <v>304</v>
      </c>
      <c r="Y73" s="402">
        <f>SUM(E73:X73)</f>
        <v>-89281</v>
      </c>
      <c r="Z73" s="406"/>
      <c r="AA73" s="647">
        <v>0</v>
      </c>
      <c r="AB73" s="647"/>
      <c r="AC73" s="647"/>
      <c r="AD73" s="647"/>
      <c r="AE73" s="647"/>
      <c r="AF73" s="647"/>
      <c r="AG73" s="712"/>
      <c r="AH73" s="647">
        <v>0</v>
      </c>
      <c r="AI73" s="647"/>
      <c r="AJ73" s="647">
        <v>0</v>
      </c>
      <c r="AK73" s="647"/>
      <c r="AL73" s="647"/>
      <c r="AM73" s="621"/>
      <c r="AN73" s="473">
        <f>SUM(Y73:AM73)</f>
        <v>-89281</v>
      </c>
      <c r="AO73" s="735"/>
      <c r="AP73" s="735"/>
    </row>
    <row r="74" spans="1:42" s="403" customFormat="1" ht="18.95" customHeight="1">
      <c r="A74" s="5">
        <v>42</v>
      </c>
      <c r="B74" s="6" t="s">
        <v>203</v>
      </c>
      <c r="C74" s="6"/>
      <c r="D74" s="6"/>
      <c r="E74" s="312">
        <f>E72+E73</f>
        <v>327416</v>
      </c>
      <c r="F74" s="312">
        <f>F72+F73</f>
        <v>-1247</v>
      </c>
      <c r="G74" s="312">
        <f t="shared" ref="G74:AF74" si="126">G72+G73</f>
        <v>0</v>
      </c>
      <c r="H74" s="312">
        <f t="shared" si="126"/>
        <v>0</v>
      </c>
      <c r="I74" s="312">
        <f t="shared" ref="I74" si="127">I72+I73</f>
        <v>-6038</v>
      </c>
      <c r="J74" s="312">
        <f t="shared" si="126"/>
        <v>0</v>
      </c>
      <c r="K74" s="312">
        <f>K72+K73</f>
        <v>0</v>
      </c>
      <c r="L74" s="312">
        <f t="shared" si="126"/>
        <v>0</v>
      </c>
      <c r="M74" s="312">
        <f t="shared" si="126"/>
        <v>0</v>
      </c>
      <c r="N74" s="312">
        <f t="shared" si="126"/>
        <v>0</v>
      </c>
      <c r="O74" s="312">
        <f t="shared" si="126"/>
        <v>0</v>
      </c>
      <c r="P74" s="312">
        <f t="shared" si="126"/>
        <v>0</v>
      </c>
      <c r="Q74" s="312">
        <f t="shared" si="126"/>
        <v>0</v>
      </c>
      <c r="R74" s="312">
        <f t="shared" ref="R74:Y74" si="128">R72+R73</f>
        <v>0</v>
      </c>
      <c r="S74" s="312">
        <f t="shared" si="128"/>
        <v>0</v>
      </c>
      <c r="T74" s="312">
        <f t="shared" si="128"/>
        <v>0</v>
      </c>
      <c r="U74" s="312">
        <f t="shared" si="128"/>
        <v>0</v>
      </c>
      <c r="V74" s="664">
        <f>V72+V73</f>
        <v>0</v>
      </c>
      <c r="W74" s="664">
        <f>W72+W73</f>
        <v>0</v>
      </c>
      <c r="X74" s="664">
        <f>X72+X73</f>
        <v>32271</v>
      </c>
      <c r="Y74" s="406">
        <f t="shared" si="128"/>
        <v>352402</v>
      </c>
      <c r="Z74" s="406"/>
      <c r="AA74" s="664">
        <f>AA72+AA73</f>
        <v>0</v>
      </c>
      <c r="AB74" s="664">
        <f>AB72+AB73</f>
        <v>0</v>
      </c>
      <c r="AC74" s="664">
        <f t="shared" ref="AC74" si="129">AC72+AC73</f>
        <v>0</v>
      </c>
      <c r="AD74" s="664">
        <f t="shared" si="126"/>
        <v>0</v>
      </c>
      <c r="AE74" s="664">
        <f t="shared" si="126"/>
        <v>0</v>
      </c>
      <c r="AF74" s="664">
        <f t="shared" si="126"/>
        <v>0</v>
      </c>
      <c r="AG74" s="717">
        <f>AG72+AG73</f>
        <v>0</v>
      </c>
      <c r="AH74" s="664">
        <f t="shared" ref="AH74" si="130">AH72+AH73</f>
        <v>0</v>
      </c>
      <c r="AI74" s="664">
        <f>AI72+AI73</f>
        <v>0</v>
      </c>
      <c r="AJ74" s="664">
        <v>0</v>
      </c>
      <c r="AK74" s="664">
        <f>AK72+AK73</f>
        <v>0</v>
      </c>
      <c r="AL74" s="664">
        <f t="shared" ref="AL74" si="131">AL72+AL73</f>
        <v>0</v>
      </c>
      <c r="AM74" s="627">
        <f t="shared" ref="AM74" si="132">AM72+AM73</f>
        <v>0</v>
      </c>
      <c r="AN74" s="477">
        <f t="shared" ref="AN74" si="133">AN72+AN73</f>
        <v>352402</v>
      </c>
      <c r="AO74" s="736"/>
      <c r="AP74" s="736"/>
    </row>
    <row r="75" spans="1:42">
      <c r="A75" s="158">
        <v>43</v>
      </c>
      <c r="B75" s="4" t="s">
        <v>66</v>
      </c>
      <c r="C75" s="4"/>
      <c r="D75" s="4"/>
      <c r="E75" s="304">
        <f>'ROO INPUT'!$F76</f>
        <v>8355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0</v>
      </c>
      <c r="M75" s="646">
        <v>0</v>
      </c>
      <c r="N75" s="646">
        <v>0</v>
      </c>
      <c r="O75" s="646">
        <v>0</v>
      </c>
      <c r="P75" s="646">
        <v>0</v>
      </c>
      <c r="Q75" s="646">
        <v>0</v>
      </c>
      <c r="R75" s="646">
        <v>0</v>
      </c>
      <c r="S75" s="646">
        <v>0</v>
      </c>
      <c r="T75" s="646">
        <v>0</v>
      </c>
      <c r="U75" s="646">
        <v>0</v>
      </c>
      <c r="V75" s="646">
        <v>0</v>
      </c>
      <c r="W75" s="646">
        <v>0</v>
      </c>
      <c r="X75" s="646">
        <v>0</v>
      </c>
      <c r="Y75" s="401">
        <f>SUM(E75:X75)</f>
        <v>8355</v>
      </c>
      <c r="Z75" s="406"/>
      <c r="AA75" s="646">
        <v>0</v>
      </c>
      <c r="AB75" s="646"/>
      <c r="AC75" s="646"/>
      <c r="AD75" s="646"/>
      <c r="AE75" s="646"/>
      <c r="AF75" s="646"/>
      <c r="AG75" s="711">
        <v>0</v>
      </c>
      <c r="AH75" s="646">
        <v>0</v>
      </c>
      <c r="AI75" s="646"/>
      <c r="AJ75" s="648">
        <v>0</v>
      </c>
      <c r="AK75" s="646"/>
      <c r="AL75" s="646">
        <v>0</v>
      </c>
      <c r="AM75" s="620"/>
      <c r="AN75" s="477">
        <f>SUM(Y75:AM75)</f>
        <v>8355</v>
      </c>
    </row>
    <row r="76" spans="1:42" s="403" customFormat="1">
      <c r="A76" s="5">
        <v>44</v>
      </c>
      <c r="B76" s="6" t="s">
        <v>67</v>
      </c>
      <c r="C76" s="6"/>
      <c r="D76" s="6"/>
      <c r="E76" s="304">
        <f>'ROO INPUT'!$F77</f>
        <v>0</v>
      </c>
      <c r="F76" s="648">
        <v>0</v>
      </c>
      <c r="G76" s="648">
        <v>0</v>
      </c>
      <c r="H76" s="648">
        <v>0</v>
      </c>
      <c r="I76" s="648">
        <v>0</v>
      </c>
      <c r="J76" s="648">
        <v>0</v>
      </c>
      <c r="K76" s="648">
        <v>0</v>
      </c>
      <c r="L76" s="648">
        <v>0</v>
      </c>
      <c r="M76" s="648">
        <v>0</v>
      </c>
      <c r="N76" s="648">
        <v>0</v>
      </c>
      <c r="O76" s="648">
        <v>0</v>
      </c>
      <c r="P76" s="648">
        <v>0</v>
      </c>
      <c r="Q76" s="648">
        <v>0</v>
      </c>
      <c r="R76" s="648">
        <v>0</v>
      </c>
      <c r="S76" s="648">
        <v>0</v>
      </c>
      <c r="T76" s="648">
        <v>0</v>
      </c>
      <c r="U76" s="648">
        <v>0</v>
      </c>
      <c r="V76" s="648">
        <v>0</v>
      </c>
      <c r="W76" s="648">
        <v>0</v>
      </c>
      <c r="X76" s="648">
        <v>0</v>
      </c>
      <c r="Y76" s="406">
        <f>SUM(E76:X76)</f>
        <v>0</v>
      </c>
      <c r="Z76" s="406"/>
      <c r="AA76" s="648">
        <v>0</v>
      </c>
      <c r="AB76" s="648"/>
      <c r="AC76" s="648"/>
      <c r="AD76" s="648"/>
      <c r="AE76" s="648"/>
      <c r="AF76" s="648"/>
      <c r="AG76" s="718">
        <v>0</v>
      </c>
      <c r="AH76" s="648">
        <v>0</v>
      </c>
      <c r="AI76" s="648"/>
      <c r="AJ76" s="648"/>
      <c r="AK76" s="648"/>
      <c r="AL76" s="648">
        <v>0</v>
      </c>
      <c r="AM76" s="623"/>
      <c r="AN76" s="477">
        <f>SUM(Y76:AM76)</f>
        <v>0</v>
      </c>
    </row>
    <row r="77" spans="1:42" s="403" customFormat="1">
      <c r="A77" s="5">
        <v>45</v>
      </c>
      <c r="B77" s="6" t="s">
        <v>418</v>
      </c>
      <c r="C77" s="6"/>
      <c r="D77" s="6"/>
      <c r="E77" s="304">
        <f>'ROO INPUT'!$F78</f>
        <v>5338</v>
      </c>
      <c r="F77" s="648"/>
      <c r="G77" s="648">
        <v>-7</v>
      </c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406">
        <f>SUM(E77:X77)</f>
        <v>5331</v>
      </c>
      <c r="Z77" s="406"/>
      <c r="AA77" s="648"/>
      <c r="AB77" s="648">
        <v>95</v>
      </c>
      <c r="AC77" s="648"/>
      <c r="AD77" s="648"/>
      <c r="AE77" s="648"/>
      <c r="AF77" s="648"/>
      <c r="AG77" s="718"/>
      <c r="AH77" s="648"/>
      <c r="AI77" s="648"/>
      <c r="AJ77" s="648"/>
      <c r="AK77" s="648"/>
      <c r="AL77" s="648"/>
      <c r="AM77" s="623"/>
      <c r="AN77" s="477">
        <f>SUM(Y77:AM77)</f>
        <v>5426</v>
      </c>
    </row>
    <row r="78" spans="1:42">
      <c r="A78" s="158">
        <v>46</v>
      </c>
      <c r="B78" s="4" t="s">
        <v>174</v>
      </c>
      <c r="C78" s="4"/>
      <c r="D78" s="4"/>
      <c r="E78" s="306">
        <f>'ROO INPUT'!$F79</f>
        <v>7549</v>
      </c>
      <c r="F78" s="647">
        <v>0</v>
      </c>
      <c r="G78" s="647">
        <v>0</v>
      </c>
      <c r="H78" s="647">
        <v>0</v>
      </c>
      <c r="I78" s="647">
        <v>0</v>
      </c>
      <c r="J78" s="647">
        <v>0</v>
      </c>
      <c r="K78" s="647">
        <v>0</v>
      </c>
      <c r="L78" s="647">
        <v>0</v>
      </c>
      <c r="M78" s="647">
        <v>0</v>
      </c>
      <c r="N78" s="647">
        <v>0</v>
      </c>
      <c r="O78" s="647">
        <v>0</v>
      </c>
      <c r="P78" s="647">
        <v>0</v>
      </c>
      <c r="Q78" s="647">
        <v>0</v>
      </c>
      <c r="R78" s="647">
        <v>0</v>
      </c>
      <c r="S78" s="647">
        <v>0</v>
      </c>
      <c r="T78" s="647">
        <v>0</v>
      </c>
      <c r="U78" s="647">
        <v>0</v>
      </c>
      <c r="V78" s="647">
        <v>0</v>
      </c>
      <c r="W78" s="647">
        <v>0</v>
      </c>
      <c r="X78" s="647">
        <v>0</v>
      </c>
      <c r="Y78" s="402">
        <f>SUM(E78:X78)</f>
        <v>7549</v>
      </c>
      <c r="Z78" s="406"/>
      <c r="AA78" s="647">
        <v>0</v>
      </c>
      <c r="AB78" s="647"/>
      <c r="AC78" s="647"/>
      <c r="AD78" s="647"/>
      <c r="AE78" s="647"/>
      <c r="AF78" s="647"/>
      <c r="AG78" s="712">
        <v>0</v>
      </c>
      <c r="AH78" s="647">
        <v>0</v>
      </c>
      <c r="AI78" s="647"/>
      <c r="AJ78" s="647"/>
      <c r="AK78" s="647"/>
      <c r="AL78" s="647">
        <v>0</v>
      </c>
      <c r="AM78" s="621"/>
      <c r="AN78" s="473">
        <f>SUM(Y78:AM78)</f>
        <v>7549</v>
      </c>
    </row>
    <row r="79" spans="1:42" ht="7.5" customHeight="1">
      <c r="Z79" s="484"/>
      <c r="AJ79" s="399"/>
      <c r="AN79" s="475"/>
    </row>
    <row r="80" spans="1:42" ht="6.75" customHeight="1"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54"/>
      <c r="W80" s="354"/>
      <c r="X80" s="354"/>
      <c r="Y80" s="401"/>
      <c r="Z80" s="406"/>
      <c r="AA80" s="354"/>
      <c r="AB80" s="354"/>
      <c r="AC80" s="354"/>
      <c r="AD80" s="354"/>
      <c r="AE80" s="354"/>
      <c r="AF80" s="354"/>
      <c r="AG80" s="223"/>
      <c r="AH80" s="354"/>
      <c r="AI80" s="354"/>
      <c r="AJ80" s="664"/>
      <c r="AK80" s="354"/>
      <c r="AL80" s="354"/>
      <c r="AM80" s="622"/>
      <c r="AN80" s="477"/>
    </row>
    <row r="81" spans="1:41" s="407" customFormat="1" ht="12.75" thickBot="1">
      <c r="A81" s="382">
        <v>47</v>
      </c>
      <c r="B81" s="407" t="s">
        <v>68</v>
      </c>
      <c r="E81" s="404">
        <f>E74+E75+E76+E78+E77</f>
        <v>348658</v>
      </c>
      <c r="F81" s="404">
        <f t="shared" ref="F81:AF81" si="134">F74+F75+F76+F78+F77</f>
        <v>-1247</v>
      </c>
      <c r="G81" s="404">
        <f>G74+G75+G76+G78+G77</f>
        <v>-7</v>
      </c>
      <c r="H81" s="404">
        <f t="shared" si="134"/>
        <v>0</v>
      </c>
      <c r="I81" s="404">
        <f t="shared" ref="I81" si="135">I74+I75+I76+I78+I77</f>
        <v>-6038</v>
      </c>
      <c r="J81" s="404">
        <f t="shared" si="134"/>
        <v>0</v>
      </c>
      <c r="K81" s="404">
        <f>K74+K75+K76+K78+K77</f>
        <v>0</v>
      </c>
      <c r="L81" s="404">
        <f t="shared" si="134"/>
        <v>0</v>
      </c>
      <c r="M81" s="404">
        <f t="shared" si="134"/>
        <v>0</v>
      </c>
      <c r="N81" s="404">
        <f t="shared" si="134"/>
        <v>0</v>
      </c>
      <c r="O81" s="404">
        <f t="shared" si="134"/>
        <v>0</v>
      </c>
      <c r="P81" s="404">
        <f t="shared" si="134"/>
        <v>0</v>
      </c>
      <c r="Q81" s="404">
        <f t="shared" si="134"/>
        <v>0</v>
      </c>
      <c r="R81" s="404">
        <f t="shared" ref="R81:U81" si="136">R74+R75+R76+R78+R77</f>
        <v>0</v>
      </c>
      <c r="S81" s="404">
        <f t="shared" si="136"/>
        <v>0</v>
      </c>
      <c r="T81" s="404">
        <f t="shared" si="136"/>
        <v>0</v>
      </c>
      <c r="U81" s="404">
        <f t="shared" si="136"/>
        <v>0</v>
      </c>
      <c r="V81" s="665">
        <f>V74+V75+V76+V78+V77</f>
        <v>0</v>
      </c>
      <c r="W81" s="665">
        <f>W74+W75+W76+W78+W77</f>
        <v>0</v>
      </c>
      <c r="X81" s="662">
        <f>X74+X75+X76+X78+X77</f>
        <v>32271</v>
      </c>
      <c r="Y81" s="404">
        <f t="shared" si="134"/>
        <v>373637</v>
      </c>
      <c r="Z81" s="677"/>
      <c r="AA81" s="665">
        <f>AA74+AA75+AA76+AA78+AA77</f>
        <v>0</v>
      </c>
      <c r="AB81" s="665">
        <f>AB74+AB75+AB76+AB78+AB77</f>
        <v>95</v>
      </c>
      <c r="AC81" s="665">
        <f>AC74+AC75+AC76+AC78+AC77</f>
        <v>0</v>
      </c>
      <c r="AD81" s="665">
        <f t="shared" si="134"/>
        <v>0</v>
      </c>
      <c r="AE81" s="665">
        <f t="shared" si="134"/>
        <v>0</v>
      </c>
      <c r="AF81" s="665">
        <f t="shared" si="134"/>
        <v>0</v>
      </c>
      <c r="AG81" s="719">
        <f>AG74+AG75+AG76+AG78+AG77</f>
        <v>0</v>
      </c>
      <c r="AH81" s="665">
        <f t="shared" ref="AH81" si="137">AH74+AH75+AH76+AH78+AH77</f>
        <v>0</v>
      </c>
      <c r="AI81" s="665">
        <f t="shared" ref="AI81" si="138">AI74+AI75+AI76+AI78+AI77</f>
        <v>0</v>
      </c>
      <c r="AJ81" s="665">
        <f>AJ74+AJ75+AJ76+AJ78+AJ77</f>
        <v>0</v>
      </c>
      <c r="AK81" s="665">
        <f>AK74+AK75+AK76+AK78+AK77</f>
        <v>0</v>
      </c>
      <c r="AL81" s="665">
        <f t="shared" ref="AL81" si="139">AL74+AL75+AL76+AL78+AL77</f>
        <v>0</v>
      </c>
      <c r="AM81" s="628">
        <f t="shared" ref="AM81" si="140">AM74+AM75+AM76+AM78+AM77</f>
        <v>0</v>
      </c>
      <c r="AN81" s="478">
        <f t="shared" ref="AN81" si="141">AN74+AN75+AN76+AN78+AN77</f>
        <v>373732</v>
      </c>
    </row>
    <row r="82" spans="1:41" ht="12.75" thickTop="1">
      <c r="A82" s="158">
        <v>48</v>
      </c>
      <c r="B82" s="1" t="s">
        <v>452</v>
      </c>
      <c r="E82" s="7">
        <f>ROUND(E58/E81,4)</f>
        <v>7.0599999999999996E-2</v>
      </c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412"/>
      <c r="W82" s="354"/>
      <c r="X82" s="354"/>
      <c r="Y82" s="419" t="s">
        <v>441</v>
      </c>
      <c r="Z82" s="678"/>
      <c r="AA82" s="354"/>
      <c r="AB82" s="354"/>
      <c r="AC82" s="412"/>
      <c r="AD82" s="412"/>
      <c r="AE82" s="412"/>
      <c r="AF82" s="354"/>
      <c r="AG82" s="223"/>
      <c r="AH82" s="354"/>
      <c r="AI82" s="354"/>
      <c r="AJ82" s="742"/>
      <c r="AK82" s="354"/>
      <c r="AL82" s="354"/>
      <c r="AM82" s="622"/>
      <c r="AN82" s="422"/>
    </row>
    <row r="83" spans="1:41">
      <c r="A83" s="158">
        <v>50</v>
      </c>
      <c r="B83" s="1" t="s">
        <v>166</v>
      </c>
      <c r="E83" s="69">
        <f>E89</f>
        <v>-460.06478457671608</v>
      </c>
      <c r="F83" s="69">
        <f t="shared" ref="F83:AN83" si="142">F89</f>
        <v>-105.46980604355875</v>
      </c>
      <c r="G83" s="69">
        <f t="shared" si="142"/>
        <v>9.869889209368603</v>
      </c>
      <c r="H83" s="69">
        <f t="shared" si="142"/>
        <v>0</v>
      </c>
      <c r="I83" s="69">
        <f t="shared" ref="I83" si="143">I89</f>
        <v>-510.68699991259643</v>
      </c>
      <c r="J83" s="69">
        <f t="shared" si="142"/>
        <v>14.646717466674085</v>
      </c>
      <c r="K83" s="69">
        <f t="shared" ref="K83" si="144">K89</f>
        <v>2.0923882095248691</v>
      </c>
      <c r="L83" s="69">
        <f t="shared" si="142"/>
        <v>-334.78211352397909</v>
      </c>
      <c r="M83" s="69">
        <f t="shared" si="142"/>
        <v>-52.30970523812173</v>
      </c>
      <c r="N83" s="69">
        <f t="shared" si="142"/>
        <v>3.1385823142873037</v>
      </c>
      <c r="O83" s="69">
        <f t="shared" si="142"/>
        <v>0</v>
      </c>
      <c r="P83" s="69">
        <f t="shared" si="142"/>
        <v>-17.785299780961388</v>
      </c>
      <c r="Q83" s="69">
        <f t="shared" si="142"/>
        <v>0</v>
      </c>
      <c r="R83" s="69">
        <f t="shared" ref="R83:U83" si="145">R89</f>
        <v>-13.600523361911648</v>
      </c>
      <c r="S83" s="69">
        <f t="shared" si="145"/>
        <v>-6.2771646285746074</v>
      </c>
      <c r="T83" s="69">
        <f t="shared" si="145"/>
        <v>0.11918667016285116</v>
      </c>
      <c r="U83" s="69">
        <f t="shared" si="145"/>
        <v>-516.81988775264267</v>
      </c>
      <c r="V83" s="649">
        <f>V89</f>
        <v>-735.47445564799148</v>
      </c>
      <c r="W83" s="649">
        <f>W89</f>
        <v>174.80711623878653</v>
      </c>
      <c r="X83" s="649">
        <f>X89</f>
        <v>4373.0144917747957</v>
      </c>
      <c r="Y83" s="69">
        <f t="shared" si="142"/>
        <v>1824.417631416545</v>
      </c>
      <c r="Z83" s="69"/>
      <c r="AA83" s="649">
        <f>AA89</f>
        <v>-534.60518753360407</v>
      </c>
      <c r="AB83" s="649">
        <f>AB89</f>
        <v>1833.6437020439191</v>
      </c>
      <c r="AC83" s="649">
        <f t="shared" ref="AC83" si="146">AC89</f>
        <v>525.18944059074215</v>
      </c>
      <c r="AD83" s="649">
        <f t="shared" si="142"/>
        <v>28.247240828585731</v>
      </c>
      <c r="AE83" s="649">
        <f t="shared" si="142"/>
        <v>337.9206958382664</v>
      </c>
      <c r="AF83" s="649">
        <f t="shared" si="142"/>
        <v>-44.986346504784684</v>
      </c>
      <c r="AG83" s="173">
        <f>AG89</f>
        <v>252.1327792477467</v>
      </c>
      <c r="AH83" s="649">
        <f t="shared" ref="AH83" si="147">AH89</f>
        <v>221.79315020963614</v>
      </c>
      <c r="AI83" s="649">
        <f>AI89</f>
        <v>-1588.1226510293757</v>
      </c>
      <c r="AJ83" s="649">
        <f>AJ89</f>
        <v>0</v>
      </c>
      <c r="AK83" s="649">
        <f>AK89</f>
        <v>0</v>
      </c>
      <c r="AL83" s="649">
        <f t="shared" ref="AL83" si="148">AL89</f>
        <v>907.05028882903082</v>
      </c>
      <c r="AM83" s="612">
        <f t="shared" ref="AM83" si="149">AM89</f>
        <v>0</v>
      </c>
      <c r="AN83" s="421">
        <f t="shared" si="142"/>
        <v>3761.3564476015626</v>
      </c>
    </row>
    <row r="84" spans="1:41" s="410" customFormat="1" ht="44.25" customHeight="1">
      <c r="A84" s="342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354"/>
      <c r="V84" s="779"/>
      <c r="W84" s="779"/>
      <c r="X84" s="779"/>
      <c r="Y84" s="779"/>
      <c r="Z84" s="779"/>
      <c r="AA84" s="354"/>
      <c r="AB84" s="354"/>
      <c r="AC84" s="412"/>
      <c r="AD84" s="412"/>
      <c r="AE84" s="412"/>
      <c r="AF84" s="354"/>
      <c r="AG84" s="223"/>
      <c r="AH84" s="354"/>
      <c r="AI84" s="354"/>
      <c r="AJ84" s="354"/>
      <c r="AK84" s="354"/>
      <c r="AL84" s="354"/>
      <c r="AM84" s="622"/>
      <c r="AN84" s="412"/>
    </row>
    <row r="85" spans="1:41" s="410" customFormat="1" ht="21.6" customHeight="1">
      <c r="A85" s="342"/>
      <c r="E85" s="602"/>
      <c r="F85" s="354"/>
      <c r="G85" s="354"/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354"/>
      <c r="V85" s="412"/>
      <c r="W85" s="354"/>
      <c r="X85" s="354"/>
      <c r="Y85" s="412"/>
      <c r="Z85" s="412"/>
      <c r="AA85" s="354"/>
      <c r="AB85" s="664"/>
      <c r="AC85" s="412"/>
      <c r="AD85" s="412"/>
      <c r="AE85" s="412"/>
      <c r="AF85" s="354"/>
      <c r="AG85" s="223"/>
      <c r="AH85" s="354"/>
      <c r="AI85" s="734" t="s">
        <v>543</v>
      </c>
      <c r="AJ85" s="354">
        <v>1800</v>
      </c>
      <c r="AK85" s="354"/>
      <c r="AL85" s="664"/>
      <c r="AM85" s="622"/>
      <c r="AN85" s="424"/>
      <c r="AO85" s="486"/>
    </row>
    <row r="86" spans="1:41" s="410" customFormat="1" ht="16.5" customHeight="1">
      <c r="A86" s="409"/>
      <c r="D86" s="411" t="s">
        <v>423</v>
      </c>
      <c r="E86" s="449">
        <f>'RR SUMMARY'!N15</f>
        <v>6.9599999999999995E-2</v>
      </c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412"/>
      <c r="W86" s="354"/>
      <c r="X86" s="354"/>
      <c r="Y86" s="412"/>
      <c r="Z86" s="412"/>
      <c r="AA86" s="354"/>
      <c r="AB86" s="664"/>
      <c r="AC86" s="412"/>
      <c r="AD86" s="412"/>
      <c r="AE86" s="412"/>
      <c r="AF86" s="354"/>
      <c r="AG86" s="223"/>
      <c r="AH86" s="354"/>
      <c r="AI86" s="354"/>
      <c r="AJ86" s="354"/>
      <c r="AK86" s="354"/>
      <c r="AL86" s="664"/>
      <c r="AM86" s="622"/>
      <c r="AN86" s="424"/>
      <c r="AO86" s="486"/>
    </row>
    <row r="87" spans="1:41" s="410" customFormat="1" ht="17.25" customHeight="1">
      <c r="A87" s="342"/>
      <c r="D87" s="411" t="s">
        <v>490</v>
      </c>
      <c r="E87" s="491">
        <f>CF!E27</f>
        <v>0.75511799999999996</v>
      </c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412"/>
      <c r="W87" s="354"/>
      <c r="X87" s="354"/>
      <c r="Y87" s="412"/>
      <c r="Z87" s="412"/>
      <c r="AA87" s="354"/>
      <c r="AB87" s="354"/>
      <c r="AC87" s="412"/>
      <c r="AD87" s="412"/>
      <c r="AE87" s="412"/>
      <c r="AF87" s="354"/>
      <c r="AG87" s="223"/>
      <c r="AH87" s="354"/>
      <c r="AI87" s="354"/>
      <c r="AJ87" s="354"/>
      <c r="AK87" s="354"/>
      <c r="AL87" s="354"/>
      <c r="AM87" s="622"/>
      <c r="AN87" s="412"/>
    </row>
    <row r="88" spans="1:41" s="410" customFormat="1" ht="29.25" customHeight="1">
      <c r="A88" s="342"/>
      <c r="D88" s="411" t="s">
        <v>159</v>
      </c>
      <c r="E88" s="228">
        <f t="shared" ref="E88:AN88" si="150">E81*$E$86-E58</f>
        <v>-347.40320000000065</v>
      </c>
      <c r="F88" s="228">
        <f t="shared" si="150"/>
        <v>-79.642148999999989</v>
      </c>
      <c r="G88" s="228">
        <f t="shared" si="150"/>
        <v>7.4529310000000004</v>
      </c>
      <c r="H88" s="228">
        <f t="shared" si="150"/>
        <v>0</v>
      </c>
      <c r="I88" s="228">
        <f t="shared" si="150"/>
        <v>-385.62894599999998</v>
      </c>
      <c r="J88" s="228">
        <f t="shared" si="150"/>
        <v>11.06</v>
      </c>
      <c r="K88" s="228">
        <f t="shared" si="150"/>
        <v>1.58</v>
      </c>
      <c r="L88" s="228">
        <f t="shared" si="150"/>
        <v>-252.8</v>
      </c>
      <c r="M88" s="228">
        <f t="shared" si="150"/>
        <v>-39.5</v>
      </c>
      <c r="N88" s="228">
        <f t="shared" si="150"/>
        <v>2.37</v>
      </c>
      <c r="O88" s="228">
        <f t="shared" si="150"/>
        <v>0</v>
      </c>
      <c r="P88" s="228">
        <f t="shared" si="150"/>
        <v>-13.43</v>
      </c>
      <c r="Q88" s="228">
        <f t="shared" si="150"/>
        <v>0</v>
      </c>
      <c r="R88" s="228">
        <f t="shared" si="150"/>
        <v>-10.27</v>
      </c>
      <c r="S88" s="228">
        <f t="shared" si="150"/>
        <v>-4.74</v>
      </c>
      <c r="T88" s="228">
        <f t="shared" si="150"/>
        <v>9.0000000000031832E-2</v>
      </c>
      <c r="U88" s="228">
        <f t="shared" si="150"/>
        <v>-390.26</v>
      </c>
      <c r="V88" s="228">
        <f t="shared" si="150"/>
        <v>-555.37</v>
      </c>
      <c r="W88" s="228">
        <f t="shared" si="150"/>
        <v>132</v>
      </c>
      <c r="X88" s="228">
        <f t="shared" si="150"/>
        <v>3302.1419569999998</v>
      </c>
      <c r="Y88" s="228">
        <f t="shared" si="150"/>
        <v>1377.6505929999985</v>
      </c>
      <c r="Z88" s="228"/>
      <c r="AA88" s="228">
        <f t="shared" si="150"/>
        <v>-403.69</v>
      </c>
      <c r="AB88" s="228">
        <f t="shared" si="150"/>
        <v>1384.6173650000001</v>
      </c>
      <c r="AC88" s="228">
        <f t="shared" si="150"/>
        <v>396.58</v>
      </c>
      <c r="AD88" s="228">
        <f t="shared" si="150"/>
        <v>21.33</v>
      </c>
      <c r="AE88" s="228">
        <f t="shared" si="150"/>
        <v>255.17000000000002</v>
      </c>
      <c r="AF88" s="228">
        <f t="shared" ref="AF88" si="151">AF81*$E$86-AF58</f>
        <v>-33.97</v>
      </c>
      <c r="AG88" s="226">
        <f t="shared" si="150"/>
        <v>190.39</v>
      </c>
      <c r="AH88" s="228">
        <f t="shared" si="150"/>
        <v>167.48000000000002</v>
      </c>
      <c r="AI88" s="228">
        <f t="shared" si="150"/>
        <v>-1199.22</v>
      </c>
      <c r="AJ88" s="228">
        <f t="shared" si="150"/>
        <v>0</v>
      </c>
      <c r="AK88" s="228">
        <f t="shared" si="150"/>
        <v>0</v>
      </c>
      <c r="AL88" s="228">
        <f t="shared" si="150"/>
        <v>684.93000000000006</v>
      </c>
      <c r="AM88" s="611">
        <f t="shared" si="150"/>
        <v>0</v>
      </c>
      <c r="AN88" s="413">
        <f t="shared" si="150"/>
        <v>2840.2679579999967</v>
      </c>
    </row>
    <row r="89" spans="1:41" s="410" customFormat="1">
      <c r="A89" s="342"/>
      <c r="D89" s="411" t="s">
        <v>491</v>
      </c>
      <c r="E89" s="228">
        <f>E88/$E$87</f>
        <v>-460.06478457671608</v>
      </c>
      <c r="F89" s="228">
        <f>F88/$E$87</f>
        <v>-105.46980604355875</v>
      </c>
      <c r="G89" s="228">
        <f>G88/$E$87</f>
        <v>9.869889209368603</v>
      </c>
      <c r="H89" s="228">
        <f>H88/$E$87</f>
        <v>0</v>
      </c>
      <c r="I89" s="228">
        <f>I88/$E$87</f>
        <v>-510.68699991259643</v>
      </c>
      <c r="J89" s="228">
        <f t="shared" ref="J89:Q89" si="152">J88/$E$87</f>
        <v>14.646717466674085</v>
      </c>
      <c r="K89" s="228">
        <f>K88/$E$87</f>
        <v>2.0923882095248691</v>
      </c>
      <c r="L89" s="228">
        <f t="shared" si="152"/>
        <v>-334.78211352397909</v>
      </c>
      <c r="M89" s="228">
        <f t="shared" si="152"/>
        <v>-52.30970523812173</v>
      </c>
      <c r="N89" s="228">
        <f t="shared" si="152"/>
        <v>3.1385823142873037</v>
      </c>
      <c r="O89" s="228">
        <f t="shared" si="152"/>
        <v>0</v>
      </c>
      <c r="P89" s="228">
        <f t="shared" si="152"/>
        <v>-17.785299780961388</v>
      </c>
      <c r="Q89" s="228">
        <f t="shared" si="152"/>
        <v>0</v>
      </c>
      <c r="R89" s="228">
        <f t="shared" ref="R89:S89" si="153">R88/$E$87</f>
        <v>-13.600523361911648</v>
      </c>
      <c r="S89" s="228">
        <f t="shared" si="153"/>
        <v>-6.2771646285746074</v>
      </c>
      <c r="T89" s="228">
        <f t="shared" ref="T89" si="154">T88/$E$87</f>
        <v>0.11918667016285116</v>
      </c>
      <c r="U89" s="228">
        <f>U88/$E$87</f>
        <v>-516.81988775264267</v>
      </c>
      <c r="V89" s="228">
        <f>V88/$E$87</f>
        <v>-735.47445564799148</v>
      </c>
      <c r="W89" s="228">
        <f>W88/$E$87</f>
        <v>174.80711623878653</v>
      </c>
      <c r="X89" s="228">
        <f>X88/$E$87</f>
        <v>4373.0144917747957</v>
      </c>
      <c r="Y89" s="228">
        <f t="shared" ref="Y89" si="155">Y88/$E$87</f>
        <v>1824.417631416545</v>
      </c>
      <c r="Z89" s="228"/>
      <c r="AA89" s="228">
        <f>AA88/$E$87</f>
        <v>-534.60518753360407</v>
      </c>
      <c r="AB89" s="228">
        <f>AB88/$E$87</f>
        <v>1833.6437020439191</v>
      </c>
      <c r="AC89" s="228">
        <f t="shared" ref="AC89" si="156">AC88/$E$87</f>
        <v>525.18944059074215</v>
      </c>
      <c r="AD89" s="228">
        <f t="shared" ref="AD89:AF89" si="157">AD88/$E$87</f>
        <v>28.247240828585731</v>
      </c>
      <c r="AE89" s="228">
        <f t="shared" si="157"/>
        <v>337.9206958382664</v>
      </c>
      <c r="AF89" s="228">
        <f t="shared" si="157"/>
        <v>-44.986346504784684</v>
      </c>
      <c r="AG89" s="226">
        <f>AG88/$E$87</f>
        <v>252.1327792477467</v>
      </c>
      <c r="AH89" s="228">
        <f t="shared" ref="AH89" si="158">AH88/$E$87</f>
        <v>221.79315020963614</v>
      </c>
      <c r="AI89" s="228">
        <f>AI88/$E$87</f>
        <v>-1588.1226510293757</v>
      </c>
      <c r="AJ89" s="228">
        <f>AJ88/$E$87</f>
        <v>0</v>
      </c>
      <c r="AK89" s="228">
        <f>AK88/$E$87</f>
        <v>0</v>
      </c>
      <c r="AL89" s="228">
        <f t="shared" ref="AL89" si="159">AL88/$E$87</f>
        <v>907.05028882903082</v>
      </c>
      <c r="AM89" s="611">
        <f t="shared" ref="AM89" si="160">AM88/$E$87</f>
        <v>0</v>
      </c>
      <c r="AN89" s="413">
        <f t="shared" ref="AN89" si="161">AN88/$E$87</f>
        <v>3761.3564476015626</v>
      </c>
    </row>
    <row r="90" spans="1:41" s="410" customFormat="1">
      <c r="A90" s="342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14"/>
      <c r="Z90" s="414"/>
      <c r="AA90" s="446"/>
      <c r="AB90" s="446"/>
      <c r="AC90" s="446"/>
      <c r="AD90" s="446"/>
      <c r="AE90" s="446"/>
      <c r="AF90" s="446"/>
      <c r="AG90" s="174"/>
      <c r="AH90" s="446"/>
      <c r="AI90" s="446"/>
      <c r="AJ90" s="446"/>
      <c r="AK90" s="446"/>
      <c r="AL90" s="446"/>
      <c r="AM90" s="629"/>
      <c r="AN90" s="415"/>
    </row>
    <row r="91" spans="1:41" s="410" customFormat="1">
      <c r="A91" s="342"/>
      <c r="D91" s="411"/>
      <c r="E91" s="446"/>
      <c r="F91" s="446"/>
      <c r="G91" s="446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14"/>
      <c r="Z91" s="414"/>
      <c r="AA91" s="446"/>
      <c r="AB91" s="446"/>
      <c r="AC91" s="446"/>
      <c r="AD91" s="446"/>
      <c r="AE91" s="446"/>
      <c r="AF91" s="446"/>
      <c r="AG91" s="174"/>
      <c r="AH91" s="446"/>
      <c r="AI91" s="446"/>
      <c r="AJ91" s="446"/>
      <c r="AK91" s="446"/>
      <c r="AL91" s="446"/>
      <c r="AM91" s="629"/>
      <c r="AN91" s="415"/>
    </row>
    <row r="92" spans="1:41" s="486" customFormat="1">
      <c r="A92" s="483"/>
      <c r="D92" s="482"/>
      <c r="E92" s="481"/>
      <c r="F92" s="481"/>
      <c r="G92" s="481"/>
      <c r="H92" s="481"/>
      <c r="I92" s="481"/>
      <c r="J92" s="481"/>
      <c r="K92" s="481"/>
      <c r="L92" s="481"/>
      <c r="M92" s="481"/>
      <c r="N92" s="481"/>
      <c r="O92" s="481"/>
      <c r="P92" s="481"/>
      <c r="Q92" s="481"/>
      <c r="R92" s="481"/>
      <c r="S92" s="481"/>
      <c r="T92" s="481"/>
      <c r="U92" s="481"/>
      <c r="V92" s="481"/>
      <c r="W92" s="481"/>
      <c r="X92" s="481"/>
      <c r="Y92" s="426"/>
      <c r="Z92" s="426"/>
      <c r="AA92" s="481"/>
      <c r="AB92" s="481"/>
      <c r="AC92" s="481"/>
      <c r="AD92" s="481"/>
      <c r="AE92" s="481"/>
      <c r="AF92" s="481"/>
      <c r="AG92" s="720"/>
      <c r="AH92" s="481"/>
      <c r="AI92" s="481"/>
      <c r="AJ92" s="743"/>
      <c r="AK92" s="481"/>
      <c r="AL92" s="481"/>
      <c r="AM92" s="630"/>
      <c r="AN92" s="425"/>
    </row>
    <row r="93" spans="1:41" s="486" customFormat="1">
      <c r="A93" s="483"/>
      <c r="D93" s="487"/>
      <c r="E93" s="481"/>
      <c r="F93" s="481"/>
      <c r="G93" s="481"/>
      <c r="H93" s="481"/>
      <c r="I93" s="481"/>
      <c r="J93" s="481"/>
      <c r="K93" s="481"/>
      <c r="L93" s="481"/>
      <c r="M93" s="481"/>
      <c r="N93" s="481"/>
      <c r="O93" s="481"/>
      <c r="P93" s="481"/>
      <c r="Q93" s="481"/>
      <c r="R93" s="481"/>
      <c r="S93" s="481"/>
      <c r="T93" s="481"/>
      <c r="U93" s="481"/>
      <c r="V93" s="481"/>
      <c r="W93" s="481"/>
      <c r="X93" s="481"/>
      <c r="Y93" s="426"/>
      <c r="Z93" s="426"/>
      <c r="AA93" s="481"/>
      <c r="AB93" s="481"/>
      <c r="AC93" s="481"/>
      <c r="AD93" s="481"/>
      <c r="AE93" s="481"/>
      <c r="AF93" s="481"/>
      <c r="AG93" s="720"/>
      <c r="AH93" s="481"/>
      <c r="AI93" s="481"/>
      <c r="AJ93" s="481"/>
      <c r="AK93" s="481"/>
      <c r="AL93" s="481"/>
      <c r="AM93" s="630"/>
      <c r="AN93" s="425"/>
    </row>
    <row r="94" spans="1:41" s="486" customFormat="1">
      <c r="A94" s="483"/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426"/>
      <c r="W94" s="399"/>
      <c r="X94" s="399"/>
      <c r="Y94" s="426"/>
      <c r="Z94" s="426"/>
      <c r="AA94" s="399"/>
      <c r="AB94" s="399"/>
      <c r="AC94" s="426"/>
      <c r="AD94" s="426"/>
      <c r="AE94" s="426"/>
      <c r="AF94" s="399"/>
      <c r="AG94" s="721"/>
      <c r="AH94" s="399"/>
      <c r="AI94" s="399"/>
      <c r="AJ94" s="399"/>
      <c r="AK94" s="399"/>
      <c r="AL94" s="399"/>
      <c r="AM94" s="631"/>
      <c r="AN94" s="485"/>
    </row>
    <row r="95" spans="1:41" s="486" customFormat="1">
      <c r="A95" s="483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426"/>
      <c r="W95" s="399"/>
      <c r="X95" s="399"/>
      <c r="Y95" s="426"/>
      <c r="Z95" s="426"/>
      <c r="AA95" s="399"/>
      <c r="AB95" s="399"/>
      <c r="AC95" s="426"/>
      <c r="AD95" s="426"/>
      <c r="AE95" s="426"/>
      <c r="AF95" s="399"/>
      <c r="AG95" s="721"/>
      <c r="AH95" s="399"/>
      <c r="AI95" s="399"/>
      <c r="AJ95" s="399"/>
      <c r="AK95" s="399"/>
      <c r="AL95" s="399"/>
      <c r="AM95" s="631"/>
      <c r="AN95" s="381"/>
    </row>
    <row r="96" spans="1:41" s="403" customFormat="1">
      <c r="A96" s="5"/>
      <c r="E96" s="480"/>
      <c r="F96" s="480"/>
      <c r="G96" s="480"/>
      <c r="H96" s="480"/>
      <c r="I96" s="480"/>
      <c r="J96" s="480"/>
      <c r="K96" s="480"/>
      <c r="L96" s="480"/>
      <c r="M96" s="480"/>
      <c r="N96" s="480"/>
      <c r="O96" s="480"/>
      <c r="P96" s="480"/>
      <c r="Q96" s="480"/>
      <c r="R96" s="480"/>
      <c r="S96" s="480"/>
      <c r="T96" s="480"/>
      <c r="U96" s="480"/>
      <c r="V96" s="426"/>
      <c r="W96" s="399"/>
      <c r="X96" s="399"/>
      <c r="Y96" s="484"/>
      <c r="Z96" s="484"/>
      <c r="AA96" s="399"/>
      <c r="AB96" s="399"/>
      <c r="AC96" s="426"/>
      <c r="AD96" s="426"/>
      <c r="AE96" s="426"/>
      <c r="AF96" s="399"/>
      <c r="AG96" s="721"/>
      <c r="AH96" s="399"/>
      <c r="AI96" s="399"/>
      <c r="AJ96" s="399"/>
      <c r="AK96" s="399"/>
      <c r="AL96" s="399"/>
      <c r="AM96" s="631"/>
      <c r="AN96" s="381"/>
    </row>
    <row r="97" spans="1:40" s="403" customFormat="1">
      <c r="A97" s="5"/>
      <c r="E97" s="480"/>
      <c r="F97" s="480"/>
      <c r="G97" s="480"/>
      <c r="H97" s="480"/>
      <c r="I97" s="480"/>
      <c r="J97" s="480"/>
      <c r="K97" s="480"/>
      <c r="L97" s="480"/>
      <c r="M97" s="480"/>
      <c r="N97" s="480"/>
      <c r="O97" s="480"/>
      <c r="P97" s="480"/>
      <c r="Q97" s="480"/>
      <c r="R97" s="480"/>
      <c r="S97" s="480"/>
      <c r="T97" s="480"/>
      <c r="U97" s="480"/>
      <c r="V97" s="426"/>
      <c r="W97" s="399"/>
      <c r="X97" s="399"/>
      <c r="Y97" s="484"/>
      <c r="Z97" s="484"/>
      <c r="AA97" s="399"/>
      <c r="AB97" s="399"/>
      <c r="AC97" s="426"/>
      <c r="AD97" s="426"/>
      <c r="AE97" s="426"/>
      <c r="AF97" s="399"/>
      <c r="AG97" s="721"/>
      <c r="AH97" s="399"/>
      <c r="AI97" s="399"/>
      <c r="AJ97" s="399"/>
      <c r="AK97" s="399"/>
      <c r="AL97" s="399"/>
      <c r="AM97" s="631"/>
      <c r="AN97" s="398"/>
    </row>
    <row r="98" spans="1:40" s="403" customFormat="1">
      <c r="A98" s="5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26"/>
      <c r="W98" s="399"/>
      <c r="X98" s="399"/>
      <c r="Y98" s="484"/>
      <c r="Z98" s="484"/>
      <c r="AA98" s="399"/>
      <c r="AB98" s="399"/>
      <c r="AC98" s="426"/>
      <c r="AD98" s="426"/>
      <c r="AE98" s="426"/>
      <c r="AF98" s="399"/>
      <c r="AG98" s="721"/>
      <c r="AH98" s="399"/>
      <c r="AI98" s="399"/>
      <c r="AJ98" s="399"/>
      <c r="AK98" s="399"/>
      <c r="AL98" s="399"/>
      <c r="AM98" s="631"/>
      <c r="AN98" s="381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Z84"/>
  </mergeCells>
  <phoneticPr fontId="0" type="noConversion"/>
  <pageMargins left="0.75" right="0.5" top="0.97" bottom="0.84" header="0.5" footer="0.5"/>
  <pageSetup scale="68" firstPageNumber="4" fitToWidth="5" orientation="portrait" r:id="rId3"/>
  <headerFooter scaleWithDoc="0" alignWithMargins="0">
    <oddHeader xml:space="preserve">&amp;RExhibit ACC-6
</oddHeader>
    <oddFooter>&amp;RPage &amp;P of &amp;N</oddFooter>
  </headerFooter>
  <colBreaks count="4" manualBreakCount="4">
    <brk id="13" min="1" max="83" man="1"/>
    <brk id="21" min="1" max="83" man="1"/>
    <brk id="26" max="1048575" man="1"/>
    <brk id="33" min="1" max="83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N45"/>
  <sheetViews>
    <sheetView view="pageBreakPreview" zoomScaleNormal="100" zoomScaleSheetLayoutView="100" workbookViewId="0">
      <selection activeCell="M21" sqref="M21"/>
    </sheetView>
  </sheetViews>
  <sheetFormatPr defaultColWidth="11.42578125" defaultRowHeight="12.75"/>
  <cols>
    <col min="1" max="1" width="10" style="36" customWidth="1"/>
    <col min="2" max="2" width="12.5703125" style="286" customWidth="1"/>
    <col min="3" max="3" width="41.85546875" style="36" customWidth="1"/>
    <col min="4" max="5" width="11.42578125" style="36" customWidth="1"/>
    <col min="6" max="6" width="8.5703125" style="372" customWidth="1"/>
    <col min="7" max="7" width="8.5703125" style="607" hidden="1" customWidth="1"/>
    <col min="8" max="8" width="8.5703125" style="509" customWidth="1"/>
    <col min="9" max="9" width="8.5703125" style="36" customWidth="1"/>
    <col min="10" max="10" width="11.42578125" style="36" customWidth="1"/>
    <col min="11" max="16384" width="11.42578125" style="36"/>
  </cols>
  <sheetData>
    <row r="1" spans="1:13">
      <c r="A1" s="781" t="str">
        <f>'ADJ DETAIL INPUT'!A2</f>
        <v>AVISTA UTILITIES</v>
      </c>
      <c r="B1" s="781"/>
      <c r="C1" s="781"/>
      <c r="D1" s="781"/>
      <c r="E1" s="781"/>
      <c r="F1" s="781"/>
      <c r="G1" s="606"/>
      <c r="I1" s="139"/>
      <c r="J1" s="50"/>
    </row>
    <row r="2" spans="1:13">
      <c r="A2" s="782" t="s">
        <v>69</v>
      </c>
      <c r="B2" s="782"/>
      <c r="C2" s="782"/>
      <c r="D2" s="782"/>
      <c r="E2" s="782"/>
      <c r="F2" s="782"/>
      <c r="I2" s="139"/>
      <c r="J2" s="49"/>
    </row>
    <row r="3" spans="1:13" s="49" customFormat="1">
      <c r="A3" s="780" t="s">
        <v>147</v>
      </c>
      <c r="B3" s="780"/>
      <c r="C3" s="780"/>
      <c r="D3" s="780"/>
      <c r="E3" s="780"/>
      <c r="F3" s="780"/>
      <c r="G3" s="608"/>
      <c r="H3" s="510"/>
      <c r="I3" s="51"/>
      <c r="J3" s="52"/>
    </row>
    <row r="4" spans="1:13" s="49" customFormat="1">
      <c r="A4" s="780" t="str">
        <f>'PROP0SED RATES'!A3</f>
        <v>TWELVE MONTHS ENDED DECEMBER 31, 2018</v>
      </c>
      <c r="B4" s="780"/>
      <c r="C4" s="780"/>
      <c r="D4" s="780"/>
      <c r="E4" s="780"/>
      <c r="F4" s="780"/>
      <c r="G4" s="608"/>
      <c r="H4" s="510"/>
      <c r="I4" s="51"/>
      <c r="J4" s="52"/>
    </row>
    <row r="5" spans="1:13" s="49" customFormat="1">
      <c r="A5" s="36"/>
      <c r="B5" s="286"/>
      <c r="C5" s="36"/>
      <c r="D5" s="374"/>
      <c r="E5" s="374" t="s">
        <v>69</v>
      </c>
      <c r="F5" s="372"/>
      <c r="G5" s="608"/>
      <c r="H5" s="510"/>
      <c r="I5" s="51"/>
      <c r="J5" s="54"/>
    </row>
    <row r="6" spans="1:13">
      <c r="A6" s="374" t="s">
        <v>70</v>
      </c>
      <c r="B6" s="374" t="s">
        <v>235</v>
      </c>
      <c r="C6" s="374" t="s">
        <v>71</v>
      </c>
      <c r="D6" s="374" t="s">
        <v>72</v>
      </c>
      <c r="E6" s="374" t="s">
        <v>19</v>
      </c>
      <c r="F6" s="64" t="s">
        <v>73</v>
      </c>
      <c r="G6" s="609" t="s">
        <v>179</v>
      </c>
      <c r="H6" s="605" t="s">
        <v>178</v>
      </c>
      <c r="I6" s="370" t="s">
        <v>419</v>
      </c>
      <c r="J6" s="373"/>
    </row>
    <row r="7" spans="1:13">
      <c r="A7" s="464" t="s">
        <v>465</v>
      </c>
      <c r="B7" s="373"/>
      <c r="C7" s="373"/>
      <c r="D7" s="373"/>
      <c r="E7" s="373"/>
      <c r="F7" s="373"/>
      <c r="G7" s="608"/>
      <c r="H7" s="510"/>
      <c r="I7" s="49"/>
      <c r="J7" s="373"/>
    </row>
    <row r="8" spans="1:13">
      <c r="A8" s="416">
        <f>'ADJ DETAIL INPUT'!E$10</f>
        <v>1</v>
      </c>
      <c r="B8" s="288" t="str">
        <f>'ADJ DETAIL INPUT'!E$11</f>
        <v>G-ROO</v>
      </c>
      <c r="C8" s="60" t="str">
        <f>TRIM(CONCATENATE('ADJ DETAIL INPUT'!E$7," ",'ADJ DETAIL INPUT'!E$8," ",'ADJ DETAIL INPUT'!E$9))</f>
        <v>Per Results Report</v>
      </c>
      <c r="D8" s="61">
        <f>'ADJ DETAIL INPUT'!E$58</f>
        <v>24614</v>
      </c>
      <c r="E8" s="61">
        <f>'ADJ DETAIL INPUT'!E$81</f>
        <v>348658</v>
      </c>
      <c r="F8" s="505">
        <f>D8/E8</f>
        <v>7.0596401057770083E-2</v>
      </c>
      <c r="H8" s="607" t="s">
        <v>128</v>
      </c>
      <c r="I8" s="507" t="s">
        <v>538</v>
      </c>
      <c r="J8" s="123"/>
      <c r="K8" s="463"/>
      <c r="L8" s="463"/>
      <c r="M8" s="463"/>
    </row>
    <row r="9" spans="1:13">
      <c r="A9" s="416">
        <f>'ADJ DETAIL INPUT'!F$10</f>
        <v>1.01</v>
      </c>
      <c r="B9" s="288" t="str">
        <f>'ADJ DETAIL INPUT'!F$11</f>
        <v>G-DFIT</v>
      </c>
      <c r="C9" s="60" t="str">
        <f>TRIM(CONCATENATE('ADJ DETAIL INPUT'!F$7," ",'ADJ DETAIL INPUT'!F$8," ",'ADJ DETAIL INPUT'!F$9))</f>
        <v>Deferred FIT Rate Base</v>
      </c>
      <c r="D9" s="160">
        <f>'ADJ DETAIL INPUT'!F$58</f>
        <v>-7.149051</v>
      </c>
      <c r="E9" s="160">
        <f>'ADJ DETAIL INPUT'!F$81</f>
        <v>-1247</v>
      </c>
      <c r="H9" s="607" t="s">
        <v>128</v>
      </c>
      <c r="I9" s="693" t="s">
        <v>538</v>
      </c>
      <c r="J9" s="123"/>
      <c r="K9" s="463"/>
      <c r="L9" s="463"/>
      <c r="M9" s="463"/>
    </row>
    <row r="10" spans="1:13">
      <c r="A10" s="416">
        <f>'ADJ DETAIL INPUT'!G$10</f>
        <v>1.02</v>
      </c>
      <c r="B10" s="288" t="str">
        <f>'ADJ DETAIL INPUT'!G$11</f>
        <v>G-DDC</v>
      </c>
      <c r="C10" s="60" t="str">
        <f>TRIM(CONCATENATE('ADJ DETAIL INPUT'!G$7," ",'ADJ DETAIL INPUT'!G$8," ",'ADJ DETAIL INPUT'!G$9))</f>
        <v>Deferred Debits and Credits</v>
      </c>
      <c r="D10" s="160">
        <f>'ADJ DETAIL INPUT'!G$58</f>
        <v>-7.940131</v>
      </c>
      <c r="E10" s="160">
        <f>'ADJ DETAIL INPUT'!G$81</f>
        <v>-7</v>
      </c>
      <c r="H10" s="607" t="s">
        <v>471</v>
      </c>
      <c r="I10" s="697" t="s">
        <v>538</v>
      </c>
      <c r="J10" s="123"/>
      <c r="K10" s="463"/>
      <c r="L10" s="463"/>
      <c r="M10" s="463"/>
    </row>
    <row r="11" spans="1:13">
      <c r="A11" s="416">
        <f>'ADJ DETAIL INPUT'!H$10</f>
        <v>1.03</v>
      </c>
      <c r="B11" s="288" t="str">
        <f>'ADJ DETAIL INPUT'!H$11</f>
        <v>G-WC</v>
      </c>
      <c r="C11" s="60" t="str">
        <f>TRIM(CONCATENATE('ADJ DETAIL INPUT'!H$7," ",'ADJ DETAIL INPUT'!H$8," ",'ADJ DETAIL INPUT'!H$9))</f>
        <v>Working Capital</v>
      </c>
      <c r="D11" s="160">
        <f>'ADJ DETAIL INPUT'!H$58</f>
        <v>0</v>
      </c>
      <c r="E11" s="160">
        <f>'ADJ DETAIL INPUT'!H$81</f>
        <v>0</v>
      </c>
      <c r="H11" s="607" t="s">
        <v>128</v>
      </c>
      <c r="I11" s="693" t="s">
        <v>538</v>
      </c>
      <c r="J11" s="52"/>
    </row>
    <row r="12" spans="1:13" s="460" customFormat="1">
      <c r="A12" s="466">
        <f>'ADJ DETAIL INPUT'!I$10</f>
        <v>1.04</v>
      </c>
      <c r="B12" s="467" t="str">
        <f>'ADJ DETAIL INPUT'!I$11</f>
        <v>G-AMI</v>
      </c>
      <c r="C12" s="433" t="str">
        <f>TRIM(CONCATENATE('ADJ DETAIL INPUT'!I$7," ",'ADJ DETAIL INPUT'!I$8," ",'ADJ DETAIL INPUT'!I$9))</f>
        <v>Remove AMI Rate Base</v>
      </c>
      <c r="D12" s="462">
        <f>'ADJ DETAIL INPUT'!I$58</f>
        <v>-34.615853999999999</v>
      </c>
      <c r="E12" s="462">
        <f>'ADJ DETAIL INPUT'!I$81</f>
        <v>-6038</v>
      </c>
      <c r="F12" s="521"/>
      <c r="G12" s="607"/>
      <c r="H12" s="607" t="s">
        <v>128</v>
      </c>
      <c r="I12" s="693" t="s">
        <v>538</v>
      </c>
      <c r="J12" s="432"/>
    </row>
    <row r="13" spans="1:13">
      <c r="A13" s="416">
        <f>'ADJ DETAIL INPUT'!J$10</f>
        <v>2.0099999999999998</v>
      </c>
      <c r="B13" s="288" t="str">
        <f>'ADJ DETAIL INPUT'!J$11</f>
        <v>G-EBO</v>
      </c>
      <c r="C13" s="60" t="str">
        <f>TRIM(CONCATENATE('ADJ DETAIL INPUT'!J$7," ",'ADJ DETAIL INPUT'!J$8," ",'ADJ DETAIL INPUT'!J$9))</f>
        <v>Eliminate B &amp; O Taxes</v>
      </c>
      <c r="D13" s="160">
        <f>'ADJ DETAIL INPUT'!J$58</f>
        <v>-11.06</v>
      </c>
      <c r="E13" s="160">
        <f>'ADJ DETAIL INPUT'!J$81</f>
        <v>0</v>
      </c>
      <c r="H13" s="607" t="s">
        <v>455</v>
      </c>
      <c r="I13" s="693" t="s">
        <v>538</v>
      </c>
      <c r="J13" s="52"/>
    </row>
    <row r="14" spans="1:13">
      <c r="A14" s="416">
        <f>'ADJ DETAIL INPUT'!K$10</f>
        <v>2.0199999999999996</v>
      </c>
      <c r="B14" s="288" t="str">
        <f>'ADJ DETAIL INPUT'!K$11</f>
        <v>G-RPT</v>
      </c>
      <c r="C14" s="60" t="str">
        <f>TRIM(CONCATENATE('ADJ DETAIL INPUT'!K$7," ",'ADJ DETAIL INPUT'!K$8," ",'ADJ DETAIL INPUT'!K$9))</f>
        <v>Restate Property Tax</v>
      </c>
      <c r="D14" s="160">
        <f>'ADJ DETAIL INPUT'!K$58</f>
        <v>-1.58</v>
      </c>
      <c r="E14" s="160">
        <f>'ADJ DETAIL INPUT'!K$81</f>
        <v>0</v>
      </c>
      <c r="H14" s="607" t="s">
        <v>128</v>
      </c>
      <c r="I14" s="693" t="s">
        <v>538</v>
      </c>
      <c r="J14" s="52"/>
    </row>
    <row r="15" spans="1:13">
      <c r="A15" s="416">
        <f>'ADJ DETAIL INPUT'!L$10</f>
        <v>2.0299999999999994</v>
      </c>
      <c r="B15" s="288" t="str">
        <f>'ADJ DETAIL INPUT'!L$11</f>
        <v>G-UE</v>
      </c>
      <c r="C15" s="60" t="str">
        <f>TRIM(CONCATENATE('ADJ DETAIL INPUT'!L$7," ",'ADJ DETAIL INPUT'!L$8," ",'ADJ DETAIL INPUT'!L$9))</f>
        <v>Uncollectible Expense</v>
      </c>
      <c r="D15" s="160">
        <f>'ADJ DETAIL INPUT'!L$58</f>
        <v>252.8</v>
      </c>
      <c r="E15" s="160">
        <f>'ADJ DETAIL INPUT'!L$81</f>
        <v>0</v>
      </c>
      <c r="H15" s="607" t="s">
        <v>471</v>
      </c>
      <c r="I15" s="694" t="s">
        <v>538</v>
      </c>
      <c r="J15" s="52"/>
    </row>
    <row r="16" spans="1:13">
      <c r="A16" s="416">
        <f>'ADJ DETAIL INPUT'!M$10</f>
        <v>2.0399999999999991</v>
      </c>
      <c r="B16" s="288" t="str">
        <f>'ADJ DETAIL INPUT'!M$11</f>
        <v>G-RE</v>
      </c>
      <c r="C16" s="60" t="str">
        <f>TRIM(CONCATENATE('ADJ DETAIL INPUT'!M$7," ",'ADJ DETAIL INPUT'!M$8," ",'ADJ DETAIL INPUT'!M$9))</f>
        <v>Regulatory Expense</v>
      </c>
      <c r="D16" s="160">
        <f>'ADJ DETAIL INPUT'!M$58</f>
        <v>39.5</v>
      </c>
      <c r="E16" s="160">
        <f>'ADJ DETAIL INPUT'!M$81</f>
        <v>0</v>
      </c>
      <c r="H16" s="607" t="s">
        <v>471</v>
      </c>
      <c r="I16" s="695" t="s">
        <v>538</v>
      </c>
      <c r="J16" s="52"/>
    </row>
    <row r="17" spans="1:14">
      <c r="A17" s="416">
        <f>'ADJ DETAIL INPUT'!N$10</f>
        <v>2.0499999999999989</v>
      </c>
      <c r="B17" s="288" t="str">
        <f>'ADJ DETAIL INPUT'!N$11</f>
        <v>G-ID</v>
      </c>
      <c r="C17" s="60" t="str">
        <f>TRIM(CONCATENATE('ADJ DETAIL INPUT'!N$7," ",'ADJ DETAIL INPUT'!N$8," ",'ADJ DETAIL INPUT'!N$9))</f>
        <v>Injuries &amp; Damages</v>
      </c>
      <c r="D17" s="160">
        <f>'ADJ DETAIL INPUT'!N$58</f>
        <v>-2.37</v>
      </c>
      <c r="E17" s="160">
        <f>'ADJ DETAIL INPUT'!N$81</f>
        <v>0</v>
      </c>
      <c r="H17" s="607" t="s">
        <v>471</v>
      </c>
      <c r="I17" s="695" t="s">
        <v>538</v>
      </c>
      <c r="J17" s="52"/>
    </row>
    <row r="18" spans="1:14">
      <c r="A18" s="416">
        <f>'ADJ DETAIL INPUT'!O$10</f>
        <v>2.0599999999999987</v>
      </c>
      <c r="B18" s="288" t="str">
        <f>'ADJ DETAIL INPUT'!O$11</f>
        <v>G-FIT</v>
      </c>
      <c r="C18" s="60" t="str">
        <f>TRIM(CONCATENATE('ADJ DETAIL INPUT'!O$7," ",'ADJ DETAIL INPUT'!O$8," ",'ADJ DETAIL INPUT'!O$9))</f>
        <v>FIT / DFIT Expense</v>
      </c>
      <c r="D18" s="417">
        <f>'ADJ DETAIL INPUT'!O$58</f>
        <v>0</v>
      </c>
      <c r="E18" s="160">
        <f>'ADJ DETAIL INPUT'!O$81</f>
        <v>0</v>
      </c>
      <c r="H18" s="607" t="s">
        <v>455</v>
      </c>
      <c r="I18" s="693" t="s">
        <v>538</v>
      </c>
      <c r="J18" s="52"/>
    </row>
    <row r="19" spans="1:14">
      <c r="A19" s="416">
        <f>'ADJ DETAIL INPUT'!P$10</f>
        <v>2.0699999999999985</v>
      </c>
      <c r="B19" s="288" t="str">
        <f>'ADJ DETAIL INPUT'!P$11</f>
        <v>G-OSC</v>
      </c>
      <c r="C19" s="60" t="str">
        <f>TRIM(CONCATENATE('ADJ DETAIL INPUT'!P$7," ",'ADJ DETAIL INPUT'!P$8," ",'ADJ DETAIL INPUT'!P$9))</f>
        <v>Office Space Charges to Non-Utility</v>
      </c>
      <c r="D19" s="160">
        <f>'ADJ DETAIL INPUT'!P$58</f>
        <v>13.43</v>
      </c>
      <c r="E19" s="160">
        <f>'ADJ DETAIL INPUT'!P$81</f>
        <v>0</v>
      </c>
      <c r="H19" s="607" t="s">
        <v>471</v>
      </c>
      <c r="I19" s="695" t="s">
        <v>538</v>
      </c>
      <c r="J19" s="52"/>
    </row>
    <row r="20" spans="1:14">
      <c r="A20" s="416">
        <f>'ADJ DETAIL INPUT'!Q$10</f>
        <v>2.0799999999999983</v>
      </c>
      <c r="B20" s="288" t="str">
        <f>'ADJ DETAIL INPUT'!Q$11</f>
        <v>G-RET</v>
      </c>
      <c r="C20" s="60" t="str">
        <f>TRIM(CONCATENATE('ADJ DETAIL INPUT'!Q$7," ",'ADJ DETAIL INPUT'!Q$8," ",'ADJ DETAIL INPUT'!Q$9))</f>
        <v>Restate Excise Taxes</v>
      </c>
      <c r="D20" s="160">
        <f>'ADJ DETAIL INPUT'!Q$58</f>
        <v>0</v>
      </c>
      <c r="E20" s="160">
        <f>'ADJ DETAIL INPUT'!Q$81</f>
        <v>0</v>
      </c>
      <c r="H20" s="607" t="s">
        <v>455</v>
      </c>
      <c r="I20" s="695" t="s">
        <v>538</v>
      </c>
      <c r="J20" s="52"/>
    </row>
    <row r="21" spans="1:14">
      <c r="A21" s="416">
        <f>'ADJ DETAIL INPUT'!R$10</f>
        <v>2.0899999999999981</v>
      </c>
      <c r="B21" s="288" t="str">
        <f>'ADJ DETAIL INPUT'!R$11</f>
        <v>G-NGL</v>
      </c>
      <c r="C21" s="60" t="str">
        <f>TRIM(CONCATENATE('ADJ DETAIL INPUT'!R$7," ",'ADJ DETAIL INPUT'!R$8," ",'ADJ DETAIL INPUT'!R$9))</f>
        <v>Net Gains &amp; Losses</v>
      </c>
      <c r="D21" s="160">
        <f>'ADJ DETAIL INPUT'!R$58</f>
        <v>10.27</v>
      </c>
      <c r="E21" s="160">
        <f>'ADJ DETAIL INPUT'!R$81</f>
        <v>0</v>
      </c>
      <c r="H21" s="607" t="s">
        <v>471</v>
      </c>
      <c r="I21" s="695" t="s">
        <v>538</v>
      </c>
      <c r="J21" s="52"/>
    </row>
    <row r="22" spans="1:14">
      <c r="A22" s="416">
        <f>'ADJ DETAIL INPUT'!S$10</f>
        <v>2.0999999999999979</v>
      </c>
      <c r="B22" s="288" t="str">
        <f>'ADJ DETAIL INPUT'!S$11</f>
        <v>G-WNGC</v>
      </c>
      <c r="C22" s="60" t="str">
        <f>TRIM(CONCATENATE('ADJ DETAIL INPUT'!S$7," ",'ADJ DETAIL INPUT'!S$8," ",'ADJ DETAIL INPUT'!S$9))</f>
        <v>Weather Normalization / Gas Cost Adjust</v>
      </c>
      <c r="D22" s="160">
        <f>'ADJ DETAIL INPUT'!S$58</f>
        <v>4.74</v>
      </c>
      <c r="E22" s="160">
        <f>'ADJ DETAIL INPUT'!S$81</f>
        <v>0</v>
      </c>
      <c r="H22" s="607" t="s">
        <v>455</v>
      </c>
      <c r="I22" s="693" t="s">
        <v>538</v>
      </c>
      <c r="J22" s="52"/>
    </row>
    <row r="23" spans="1:14" s="428" customFormat="1">
      <c r="A23" s="443">
        <f>'ADJ DETAIL INPUT'!T$10</f>
        <v>2.1099999999999977</v>
      </c>
      <c r="B23" s="444" t="str">
        <f>'ADJ DETAIL INPUT'!T$11</f>
        <v>G-EAS</v>
      </c>
      <c r="C23" s="433" t="str">
        <f>TRIM(CONCATENATE('ADJ DETAIL INPUT'!T$7," ",'ADJ DETAIL INPUT'!T$8," ",'ADJ DETAIL INPUT'!T$9))</f>
        <v>Eliminate Adder Schedules</v>
      </c>
      <c r="D23" s="434">
        <f>'ADJ DETAIL INPUT'!T$58</f>
        <v>-9.0000000000031832E-2</v>
      </c>
      <c r="E23" s="434">
        <f>'ADJ DETAIL INPUT'!T$81</f>
        <v>0</v>
      </c>
      <c r="F23" s="430"/>
      <c r="G23" s="607"/>
      <c r="H23" s="607" t="s">
        <v>535</v>
      </c>
      <c r="I23" s="693" t="s">
        <v>538</v>
      </c>
      <c r="J23" s="432"/>
    </row>
    <row r="24" spans="1:14" s="124" customFormat="1">
      <c r="A24" s="416">
        <f>'ADJ DETAIL INPUT'!U$10</f>
        <v>2.1199999999999974</v>
      </c>
      <c r="B24" s="288" t="str">
        <f>'ADJ DETAIL INPUT'!U$11</f>
        <v>G-MR</v>
      </c>
      <c r="C24" s="418" t="str">
        <f>TRIM(CONCATENATE('ADJ DETAIL INPUT'!U$7," ",'ADJ DETAIL INPUT'!U$8," ",'ADJ DETAIL INPUT'!U$9))</f>
        <v>Misc. Restating Non-Util / Non- Recurring Expense</v>
      </c>
      <c r="D24" s="417">
        <f>'ADJ DETAIL INPUT'!U$58</f>
        <v>390.26</v>
      </c>
      <c r="E24" s="417">
        <f>'ADJ DETAIL INPUT'!U$81</f>
        <v>0</v>
      </c>
      <c r="F24" s="62"/>
      <c r="H24" s="607" t="s">
        <v>471</v>
      </c>
      <c r="I24" s="698" t="s">
        <v>538</v>
      </c>
      <c r="J24" s="123"/>
    </row>
    <row r="25" spans="1:14" s="460" customFormat="1" ht="13.5" customHeight="1">
      <c r="A25" s="466">
        <f>'ADJ DETAIL INPUT'!V$10</f>
        <v>2.1299999999999972</v>
      </c>
      <c r="B25" s="467" t="str">
        <f>'ADJ DETAIL INPUT'!V$11</f>
        <v>G-RI</v>
      </c>
      <c r="C25" s="433" t="str">
        <f>TRIM(CONCATENATE('ADJ DETAIL INPUT'!V$7," ",'ADJ DETAIL INPUT'!V$8," ",'ADJ DETAIL INPUT'!V$9))</f>
        <v>Restating Incentives Expense</v>
      </c>
      <c r="D25" s="462">
        <f>'ADJ DETAIL INPUT'!V$58</f>
        <v>555.37</v>
      </c>
      <c r="E25" s="462">
        <f>'ADJ DETAIL INPUT'!V$81</f>
        <v>0</v>
      </c>
      <c r="F25" s="512"/>
      <c r="H25" s="607" t="s">
        <v>238</v>
      </c>
      <c r="I25" s="695" t="s">
        <v>538</v>
      </c>
      <c r="J25" s="432"/>
    </row>
    <row r="26" spans="1:14" s="124" customFormat="1" ht="13.5" customHeight="1">
      <c r="A26" s="416">
        <f>'ADJ DETAIL INPUT'!W$10</f>
        <v>2.139999999999997</v>
      </c>
      <c r="B26" s="288" t="str">
        <f>'ADJ DETAIL INPUT'!W$11</f>
        <v>G-DI</v>
      </c>
      <c r="C26" s="418" t="str">
        <f>TRIM(CONCATENATE('ADJ DETAIL INPUT'!W$7," ",'ADJ DETAIL INPUT'!W$8," ",'ADJ DETAIL INPUT'!W$9))</f>
        <v>Restate Debt Interest</v>
      </c>
      <c r="D26" s="417">
        <f>'ADJ DETAIL INPUT'!W$58</f>
        <v>-132</v>
      </c>
      <c r="E26" s="417">
        <f>'ADJ DETAIL INPUT'!W$81</f>
        <v>0</v>
      </c>
      <c r="F26" s="62"/>
      <c r="G26" s="607"/>
      <c r="H26" s="607" t="s">
        <v>128</v>
      </c>
      <c r="I26" s="722" t="s">
        <v>538</v>
      </c>
    </row>
    <row r="27" spans="1:14" s="463" customFormat="1" ht="13.5" customHeight="1">
      <c r="A27" s="466">
        <f>'ADJ DETAIL INPUT'!X$10</f>
        <v>2.1499999999999968</v>
      </c>
      <c r="B27" s="467" t="str">
        <f>'ADJ DETAIL INPUT'!X$11</f>
        <v>G-EOP18</v>
      </c>
      <c r="C27" s="465" t="str">
        <f>TRIM(CONCATENATE('ADJ DETAIL INPUT'!X$7," ",'ADJ DETAIL INPUT'!X$8," ",'ADJ DETAIL INPUT'!X$9))</f>
        <v>Restate 2018 AMA Rate Base to EOP</v>
      </c>
      <c r="D27" s="417">
        <f>'ADJ DETAIL INPUT'!X$58</f>
        <v>-1056.080357</v>
      </c>
      <c r="E27" s="417">
        <f>'ADJ DETAIL INPUT'!X$81</f>
        <v>32271</v>
      </c>
      <c r="F27" s="62"/>
      <c r="H27" s="607" t="s">
        <v>437</v>
      </c>
      <c r="I27" s="693" t="s">
        <v>538</v>
      </c>
      <c r="N27" s="463" t="s">
        <v>111</v>
      </c>
    </row>
    <row r="28" spans="1:14" ht="13.5" thickBot="1">
      <c r="A28" s="219"/>
      <c r="B28" s="287"/>
      <c r="C28" s="36" t="s">
        <v>75</v>
      </c>
      <c r="D28" s="63">
        <f>SUM(D8:D27)</f>
        <v>24627.484606999999</v>
      </c>
      <c r="E28" s="63">
        <f>SUM(E8:E27)</f>
        <v>373637</v>
      </c>
      <c r="F28" s="505">
        <f>D28/E28</f>
        <v>6.5912863573468358E-2</v>
      </c>
      <c r="H28" s="510"/>
      <c r="I28" s="49"/>
      <c r="J28" s="505"/>
    </row>
    <row r="29" spans="1:14" ht="13.5" customHeight="1" thickTop="1">
      <c r="A29" s="159" t="s">
        <v>432</v>
      </c>
      <c r="B29" s="288"/>
      <c r="D29" s="60"/>
      <c r="H29" s="510"/>
      <c r="I29" s="49"/>
      <c r="J29" s="52"/>
    </row>
    <row r="30" spans="1:14" s="428" customFormat="1">
      <c r="A30" s="443">
        <f>'ADJ DETAIL INPUT'!AA$10</f>
        <v>3.01</v>
      </c>
      <c r="B30" s="444" t="str">
        <f>'ADJ DETAIL INPUT'!AA$11</f>
        <v>G-PREV</v>
      </c>
      <c r="C30" s="441" t="str">
        <f>TRIM(CONCATENATE('ADJ DETAIL INPUT'!AA$7," ",'ADJ DETAIL INPUT'!AA$8," ",'ADJ DETAIL INPUT'!AA$9))</f>
        <v>Pro Forma Revenue Normalization</v>
      </c>
      <c r="D30" s="434">
        <f>'ADJ DETAIL INPUT'!AA$58</f>
        <v>403.69</v>
      </c>
      <c r="E30" s="434">
        <f>'ADJ DETAIL INPUT'!AA$81</f>
        <v>0</v>
      </c>
      <c r="F30" s="513"/>
      <c r="G30" s="607"/>
      <c r="H30" s="607" t="s">
        <v>536</v>
      </c>
      <c r="I30" s="695" t="s">
        <v>538</v>
      </c>
      <c r="J30" s="460"/>
      <c r="K30" s="437"/>
    </row>
    <row r="31" spans="1:14" s="460" customFormat="1">
      <c r="A31" s="466">
        <f>'ADJ DETAIL INPUT'!AB$10</f>
        <v>3.0199999999999996</v>
      </c>
      <c r="B31" s="467" t="str">
        <f>'ADJ DETAIL INPUT'!AB$11</f>
        <v>G-PLEAP</v>
      </c>
      <c r="C31" s="465" t="str">
        <f>TRIM(CONCATENATE('ADJ DETAIL INPUT'!AB$7," ",'ADJ DETAIL INPUT'!AB$8," ",'ADJ DETAIL INPUT'!AB$9))</f>
        <v>Pro Forma LEAP Deferral Amortization</v>
      </c>
      <c r="D31" s="462">
        <f>'ADJ DETAIL INPUT'!AB$58</f>
        <v>-1378.005365</v>
      </c>
      <c r="E31" s="462">
        <f>'ADJ DETAIL INPUT'!AB$81</f>
        <v>95</v>
      </c>
      <c r="F31" s="500"/>
      <c r="G31" s="607"/>
      <c r="H31" s="607" t="s">
        <v>455</v>
      </c>
      <c r="I31" s="700" t="s">
        <v>538</v>
      </c>
      <c r="J31" s="123"/>
      <c r="K31" s="463"/>
    </row>
    <row r="32" spans="1:14">
      <c r="A32" s="416">
        <f>'ADJ DETAIL INPUT'!AC$10</f>
        <v>3.0299999999999994</v>
      </c>
      <c r="B32" s="288" t="str">
        <f>'ADJ DETAIL INPUT'!AC$11</f>
        <v>G-PLN</v>
      </c>
      <c r="C32" s="60" t="str">
        <f>TRIM(CONCATENATE('ADJ DETAIL INPUT'!AC$7," ",'ADJ DETAIL INPUT'!AC$8," ",'ADJ DETAIL INPUT'!AC$9))</f>
        <v>Pro Forma Labor Non-Exec</v>
      </c>
      <c r="D32" s="160">
        <f>'ADJ DETAIL INPUT'!AC$58</f>
        <v>-396.58</v>
      </c>
      <c r="E32" s="160">
        <f>'ADJ DETAIL INPUT'!AC$81</f>
        <v>0</v>
      </c>
      <c r="H32" s="607" t="s">
        <v>238</v>
      </c>
      <c r="I32" s="697" t="s">
        <v>538</v>
      </c>
      <c r="J32" s="52"/>
    </row>
    <row r="33" spans="1:11" ht="13.5" customHeight="1">
      <c r="A33" s="416">
        <f>'ADJ DETAIL INPUT'!AD$10</f>
        <v>3.0399999999999991</v>
      </c>
      <c r="B33" s="288" t="str">
        <f>'ADJ DETAIL INPUT'!AD$11</f>
        <v>G-PLE</v>
      </c>
      <c r="C33" s="60" t="str">
        <f>TRIM(CONCATENATE('ADJ DETAIL INPUT'!AD$7," ",'ADJ DETAIL INPUT'!AD$8," ",'ADJ DETAIL INPUT'!AD$9))</f>
        <v>Pro Forma Labor Exec</v>
      </c>
      <c r="D33" s="160">
        <f>'ADJ DETAIL INPUT'!AD$58</f>
        <v>-21.33</v>
      </c>
      <c r="E33" s="160">
        <f>'ADJ DETAIL INPUT'!AD$81</f>
        <v>0</v>
      </c>
      <c r="H33" s="607" t="s">
        <v>238</v>
      </c>
      <c r="I33" s="697" t="s">
        <v>538</v>
      </c>
      <c r="J33" s="52"/>
    </row>
    <row r="34" spans="1:11">
      <c r="A34" s="416">
        <f>'ADJ DETAIL INPUT'!AE$10</f>
        <v>3.0499999999999989</v>
      </c>
      <c r="B34" s="288" t="str">
        <f>'ADJ DETAIL INPUT'!AE$11</f>
        <v>G-PEB</v>
      </c>
      <c r="C34" s="60" t="str">
        <f>TRIM(CONCATENATE('ADJ DETAIL INPUT'!AE$7," ",'ADJ DETAIL INPUT'!AE$8," ",'ADJ DETAIL INPUT'!AE$9))</f>
        <v>Pro Forma Employee Benefits</v>
      </c>
      <c r="D34" s="160">
        <f>'ADJ DETAIL INPUT'!AE$58</f>
        <v>-255.17000000000002</v>
      </c>
      <c r="E34" s="160">
        <f>'ADJ DETAIL INPUT'!AE$81</f>
        <v>0</v>
      </c>
      <c r="H34" s="607" t="s">
        <v>238</v>
      </c>
      <c r="I34" s="697" t="s">
        <v>538</v>
      </c>
      <c r="J34" s="52"/>
    </row>
    <row r="35" spans="1:11" s="124" customFormat="1" ht="14.25" customHeight="1">
      <c r="A35" s="416">
        <f>'ADJ DETAIL INPUT'!AF$10</f>
        <v>3.0599999999999987</v>
      </c>
      <c r="B35" s="288" t="str">
        <f>'ADJ DETAIL INPUT'!AF$11</f>
        <v>G-PINS</v>
      </c>
      <c r="C35" s="418" t="str">
        <f>TRIM(CONCATENATE('ADJ DETAIL INPUT'!AF$7," ",'ADJ DETAIL INPUT'!AF$8," ",'ADJ DETAIL INPUT'!AF$9))</f>
        <v>Pro Forma Insurance Expense</v>
      </c>
      <c r="D35" s="417">
        <f>'ADJ DETAIL INPUT'!AF$58</f>
        <v>33.97</v>
      </c>
      <c r="E35" s="417">
        <f>'ADJ DETAIL INPUT'!AF$81</f>
        <v>0</v>
      </c>
      <c r="F35" s="62"/>
      <c r="H35" s="607" t="s">
        <v>472</v>
      </c>
      <c r="I35" s="700" t="s">
        <v>538</v>
      </c>
      <c r="J35" s="123"/>
    </row>
    <row r="36" spans="1:11" s="460" customFormat="1">
      <c r="A36" s="466">
        <f>'ADJ DETAIL INPUT'!AG$10</f>
        <v>3.0699999999999985</v>
      </c>
      <c r="B36" s="467" t="str">
        <f>'ADJ DETAIL INPUT'!AG$11</f>
        <v>G-PIT</v>
      </c>
      <c r="C36" s="465" t="str">
        <f>TRIM(CONCATENATE('ADJ DETAIL INPUT'!AG$7," ",'ADJ DETAIL INPUT'!AG$8," ",'ADJ DETAIL INPUT'!AG$9))</f>
        <v>Pro Forma IS/IT Expense</v>
      </c>
      <c r="D36" s="462">
        <f>'ADJ DETAIL INPUT'!AG$58</f>
        <v>-190.39</v>
      </c>
      <c r="E36" s="462">
        <f>'ADJ DETAIL INPUT'!AG$81</f>
        <v>0</v>
      </c>
      <c r="F36" s="461"/>
      <c r="H36" s="607" t="s">
        <v>472</v>
      </c>
      <c r="I36" s="701" t="s">
        <v>538</v>
      </c>
      <c r="J36" s="123"/>
      <c r="K36" s="463"/>
    </row>
    <row r="37" spans="1:11">
      <c r="A37" s="416">
        <f>'ADJ DETAIL INPUT'!AH$10</f>
        <v>3.0799999999999983</v>
      </c>
      <c r="B37" s="288" t="str">
        <f>'ADJ DETAIL INPUT'!AH$11</f>
        <v>G-PPT</v>
      </c>
      <c r="C37" s="60" t="str">
        <f>TRIM(CONCATENATE('ADJ DETAIL INPUT'!AH$7," ",'ADJ DETAIL INPUT'!AH$8," ",'ADJ DETAIL INPUT'!AH$9))</f>
        <v>Pro Forma Property Tax</v>
      </c>
      <c r="D37" s="160">
        <f>'ADJ DETAIL INPUT'!AH$58</f>
        <v>-167.48000000000002</v>
      </c>
      <c r="E37" s="160">
        <f>'ADJ DETAIL INPUT'!AH$81</f>
        <v>0</v>
      </c>
      <c r="H37" s="607" t="s">
        <v>128</v>
      </c>
      <c r="I37" s="697" t="s">
        <v>538</v>
      </c>
      <c r="J37" s="123"/>
      <c r="K37" s="124"/>
    </row>
    <row r="38" spans="1:11" s="460" customFormat="1">
      <c r="A38" s="466">
        <f>'ADJ DETAIL INPUT'!AI$10</f>
        <v>3.0899999999999981</v>
      </c>
      <c r="B38" s="467" t="str">
        <f>'ADJ DETAIL INPUT'!AI$11</f>
        <v>G-PDEP</v>
      </c>
      <c r="C38" s="465" t="str">
        <f>TRIM(CONCATENATE('ADJ DETAIL INPUT'!AI$7," ",'ADJ DETAIL INPUT'!AI$8," ",'ADJ DETAIL INPUT'!AI$9))</f>
        <v>Pro Forma Depreciation Expense</v>
      </c>
      <c r="D38" s="462">
        <f>'ADJ DETAIL INPUT'!AI$58</f>
        <v>1199.22</v>
      </c>
      <c r="E38" s="462">
        <f>'ADJ DETAIL INPUT'!AI$81</f>
        <v>0</v>
      </c>
      <c r="F38" s="461"/>
      <c r="G38" s="610"/>
      <c r="H38" s="610" t="s">
        <v>160</v>
      </c>
      <c r="I38" s="697" t="s">
        <v>538</v>
      </c>
      <c r="J38" s="123"/>
      <c r="K38" s="463"/>
    </row>
    <row r="39" spans="1:11" s="460" customFormat="1">
      <c r="A39" s="466">
        <f>'ADJ DETAIL INPUT'!AJ$10</f>
        <v>3.0999999999999979</v>
      </c>
      <c r="B39" s="467" t="str">
        <f>'ADJ DETAIL INPUT'!AJ$11</f>
        <v>G-PCAP</v>
      </c>
      <c r="C39" s="465" t="str">
        <f>TRIM(CONCATENATE('ADJ DETAIL INPUT'!AJ$7," ",'ADJ DETAIL INPUT'!AJ$8," ",'ADJ DETAIL INPUT'!AJ$9))</f>
        <v>Pro Forma 2019 Major Capital Adds</v>
      </c>
      <c r="D39" s="462">
        <f>'ADJ DETAIL INPUT'!AJ$58</f>
        <v>0</v>
      </c>
      <c r="E39" s="462">
        <f>'ADJ DETAIL INPUT'!AJ$81</f>
        <v>0</v>
      </c>
      <c r="F39" s="461"/>
      <c r="G39" s="610"/>
      <c r="H39" s="610" t="s">
        <v>160</v>
      </c>
      <c r="I39" s="697" t="s">
        <v>538</v>
      </c>
      <c r="J39" s="123"/>
      <c r="K39" s="463"/>
    </row>
    <row r="40" spans="1:11" s="460" customFormat="1">
      <c r="A40" s="466">
        <f>'ADJ DETAIL INPUT'!AK$10</f>
        <v>3.1099999999999977</v>
      </c>
      <c r="B40" s="467" t="str">
        <f>'ADJ DETAIL INPUT'!AK$11</f>
        <v>G-POFF</v>
      </c>
      <c r="C40" s="465" t="str">
        <f>TRIM(CONCATENATE('ADJ DETAIL INPUT'!AK$7," ",'ADJ DETAIL INPUT'!AK$8," ",'ADJ DETAIL INPUT'!AK$9))</f>
        <v>Pro Forma O&amp;M Offsets</v>
      </c>
      <c r="D40" s="462">
        <f>'ADJ DETAIL INPUT'!AK$58</f>
        <v>0</v>
      </c>
      <c r="E40" s="462">
        <f>'ADJ DETAIL INPUT'!AK$81</f>
        <v>0</v>
      </c>
      <c r="F40" s="461"/>
      <c r="G40" s="610"/>
      <c r="H40" s="610" t="s">
        <v>437</v>
      </c>
      <c r="I40" s="701" t="s">
        <v>538</v>
      </c>
      <c r="J40" s="123"/>
      <c r="K40" s="463"/>
    </row>
    <row r="41" spans="1:11" s="460" customFormat="1">
      <c r="A41" s="466">
        <f>'ADJ DETAIL INPUT'!AL$10</f>
        <v>3.1199999999999974</v>
      </c>
      <c r="B41" s="467" t="str">
        <f>'ADJ DETAIL INPUT'!AL$11</f>
        <v>G-PFEE</v>
      </c>
      <c r="C41" s="465" t="str">
        <f>TRIM(CONCATENATE('ADJ DETAIL INPUT'!AL$7," ",'ADJ DETAIL INPUT'!AL$8," ",'ADJ DETAIL INPUT'!AL$9))</f>
        <v>Pro Forma Fee Free Amortization</v>
      </c>
      <c r="D41" s="462">
        <f>'ADJ DETAIL INPUT'!AL$58</f>
        <v>-684.93000000000006</v>
      </c>
      <c r="E41" s="462">
        <f>'ADJ DETAIL INPUT'!AL$81</f>
        <v>0</v>
      </c>
      <c r="F41" s="514"/>
      <c r="H41" s="607" t="s">
        <v>472</v>
      </c>
      <c r="I41" s="722" t="s">
        <v>538</v>
      </c>
      <c r="J41" s="123"/>
      <c r="K41" s="463"/>
    </row>
    <row r="42" spans="1:11" s="460" customFormat="1" hidden="1">
      <c r="A42" s="466">
        <f>'ADJ DETAIL INPUT'!AM$10</f>
        <v>3.1299999999999972</v>
      </c>
      <c r="B42" s="467" t="str">
        <f>'ADJ DETAIL INPUT'!AM$11</f>
        <v>G-P</v>
      </c>
      <c r="C42" s="465" t="str">
        <f>TRIM(CONCATENATE('ADJ DETAIL INPUT'!AM$7," ",'ADJ DETAIL INPUT'!AM$8," ",'ADJ DETAIL INPUT'!AM$9))</f>
        <v>Pro Forma Open</v>
      </c>
      <c r="D42" s="462">
        <f>'ADJ DETAIL INPUT'!AM$58</f>
        <v>0</v>
      </c>
      <c r="E42" s="462">
        <f>'ADJ DETAIL INPUT'!AM$81</f>
        <v>0</v>
      </c>
      <c r="F42" s="461"/>
      <c r="G42" s="607"/>
      <c r="H42" s="509"/>
      <c r="I42" s="515"/>
      <c r="K42" s="463"/>
    </row>
    <row r="43" spans="1:11" s="460" customFormat="1" ht="13.5" thickBot="1">
      <c r="A43" s="466"/>
      <c r="B43" s="467"/>
      <c r="C43" s="460" t="s">
        <v>123</v>
      </c>
      <c r="D43" s="63">
        <f>SUM(D28:D41)</f>
        <v>23170.479241999998</v>
      </c>
      <c r="E43" s="63">
        <f>SUM(E28:E41)</f>
        <v>373732</v>
      </c>
      <c r="F43" s="505">
        <f>D43/E43</f>
        <v>6.1997579126218783E-2</v>
      </c>
      <c r="G43" s="607"/>
      <c r="H43" s="509"/>
      <c r="J43" s="123"/>
      <c r="K43" s="463"/>
    </row>
    <row r="44" spans="1:11" ht="13.5" thickTop="1"/>
    <row r="45" spans="1:11">
      <c r="C45" s="36" t="s">
        <v>141</v>
      </c>
      <c r="H45" s="607" t="s">
        <v>471</v>
      </c>
      <c r="I45" s="695" t="s">
        <v>538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8" orientation="portrait" r:id="rId3"/>
  <headerFooter alignWithMargins="0">
    <oddHeader>&amp;RExh. EMA-3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56"/>
  <sheetViews>
    <sheetView workbookViewId="0">
      <selection activeCell="E52" sqref="E52"/>
    </sheetView>
  </sheetViews>
  <sheetFormatPr defaultColWidth="10.7109375" defaultRowHeight="12.75"/>
  <cols>
    <col min="1" max="1" width="8.28515625" style="235" customWidth="1"/>
    <col min="2" max="2" width="18.7109375" style="236" customWidth="1"/>
    <col min="3" max="4" width="10.7109375" style="229" customWidth="1"/>
    <col min="5" max="5" width="10.140625" style="229" customWidth="1"/>
    <col min="6" max="6" width="14.7109375" style="237" customWidth="1"/>
    <col min="7" max="7" width="11.140625" style="229" bestFit="1" customWidth="1"/>
    <col min="8" max="8" width="2.140625" style="229" customWidth="1"/>
    <col min="9" max="9" width="14.140625" style="229" customWidth="1"/>
    <col min="10" max="10" width="19.140625" style="229" customWidth="1"/>
    <col min="11" max="16384" width="10.7109375" style="229"/>
  </cols>
  <sheetData>
    <row r="1" spans="1:9">
      <c r="A1" s="786" t="s">
        <v>112</v>
      </c>
      <c r="B1" s="786"/>
      <c r="C1" s="786"/>
      <c r="D1" s="786"/>
      <c r="E1" s="786"/>
      <c r="F1" s="786"/>
      <c r="G1" s="786"/>
      <c r="H1" s="786"/>
    </row>
    <row r="2" spans="1:9">
      <c r="A2" s="787" t="s">
        <v>124</v>
      </c>
      <c r="B2" s="787"/>
      <c r="C2" s="787"/>
      <c r="D2" s="787"/>
      <c r="E2" s="787"/>
      <c r="F2" s="787"/>
      <c r="G2" s="787"/>
      <c r="H2" s="787"/>
    </row>
    <row r="3" spans="1:9">
      <c r="A3" s="787" t="s">
        <v>236</v>
      </c>
      <c r="B3" s="787"/>
      <c r="C3" s="787"/>
      <c r="D3" s="787"/>
      <c r="E3" s="787"/>
      <c r="F3" s="787"/>
      <c r="G3" s="787"/>
      <c r="H3" s="787"/>
    </row>
    <row r="4" spans="1:9">
      <c r="A4" s="788" t="str">
        <f>'ROO INPUT'!A5:C5</f>
        <v>TWELVE MONTHS ENDED DECEMBER 31, 2018</v>
      </c>
      <c r="B4" s="788"/>
      <c r="C4" s="788"/>
      <c r="D4" s="788"/>
      <c r="E4" s="788"/>
      <c r="F4" s="788"/>
      <c r="G4" s="788"/>
      <c r="H4" s="788"/>
    </row>
    <row r="5" spans="1:9">
      <c r="A5" s="789" t="s">
        <v>115</v>
      </c>
      <c r="B5" s="789"/>
      <c r="C5" s="789"/>
      <c r="D5" s="789"/>
      <c r="E5" s="789"/>
      <c r="F5" s="789"/>
      <c r="G5" s="789"/>
      <c r="H5" s="789"/>
    </row>
    <row r="6" spans="1:9" ht="13.5" thickBot="1">
      <c r="A6" s="230"/>
      <c r="B6" s="231"/>
      <c r="C6" s="232"/>
      <c r="D6" s="233"/>
      <c r="E6" s="233"/>
      <c r="F6" s="233"/>
      <c r="I6" s="234" t="s">
        <v>207</v>
      </c>
    </row>
    <row r="7" spans="1:9" ht="13.5" thickBot="1">
      <c r="C7" s="237"/>
      <c r="D7" s="237"/>
      <c r="E7" s="783" t="s">
        <v>124</v>
      </c>
      <c r="F7" s="784"/>
      <c r="G7" s="785"/>
      <c r="I7" s="234" t="s">
        <v>208</v>
      </c>
    </row>
    <row r="8" spans="1:9">
      <c r="C8" s="237"/>
      <c r="D8" s="237"/>
      <c r="E8" s="235">
        <f>'ADJ DETAIL INPUT'!W10</f>
        <v>2.139999999999997</v>
      </c>
      <c r="F8" s="348"/>
      <c r="G8" s="348"/>
      <c r="I8" s="234"/>
    </row>
    <row r="9" spans="1:9">
      <c r="C9" s="237"/>
      <c r="D9" s="237"/>
      <c r="E9" s="238" t="s">
        <v>20</v>
      </c>
      <c r="F9" s="234" t="s">
        <v>421</v>
      </c>
      <c r="G9" s="234" t="s">
        <v>422</v>
      </c>
      <c r="I9" s="234" t="s">
        <v>209</v>
      </c>
    </row>
    <row r="10" spans="1:9">
      <c r="B10" s="239" t="s">
        <v>116</v>
      </c>
      <c r="C10" s="237"/>
      <c r="D10" s="237"/>
      <c r="E10" s="240" t="s">
        <v>210</v>
      </c>
      <c r="F10" s="241" t="s">
        <v>117</v>
      </c>
      <c r="G10" s="241" t="s">
        <v>211</v>
      </c>
      <c r="I10" s="241" t="str">
        <f>F10</f>
        <v>Adjustments</v>
      </c>
    </row>
    <row r="11" spans="1:9">
      <c r="A11" s="235">
        <f>'ADJ SUMMARY'!A8</f>
        <v>1</v>
      </c>
      <c r="B11" s="236" t="str">
        <f>'ADJ SUMMARY'!C8</f>
        <v>Per Results Report</v>
      </c>
      <c r="C11" s="237"/>
      <c r="D11" s="237"/>
      <c r="E11" s="242">
        <f>'ADJ SUMMARY'!E8</f>
        <v>348658</v>
      </c>
      <c r="F11" s="242"/>
      <c r="G11" s="289">
        <f>SUM(E11:F11)</f>
        <v>348658</v>
      </c>
      <c r="H11" s="289"/>
      <c r="I11" s="289">
        <f>ROUND(E11*$E$48*-$E$55,0)-(E52*-E55)</f>
        <v>131.65999999999985</v>
      </c>
    </row>
    <row r="12" spans="1:9">
      <c r="A12" s="235">
        <f>'ADJ SUMMARY'!A9</f>
        <v>1.01</v>
      </c>
      <c r="B12" s="236" t="str">
        <f>'ADJ SUMMARY'!C9</f>
        <v>Deferred FIT Rate Base</v>
      </c>
      <c r="C12" s="237"/>
      <c r="D12" s="237"/>
      <c r="E12" s="289"/>
      <c r="F12" s="242">
        <f>'ADJ SUMMARY'!E9</f>
        <v>-1247</v>
      </c>
      <c r="G12" s="289">
        <f>SUM(E12:F12)</f>
        <v>-1247</v>
      </c>
      <c r="H12" s="289"/>
      <c r="I12" s="289">
        <f t="shared" ref="I12:I42" si="0">ROUND(F12*$E$48*-$E$55,0)</f>
        <v>7</v>
      </c>
    </row>
    <row r="13" spans="1:9">
      <c r="A13" s="235">
        <f>'ADJ SUMMARY'!A10</f>
        <v>1.02</v>
      </c>
      <c r="B13" s="236" t="str">
        <f>'ADJ SUMMARY'!C10</f>
        <v>Deferred Debits and Credits</v>
      </c>
      <c r="C13" s="237"/>
      <c r="D13" s="237"/>
      <c r="E13" s="289"/>
      <c r="F13" s="242">
        <f>'ADJ SUMMARY'!E10</f>
        <v>-7</v>
      </c>
      <c r="G13" s="289">
        <f t="shared" ref="G13:G16" si="1">SUM(E13:F13)</f>
        <v>-7</v>
      </c>
      <c r="H13" s="289"/>
      <c r="I13" s="289">
        <f t="shared" si="0"/>
        <v>0</v>
      </c>
    </row>
    <row r="14" spans="1:9">
      <c r="A14" s="235">
        <f>'ADJ SUMMARY'!A11</f>
        <v>1.03</v>
      </c>
      <c r="B14" s="236" t="str">
        <f>'ADJ SUMMARY'!C11</f>
        <v>Working Capital</v>
      </c>
      <c r="C14" s="237"/>
      <c r="D14" s="237"/>
      <c r="E14" s="289"/>
      <c r="F14" s="242">
        <f>'ADJ SUMMARY'!E11</f>
        <v>0</v>
      </c>
      <c r="G14" s="289">
        <f t="shared" si="1"/>
        <v>0</v>
      </c>
      <c r="H14" s="289"/>
      <c r="I14" s="289">
        <f t="shared" si="0"/>
        <v>0</v>
      </c>
    </row>
    <row r="15" spans="1:9">
      <c r="A15" s="235">
        <f>'ADJ SUMMARY'!A12</f>
        <v>1.04</v>
      </c>
      <c r="B15" s="236" t="str">
        <f>'ADJ SUMMARY'!C12</f>
        <v>Remove AMI Rate Base</v>
      </c>
      <c r="C15" s="237"/>
      <c r="D15" s="237"/>
      <c r="E15" s="289"/>
      <c r="F15" s="242">
        <f>'ADJ SUMMARY'!E12</f>
        <v>-6038</v>
      </c>
      <c r="G15" s="289">
        <f t="shared" ref="G15" si="2">SUM(E15:F15)</f>
        <v>-6038</v>
      </c>
      <c r="H15" s="289"/>
      <c r="I15" s="289">
        <f t="shared" si="0"/>
        <v>35</v>
      </c>
    </row>
    <row r="16" spans="1:9">
      <c r="A16" s="235">
        <f>'ADJ SUMMARY'!A13</f>
        <v>2.0099999999999998</v>
      </c>
      <c r="B16" s="236" t="str">
        <f>'ADJ SUMMARY'!C13</f>
        <v>Eliminate B &amp; O Taxes</v>
      </c>
      <c r="C16" s="237"/>
      <c r="D16" s="237"/>
      <c r="E16" s="289"/>
      <c r="F16" s="242">
        <f>'ADJ SUMMARY'!E13</f>
        <v>0</v>
      </c>
      <c r="G16" s="289">
        <f t="shared" si="1"/>
        <v>0</v>
      </c>
      <c r="H16" s="289"/>
      <c r="I16" s="289">
        <f t="shared" si="0"/>
        <v>0</v>
      </c>
    </row>
    <row r="17" spans="1:9">
      <c r="A17" s="235">
        <f>'ADJ SUMMARY'!A14</f>
        <v>2.0199999999999996</v>
      </c>
      <c r="B17" s="236" t="str">
        <f>'ADJ SUMMARY'!C14</f>
        <v>Restate Property Tax</v>
      </c>
      <c r="C17" s="237"/>
      <c r="D17" s="237"/>
      <c r="E17" s="289"/>
      <c r="F17" s="242">
        <f>'ADJ SUMMARY'!E14</f>
        <v>0</v>
      </c>
      <c r="G17" s="289">
        <f t="shared" ref="G17:G29" si="3">SUM(E17:F17)</f>
        <v>0</v>
      </c>
      <c r="H17" s="289"/>
      <c r="I17" s="289">
        <f t="shared" si="0"/>
        <v>0</v>
      </c>
    </row>
    <row r="18" spans="1:9">
      <c r="A18" s="235">
        <f>'ADJ SUMMARY'!A15</f>
        <v>2.0299999999999994</v>
      </c>
      <c r="B18" s="236" t="str">
        <f>'ADJ SUMMARY'!C15</f>
        <v>Uncollectible Expense</v>
      </c>
      <c r="C18" s="237"/>
      <c r="D18" s="237"/>
      <c r="E18" s="289"/>
      <c r="F18" s="242">
        <f>'ADJ SUMMARY'!E15</f>
        <v>0</v>
      </c>
      <c r="G18" s="289">
        <f t="shared" si="3"/>
        <v>0</v>
      </c>
      <c r="H18" s="289"/>
      <c r="I18" s="289">
        <f t="shared" si="0"/>
        <v>0</v>
      </c>
    </row>
    <row r="19" spans="1:9">
      <c r="A19" s="235">
        <f>'ADJ SUMMARY'!A16</f>
        <v>2.0399999999999991</v>
      </c>
      <c r="B19" s="236" t="str">
        <f>'ADJ SUMMARY'!C16</f>
        <v>Regulatory Expense</v>
      </c>
      <c r="C19" s="237"/>
      <c r="D19" s="237"/>
      <c r="E19" s="289"/>
      <c r="F19" s="242">
        <f>'ADJ SUMMARY'!E16</f>
        <v>0</v>
      </c>
      <c r="G19" s="289">
        <f t="shared" si="3"/>
        <v>0</v>
      </c>
      <c r="H19" s="289"/>
      <c r="I19" s="289">
        <f t="shared" si="0"/>
        <v>0</v>
      </c>
    </row>
    <row r="20" spans="1:9">
      <c r="A20" s="235">
        <f>'ADJ SUMMARY'!A17</f>
        <v>2.0499999999999989</v>
      </c>
      <c r="B20" s="236" t="str">
        <f>'ADJ SUMMARY'!C17</f>
        <v>Injuries &amp; Damages</v>
      </c>
      <c r="C20" s="237"/>
      <c r="D20" s="237"/>
      <c r="E20" s="289"/>
      <c r="F20" s="242">
        <f>'ADJ SUMMARY'!E17</f>
        <v>0</v>
      </c>
      <c r="G20" s="289">
        <f t="shared" si="3"/>
        <v>0</v>
      </c>
      <c r="H20" s="289"/>
      <c r="I20" s="289">
        <f t="shared" si="0"/>
        <v>0</v>
      </c>
    </row>
    <row r="21" spans="1:9">
      <c r="A21" s="235">
        <f>'ADJ SUMMARY'!A18</f>
        <v>2.0599999999999987</v>
      </c>
      <c r="B21" s="236" t="str">
        <f>'ADJ SUMMARY'!C18</f>
        <v>FIT / DFIT Expense</v>
      </c>
      <c r="C21" s="237"/>
      <c r="D21" s="237"/>
      <c r="E21" s="289"/>
      <c r="F21" s="242">
        <f>'ADJ SUMMARY'!E18</f>
        <v>0</v>
      </c>
      <c r="G21" s="289">
        <f t="shared" si="3"/>
        <v>0</v>
      </c>
      <c r="H21" s="289"/>
      <c r="I21" s="289">
        <f t="shared" si="0"/>
        <v>0</v>
      </c>
    </row>
    <row r="22" spans="1:9">
      <c r="A22" s="235">
        <f>'ADJ SUMMARY'!A19</f>
        <v>2.0699999999999985</v>
      </c>
      <c r="B22" s="236" t="str">
        <f>'ADJ SUMMARY'!C19</f>
        <v>Office Space Charges to Non-Utility</v>
      </c>
      <c r="C22" s="237"/>
      <c r="D22" s="237"/>
      <c r="E22" s="289"/>
      <c r="F22" s="242">
        <f>'ADJ SUMMARY'!E19</f>
        <v>0</v>
      </c>
      <c r="G22" s="289">
        <f t="shared" si="3"/>
        <v>0</v>
      </c>
      <c r="H22" s="289"/>
      <c r="I22" s="289">
        <f t="shared" si="0"/>
        <v>0</v>
      </c>
    </row>
    <row r="23" spans="1:9">
      <c r="A23" s="235">
        <f>'ADJ SUMMARY'!A20</f>
        <v>2.0799999999999983</v>
      </c>
      <c r="B23" s="236" t="str">
        <f>'ADJ SUMMARY'!C20</f>
        <v>Restate Excise Taxes</v>
      </c>
      <c r="C23" s="237"/>
      <c r="D23" s="237"/>
      <c r="E23" s="289"/>
      <c r="F23" s="242">
        <f>'ADJ SUMMARY'!E20</f>
        <v>0</v>
      </c>
      <c r="G23" s="289">
        <f t="shared" si="3"/>
        <v>0</v>
      </c>
      <c r="H23" s="289"/>
      <c r="I23" s="289">
        <f t="shared" si="0"/>
        <v>0</v>
      </c>
    </row>
    <row r="24" spans="1:9">
      <c r="A24" s="235">
        <f>'ADJ SUMMARY'!A21</f>
        <v>2.0899999999999981</v>
      </c>
      <c r="B24" s="236" t="str">
        <f>'ADJ SUMMARY'!C21</f>
        <v>Net Gains &amp; Losses</v>
      </c>
      <c r="C24" s="237"/>
      <c r="D24" s="237"/>
      <c r="E24" s="289"/>
      <c r="F24" s="242">
        <f>'ADJ SUMMARY'!E21</f>
        <v>0</v>
      </c>
      <c r="G24" s="289">
        <f t="shared" si="3"/>
        <v>0</v>
      </c>
      <c r="H24" s="289"/>
      <c r="I24" s="289">
        <f t="shared" si="0"/>
        <v>0</v>
      </c>
    </row>
    <row r="25" spans="1:9">
      <c r="A25" s="235">
        <f>'ADJ SUMMARY'!A22</f>
        <v>2.0999999999999979</v>
      </c>
      <c r="B25" s="236" t="str">
        <f>'ADJ SUMMARY'!C22</f>
        <v>Weather Normalization / Gas Cost Adjust</v>
      </c>
      <c r="C25" s="237"/>
      <c r="D25" s="237"/>
      <c r="E25" s="289"/>
      <c r="F25" s="242">
        <f>'ADJ SUMMARY'!E22</f>
        <v>0</v>
      </c>
      <c r="G25" s="289">
        <f t="shared" si="3"/>
        <v>0</v>
      </c>
      <c r="H25" s="289"/>
      <c r="I25" s="289">
        <f t="shared" si="0"/>
        <v>0</v>
      </c>
    </row>
    <row r="26" spans="1:9">
      <c r="A26" s="235">
        <f>'ADJ SUMMARY'!A23</f>
        <v>2.1099999999999977</v>
      </c>
      <c r="B26" s="236" t="str">
        <f>'ADJ SUMMARY'!C23</f>
        <v>Eliminate Adder Schedules</v>
      </c>
      <c r="C26" s="237"/>
      <c r="D26" s="237"/>
      <c r="E26" s="289"/>
      <c r="F26" s="242">
        <f>'ADJ SUMMARY'!E23</f>
        <v>0</v>
      </c>
      <c r="G26" s="289">
        <f t="shared" si="3"/>
        <v>0</v>
      </c>
      <c r="H26" s="289"/>
      <c r="I26" s="289">
        <f t="shared" si="0"/>
        <v>0</v>
      </c>
    </row>
    <row r="27" spans="1:9">
      <c r="A27" s="235">
        <f>'ADJ SUMMARY'!A24</f>
        <v>2.1199999999999974</v>
      </c>
      <c r="B27" s="236" t="str">
        <f>'ADJ SUMMARY'!C24</f>
        <v>Misc. Restating Non-Util / Non- Recurring Expense</v>
      </c>
      <c r="C27" s="237"/>
      <c r="D27" s="237"/>
      <c r="E27" s="289"/>
      <c r="F27" s="242">
        <f>'ADJ SUMMARY'!E24</f>
        <v>0</v>
      </c>
      <c r="G27" s="289">
        <f t="shared" si="3"/>
        <v>0</v>
      </c>
      <c r="H27" s="289"/>
      <c r="I27" s="289">
        <f t="shared" si="0"/>
        <v>0</v>
      </c>
    </row>
    <row r="28" spans="1:9">
      <c r="A28" s="235">
        <f>'ADJ SUMMARY'!A25</f>
        <v>2.1299999999999972</v>
      </c>
      <c r="B28" s="236" t="str">
        <f>'ADJ SUMMARY'!C25</f>
        <v>Restating Incentives Expense</v>
      </c>
      <c r="C28" s="237"/>
      <c r="D28" s="237"/>
      <c r="E28" s="289"/>
      <c r="F28" s="242">
        <f>'ADJ SUMMARY'!E25</f>
        <v>0</v>
      </c>
      <c r="G28" s="289">
        <f t="shared" si="3"/>
        <v>0</v>
      </c>
      <c r="H28" s="289"/>
      <c r="I28" s="289">
        <f t="shared" si="0"/>
        <v>0</v>
      </c>
    </row>
    <row r="29" spans="1:9">
      <c r="A29" s="235">
        <f>'ADJ SUMMARY'!A26</f>
        <v>2.139999999999997</v>
      </c>
      <c r="B29" s="236" t="str">
        <f>'ADJ SUMMARY'!C26</f>
        <v>Restate Debt Interest</v>
      </c>
      <c r="C29" s="237"/>
      <c r="D29" s="237"/>
      <c r="E29" s="289"/>
      <c r="F29" s="242">
        <f>'ADJ SUMMARY'!E26</f>
        <v>0</v>
      </c>
      <c r="G29" s="289">
        <f t="shared" si="3"/>
        <v>0</v>
      </c>
      <c r="H29" s="289"/>
      <c r="I29" s="289">
        <f t="shared" si="0"/>
        <v>0</v>
      </c>
    </row>
    <row r="30" spans="1:9">
      <c r="A30" s="235">
        <f>'ADJ SUMMARY'!A27</f>
        <v>2.1499999999999968</v>
      </c>
      <c r="B30" s="236" t="str">
        <f>'ADJ SUMMARY'!C27</f>
        <v>Restate 2018 AMA Rate Base to EOP</v>
      </c>
      <c r="C30" s="237"/>
      <c r="D30" s="237"/>
      <c r="E30" s="289"/>
      <c r="F30" s="242">
        <f>'ADJ SUMMARY'!E27</f>
        <v>32271</v>
      </c>
      <c r="G30" s="289">
        <f t="shared" ref="G30" si="4">SUM(E30:F30)</f>
        <v>32271</v>
      </c>
      <c r="H30" s="289"/>
      <c r="I30" s="289">
        <f t="shared" si="0"/>
        <v>-185</v>
      </c>
    </row>
    <row r="31" spans="1:9" ht="13.5" customHeight="1">
      <c r="A31" s="235">
        <f>'ADJ SUMMARY'!A30</f>
        <v>3.01</v>
      </c>
      <c r="B31" s="236" t="str">
        <f>'ADJ SUMMARY'!C30</f>
        <v>Pro Forma Revenue Normalization</v>
      </c>
      <c r="C31" s="237"/>
      <c r="D31" s="237"/>
      <c r="E31" s="289"/>
      <c r="F31" s="242">
        <f>'ADJ SUMMARY'!E30</f>
        <v>0</v>
      </c>
      <c r="G31" s="289">
        <f>SUM(E31:F31)</f>
        <v>0</v>
      </c>
      <c r="H31" s="289"/>
      <c r="I31" s="289">
        <f t="shared" si="0"/>
        <v>0</v>
      </c>
    </row>
    <row r="32" spans="1:9" ht="13.5" customHeight="1">
      <c r="A32" s="235">
        <f>'ADJ SUMMARY'!A31</f>
        <v>3.0199999999999996</v>
      </c>
      <c r="B32" s="236" t="str">
        <f>'ADJ SUMMARY'!C31</f>
        <v>Pro Forma LEAP Deferral Amortization</v>
      </c>
      <c r="C32" s="237"/>
      <c r="D32" s="237"/>
      <c r="E32" s="289"/>
      <c r="F32" s="242">
        <f>'ADJ SUMMARY'!E31</f>
        <v>95</v>
      </c>
      <c r="G32" s="289">
        <f t="shared" ref="G32:G42" si="5">SUM(E32:F32)</f>
        <v>95</v>
      </c>
      <c r="H32" s="289"/>
      <c r="I32" s="289">
        <f t="shared" si="0"/>
        <v>-1</v>
      </c>
    </row>
    <row r="33" spans="1:9" ht="13.5" customHeight="1">
      <c r="A33" s="235">
        <f>'ADJ SUMMARY'!A32</f>
        <v>3.0299999999999994</v>
      </c>
      <c r="B33" s="236" t="str">
        <f>'ADJ SUMMARY'!C32</f>
        <v>Pro Forma Labor Non-Exec</v>
      </c>
      <c r="C33" s="237"/>
      <c r="D33" s="237"/>
      <c r="E33" s="289"/>
      <c r="F33" s="242">
        <f>'ADJ SUMMARY'!E32</f>
        <v>0</v>
      </c>
      <c r="G33" s="289">
        <f t="shared" si="5"/>
        <v>0</v>
      </c>
      <c r="H33" s="289"/>
      <c r="I33" s="289">
        <f t="shared" si="0"/>
        <v>0</v>
      </c>
    </row>
    <row r="34" spans="1:9" ht="13.5" customHeight="1">
      <c r="A34" s="235">
        <f>'ADJ SUMMARY'!A33</f>
        <v>3.0399999999999991</v>
      </c>
      <c r="B34" s="236" t="str">
        <f>'ADJ SUMMARY'!C33</f>
        <v>Pro Forma Labor Exec</v>
      </c>
      <c r="C34" s="237"/>
      <c r="D34" s="237"/>
      <c r="E34" s="289"/>
      <c r="F34" s="242">
        <f>'ADJ SUMMARY'!E33</f>
        <v>0</v>
      </c>
      <c r="G34" s="289">
        <f t="shared" si="5"/>
        <v>0</v>
      </c>
      <c r="H34" s="289"/>
      <c r="I34" s="289">
        <f t="shared" si="0"/>
        <v>0</v>
      </c>
    </row>
    <row r="35" spans="1:9" ht="13.5" customHeight="1">
      <c r="A35" s="235">
        <f>'ADJ SUMMARY'!A34</f>
        <v>3.0499999999999989</v>
      </c>
      <c r="B35" s="236" t="str">
        <f>'ADJ SUMMARY'!C34</f>
        <v>Pro Forma Employee Benefits</v>
      </c>
      <c r="C35" s="237"/>
      <c r="D35" s="237"/>
      <c r="E35" s="289"/>
      <c r="F35" s="242">
        <f>'ADJ SUMMARY'!E34</f>
        <v>0</v>
      </c>
      <c r="G35" s="289">
        <f t="shared" si="5"/>
        <v>0</v>
      </c>
      <c r="H35" s="289"/>
      <c r="I35" s="289">
        <f t="shared" si="0"/>
        <v>0</v>
      </c>
    </row>
    <row r="36" spans="1:9" ht="13.5" customHeight="1">
      <c r="A36" s="235">
        <f>'ADJ SUMMARY'!A35</f>
        <v>3.0599999999999987</v>
      </c>
      <c r="B36" s="236" t="str">
        <f>'ADJ SUMMARY'!C35</f>
        <v>Pro Forma Insurance Expense</v>
      </c>
      <c r="C36" s="237"/>
      <c r="D36" s="237"/>
      <c r="E36" s="289"/>
      <c r="F36" s="242">
        <f>'ADJ SUMMARY'!E35</f>
        <v>0</v>
      </c>
      <c r="G36" s="289">
        <f t="shared" si="5"/>
        <v>0</v>
      </c>
      <c r="H36" s="289"/>
      <c r="I36" s="289">
        <f t="shared" si="0"/>
        <v>0</v>
      </c>
    </row>
    <row r="37" spans="1:9" ht="13.5" customHeight="1">
      <c r="A37" s="235">
        <f>'ADJ SUMMARY'!A36</f>
        <v>3.0699999999999985</v>
      </c>
      <c r="B37" s="236" t="str">
        <f>'ADJ SUMMARY'!C36</f>
        <v>Pro Forma IS/IT Expense</v>
      </c>
      <c r="C37" s="237"/>
      <c r="D37" s="237"/>
      <c r="E37" s="289"/>
      <c r="F37" s="242">
        <f>'ADJ SUMMARY'!E36</f>
        <v>0</v>
      </c>
      <c r="G37" s="289">
        <f t="shared" si="5"/>
        <v>0</v>
      </c>
      <c r="H37" s="289"/>
      <c r="I37" s="289">
        <f t="shared" si="0"/>
        <v>0</v>
      </c>
    </row>
    <row r="38" spans="1:9" ht="13.5" customHeight="1">
      <c r="A38" s="235">
        <f>'ADJ SUMMARY'!A37</f>
        <v>3.0799999999999983</v>
      </c>
      <c r="B38" s="236" t="str">
        <f>'ADJ SUMMARY'!C37</f>
        <v>Pro Forma Property Tax</v>
      </c>
      <c r="C38" s="237"/>
      <c r="D38" s="237"/>
      <c r="E38" s="289"/>
      <c r="F38" s="242">
        <f>'ADJ SUMMARY'!E37</f>
        <v>0</v>
      </c>
      <c r="G38" s="289">
        <f t="shared" si="5"/>
        <v>0</v>
      </c>
      <c r="H38" s="289"/>
      <c r="I38" s="289">
        <f t="shared" si="0"/>
        <v>0</v>
      </c>
    </row>
    <row r="39" spans="1:9" ht="13.5" customHeight="1">
      <c r="A39" s="235">
        <f>'ADJ SUMMARY'!A38</f>
        <v>3.0899999999999981</v>
      </c>
      <c r="B39" s="236" t="str">
        <f>'ADJ SUMMARY'!C38</f>
        <v>Pro Forma Depreciation Expense</v>
      </c>
      <c r="C39" s="237"/>
      <c r="D39" s="237"/>
      <c r="E39" s="289"/>
      <c r="F39" s="242">
        <f>'ADJ SUMMARY'!E38</f>
        <v>0</v>
      </c>
      <c r="G39" s="289">
        <f t="shared" si="5"/>
        <v>0</v>
      </c>
      <c r="H39" s="289"/>
      <c r="I39" s="289">
        <f t="shared" si="0"/>
        <v>0</v>
      </c>
    </row>
    <row r="40" spans="1:9" ht="13.5" customHeight="1">
      <c r="A40" s="235">
        <f>'ADJ SUMMARY'!A39</f>
        <v>3.0999999999999979</v>
      </c>
      <c r="B40" s="236" t="str">
        <f>'ADJ SUMMARY'!C39</f>
        <v>Pro Forma 2019 Major Capital Adds</v>
      </c>
      <c r="C40" s="237"/>
      <c r="D40" s="237"/>
      <c r="E40" s="289"/>
      <c r="F40" s="242">
        <f>'ADJ SUMMARY'!E39</f>
        <v>0</v>
      </c>
      <c r="G40" s="289">
        <f t="shared" si="5"/>
        <v>0</v>
      </c>
      <c r="H40" s="289"/>
      <c r="I40" s="289">
        <f t="shared" si="0"/>
        <v>0</v>
      </c>
    </row>
    <row r="41" spans="1:9" ht="13.5" customHeight="1">
      <c r="A41" s="235">
        <f>'ADJ SUMMARY'!A40</f>
        <v>3.1099999999999977</v>
      </c>
      <c r="B41" s="236" t="str">
        <f>'ADJ SUMMARY'!C40</f>
        <v>Pro Forma O&amp;M Offsets</v>
      </c>
      <c r="C41" s="237"/>
      <c r="D41" s="237"/>
      <c r="E41" s="289"/>
      <c r="F41" s="242">
        <f>'ADJ SUMMARY'!E40</f>
        <v>0</v>
      </c>
      <c r="G41" s="289">
        <f t="shared" si="5"/>
        <v>0</v>
      </c>
      <c r="H41" s="289"/>
      <c r="I41" s="289">
        <f t="shared" si="0"/>
        <v>0</v>
      </c>
    </row>
    <row r="42" spans="1:9" ht="13.5" customHeight="1">
      <c r="A42" s="235">
        <f>'ADJ SUMMARY'!A41</f>
        <v>3.1199999999999974</v>
      </c>
      <c r="B42" s="236" t="str">
        <f>'ADJ SUMMARY'!C41</f>
        <v>Pro Forma Fee Free Amortization</v>
      </c>
      <c r="C42" s="237"/>
      <c r="D42" s="237"/>
      <c r="E42" s="289"/>
      <c r="F42" s="242">
        <f>'ADJ SUMMARY'!E41</f>
        <v>0</v>
      </c>
      <c r="G42" s="289">
        <f t="shared" si="5"/>
        <v>0</v>
      </c>
      <c r="H42" s="289"/>
      <c r="I42" s="289">
        <f t="shared" si="0"/>
        <v>0</v>
      </c>
    </row>
    <row r="43" spans="1:9" ht="14.25" hidden="1" customHeight="1">
      <c r="A43" s="235">
        <f>'ADJ SUMMARY'!A42</f>
        <v>3.1299999999999972</v>
      </c>
      <c r="B43" s="236" t="str">
        <f>'ADJ SUMMARY'!C42</f>
        <v>Pro Forma Open</v>
      </c>
      <c r="C43" s="237"/>
      <c r="D43" s="237"/>
      <c r="E43" s="632"/>
      <c r="F43" s="633">
        <f>'ADJ SUMMARY'!E42</f>
        <v>0</v>
      </c>
      <c r="G43" s="632">
        <f t="shared" ref="G43" si="6">SUM(E43:F43)</f>
        <v>0</v>
      </c>
      <c r="H43" s="632"/>
      <c r="I43" s="632">
        <f t="shared" ref="I43" si="7">ROUND(F43*$E$48*-$E$55,0)</f>
        <v>0</v>
      </c>
    </row>
    <row r="44" spans="1:9">
      <c r="B44" s="243"/>
      <c r="C44" s="237"/>
      <c r="D44" s="237"/>
      <c r="E44" s="724">
        <f>SUM(E11:E43)</f>
        <v>348658</v>
      </c>
      <c r="F44" s="724">
        <f>SUM(F11:F43)</f>
        <v>25074</v>
      </c>
      <c r="G44" s="724">
        <f>SUM(G11:G43)</f>
        <v>373732</v>
      </c>
      <c r="H44" s="290"/>
      <c r="I44" s="724">
        <f>SUM(I11:I43)</f>
        <v>-12.340000000000146</v>
      </c>
    </row>
    <row r="45" spans="1:9">
      <c r="B45" s="243"/>
      <c r="C45" s="237"/>
      <c r="D45" s="237"/>
      <c r="E45" s="290"/>
      <c r="F45" s="291"/>
      <c r="G45" s="292"/>
      <c r="H45" s="289"/>
      <c r="I45" s="289"/>
    </row>
    <row r="46" spans="1:9">
      <c r="B46" s="243"/>
      <c r="C46" s="237"/>
      <c r="D46" s="237"/>
      <c r="E46" s="290"/>
      <c r="F46" s="291"/>
      <c r="G46" s="292"/>
      <c r="H46" s="289"/>
      <c r="I46" s="289"/>
    </row>
    <row r="47" spans="1:9" ht="5.25" customHeight="1">
      <c r="C47" s="237"/>
      <c r="D47" s="237"/>
      <c r="E47" s="290"/>
      <c r="F47" s="290"/>
      <c r="G47" s="290"/>
      <c r="H47" s="289"/>
      <c r="I47" s="289"/>
    </row>
    <row r="48" spans="1:9">
      <c r="B48" s="236" t="s">
        <v>122</v>
      </c>
      <c r="C48" s="237"/>
      <c r="D48" s="237"/>
      <c r="E48" s="299">
        <f>'RR SUMMARY'!P12</f>
        <v>2.7300000000000001E-2</v>
      </c>
      <c r="F48" s="299">
        <f>E48-I48</f>
        <v>2.7300000000000001E-2</v>
      </c>
      <c r="G48" s="299"/>
      <c r="H48" s="297"/>
      <c r="I48" s="299"/>
    </row>
    <row r="49" spans="1:10" ht="6" customHeight="1">
      <c r="C49" s="237"/>
      <c r="D49" s="237"/>
      <c r="E49" s="290"/>
      <c r="F49" s="290"/>
      <c r="G49" s="290"/>
      <c r="H49" s="289"/>
      <c r="I49" s="289"/>
    </row>
    <row r="50" spans="1:10">
      <c r="B50" s="236" t="s">
        <v>118</v>
      </c>
      <c r="C50" s="237"/>
      <c r="D50" s="237"/>
      <c r="E50" s="290">
        <f>E44*E48</f>
        <v>9518.3634000000002</v>
      </c>
      <c r="F50" s="290">
        <f>F44*F48</f>
        <v>684.52020000000005</v>
      </c>
      <c r="G50" s="290">
        <f>SUM(E50:F50)</f>
        <v>10202.883600000001</v>
      </c>
      <c r="H50" s="289"/>
      <c r="I50" s="290">
        <f>SUM(I11:I42)</f>
        <v>-12.340000000000146</v>
      </c>
    </row>
    <row r="51" spans="1:10">
      <c r="C51" s="237"/>
      <c r="D51" s="237"/>
      <c r="E51" s="290"/>
      <c r="F51" s="290"/>
      <c r="G51" s="290"/>
      <c r="H51" s="289"/>
      <c r="I51" s="290"/>
    </row>
    <row r="52" spans="1:10">
      <c r="B52" s="236" t="s">
        <v>237</v>
      </c>
      <c r="C52" s="237"/>
      <c r="D52" s="237"/>
      <c r="E52" s="294">
        <v>10146</v>
      </c>
      <c r="F52" s="294"/>
      <c r="G52" s="293">
        <f>SUM(E52:F52)</f>
        <v>10146</v>
      </c>
      <c r="H52" s="289"/>
      <c r="I52" s="346"/>
    </row>
    <row r="53" spans="1:10" ht="5.25" customHeight="1">
      <c r="C53" s="237"/>
      <c r="D53" s="237"/>
      <c r="E53" s="290"/>
      <c r="F53" s="290"/>
      <c r="G53" s="290"/>
      <c r="H53" s="289"/>
      <c r="I53" s="347"/>
    </row>
    <row r="54" spans="1:10">
      <c r="B54" s="236" t="s">
        <v>119</v>
      </c>
      <c r="C54" s="237"/>
      <c r="D54" s="237"/>
      <c r="E54" s="290">
        <f>E50-E52</f>
        <v>-627.63659999999982</v>
      </c>
      <c r="F54" s="290">
        <f>F50-F52</f>
        <v>684.52020000000005</v>
      </c>
      <c r="G54" s="290">
        <f>SUM(E54:F54)</f>
        <v>56.883600000000229</v>
      </c>
      <c r="H54" s="289"/>
      <c r="I54" s="347"/>
    </row>
    <row r="55" spans="1:10" ht="18" customHeight="1">
      <c r="B55" s="236" t="s">
        <v>120</v>
      </c>
      <c r="D55" s="237"/>
      <c r="E55" s="296">
        <v>0.21</v>
      </c>
      <c r="F55" s="296">
        <v>0.21</v>
      </c>
      <c r="G55" s="296"/>
      <c r="H55" s="297"/>
      <c r="I55" s="296"/>
    </row>
    <row r="56" spans="1:10" ht="5.25" customHeight="1" thickBot="1">
      <c r="D56" s="237"/>
      <c r="E56" s="290"/>
      <c r="F56" s="290"/>
      <c r="G56" s="290"/>
      <c r="H56" s="289"/>
      <c r="I56" s="290"/>
    </row>
    <row r="57" spans="1:10" ht="13.5" thickBot="1">
      <c r="B57" s="236" t="s">
        <v>121</v>
      </c>
      <c r="D57" s="237"/>
      <c r="E57" s="352">
        <f>ROUND(E54*-E55,0)</f>
        <v>132</v>
      </c>
      <c r="F57" s="295">
        <f>ROUND(F54*-F55,0)</f>
        <v>-144</v>
      </c>
      <c r="G57" s="295">
        <f>SUM(E57:F57)</f>
        <v>-12</v>
      </c>
      <c r="H57" s="289"/>
      <c r="I57" s="295">
        <f>I50</f>
        <v>-12.340000000000146</v>
      </c>
      <c r="J57" s="604" t="s">
        <v>420</v>
      </c>
    </row>
    <row r="58" spans="1:10">
      <c r="F58" s="245"/>
      <c r="J58" s="258">
        <f>I57-'ADJ DETAIL INPUT'!W53-'ADJ DETAIL INPUT'!AN54</f>
        <v>-0.59075800000013601</v>
      </c>
    </row>
    <row r="59" spans="1:10" hidden="1">
      <c r="A59" s="246" t="s">
        <v>212</v>
      </c>
      <c r="B59" s="247" t="s">
        <v>213</v>
      </c>
    </row>
    <row r="60" spans="1:10" hidden="1">
      <c r="B60" s="239" t="s">
        <v>214</v>
      </c>
    </row>
    <row r="61" spans="1:10" hidden="1">
      <c r="B61" s="236" t="s">
        <v>215</v>
      </c>
      <c r="C61" s="248">
        <v>2430</v>
      </c>
      <c r="H61" s="229" t="s">
        <v>216</v>
      </c>
    </row>
    <row r="62" spans="1:10" hidden="1">
      <c r="B62" s="236" t="s">
        <v>217</v>
      </c>
      <c r="C62" s="249">
        <v>2935</v>
      </c>
      <c r="H62" s="229" t="s">
        <v>216</v>
      </c>
    </row>
    <row r="63" spans="1:10" hidden="1">
      <c r="B63" s="236" t="s">
        <v>218</v>
      </c>
      <c r="C63" s="250">
        <f>C61+C62</f>
        <v>5365</v>
      </c>
    </row>
    <row r="64" spans="1:10" hidden="1">
      <c r="C64" s="244"/>
    </row>
    <row r="65" spans="1:6" hidden="1">
      <c r="C65" s="251"/>
      <c r="D65" s="234"/>
      <c r="E65" s="234" t="s">
        <v>219</v>
      </c>
    </row>
    <row r="66" spans="1:6" hidden="1">
      <c r="C66" s="241" t="s">
        <v>220</v>
      </c>
      <c r="D66" s="241" t="s">
        <v>221</v>
      </c>
      <c r="E66" s="241" t="s">
        <v>24</v>
      </c>
    </row>
    <row r="67" spans="1:6" hidden="1">
      <c r="B67" s="236" t="s">
        <v>222</v>
      </c>
      <c r="C67" s="252" t="e">
        <f>#REF!</f>
        <v>#REF!</v>
      </c>
      <c r="D67" s="253" t="e">
        <f>ROUND(C67/$C$70,4)</f>
        <v>#REF!</v>
      </c>
      <c r="E67" s="252" t="e">
        <f>D67*E70</f>
        <v>#REF!</v>
      </c>
      <c r="F67" s="254"/>
    </row>
    <row r="68" spans="1:6" hidden="1">
      <c r="B68" s="236" t="s">
        <v>223</v>
      </c>
      <c r="C68" s="255" t="e">
        <f>#REF!</f>
        <v>#REF!</v>
      </c>
      <c r="D68" s="253" t="e">
        <f>ROUND(C68/$C$70,4)</f>
        <v>#REF!</v>
      </c>
      <c r="E68" s="255" t="e">
        <f>D68*E70</f>
        <v>#REF!</v>
      </c>
    </row>
    <row r="69" spans="1:6" hidden="1">
      <c r="B69" s="236" t="s">
        <v>224</v>
      </c>
      <c r="C69" s="255" t="e">
        <f>#REF!</f>
        <v>#REF!</v>
      </c>
      <c r="D69" s="253" t="e">
        <f>ROUND(C69/$C$70,4)-0.0001</f>
        <v>#REF!</v>
      </c>
      <c r="E69" s="255" t="e">
        <f>E70*D69</f>
        <v>#REF!</v>
      </c>
    </row>
    <row r="70" spans="1:6" hidden="1">
      <c r="B70" s="236" t="s">
        <v>225</v>
      </c>
      <c r="C70" s="256" t="e">
        <f>C67+C68+C69</f>
        <v>#REF!</v>
      </c>
      <c r="D70" s="257" t="e">
        <f>D67+D68+D69</f>
        <v>#REF!</v>
      </c>
      <c r="E70" s="256">
        <f>C63</f>
        <v>5365</v>
      </c>
    </row>
    <row r="71" spans="1:6" hidden="1">
      <c r="C71" s="258"/>
      <c r="D71" s="258"/>
      <c r="E71" s="258"/>
    </row>
    <row r="72" spans="1:6" hidden="1">
      <c r="B72" s="236" t="s">
        <v>226</v>
      </c>
      <c r="C72" s="252" t="e">
        <f>#REF!</f>
        <v>#REF!</v>
      </c>
      <c r="D72" s="253" t="e">
        <f>C72/C74</f>
        <v>#REF!</v>
      </c>
      <c r="E72" s="252" t="e">
        <f>D72*E74</f>
        <v>#REF!</v>
      </c>
    </row>
    <row r="73" spans="1:6" hidden="1">
      <c r="B73" s="236" t="s">
        <v>227</v>
      </c>
      <c r="C73" s="258" t="e">
        <f>#REF!</f>
        <v>#REF!</v>
      </c>
      <c r="D73" s="253" t="e">
        <f>C73/C74</f>
        <v>#REF!</v>
      </c>
      <c r="E73" s="258" t="e">
        <f>D73*E74</f>
        <v>#REF!</v>
      </c>
    </row>
    <row r="74" spans="1:6" hidden="1">
      <c r="B74" s="236" t="s">
        <v>225</v>
      </c>
      <c r="C74" s="256" t="e">
        <f>C72+C73</f>
        <v>#REF!</v>
      </c>
      <c r="D74" s="257" t="e">
        <f>D72+D73</f>
        <v>#REF!</v>
      </c>
      <c r="E74" s="256" t="e">
        <f>E67</f>
        <v>#REF!</v>
      </c>
    </row>
    <row r="75" spans="1:6" hidden="1">
      <c r="C75" s="258"/>
      <c r="D75" s="258"/>
      <c r="E75" s="258"/>
    </row>
    <row r="76" spans="1:6" hidden="1">
      <c r="B76" s="236" t="s">
        <v>228</v>
      </c>
      <c r="C76" s="252" t="e">
        <f>#REF!</f>
        <v>#REF!</v>
      </c>
      <c r="D76" s="259" t="e">
        <f>C76/C78</f>
        <v>#REF!</v>
      </c>
      <c r="E76" s="252" t="e">
        <f>E78*D76</f>
        <v>#REF!</v>
      </c>
    </row>
    <row r="77" spans="1:6" hidden="1">
      <c r="B77" s="236" t="s">
        <v>229</v>
      </c>
      <c r="C77" s="258" t="e">
        <f>#REF!</f>
        <v>#REF!</v>
      </c>
      <c r="D77" s="260" t="e">
        <f>C77/C78</f>
        <v>#REF!</v>
      </c>
      <c r="E77" s="258" t="e">
        <f>E78*D77</f>
        <v>#REF!</v>
      </c>
    </row>
    <row r="78" spans="1:6" hidden="1">
      <c r="B78" s="236" t="s">
        <v>225</v>
      </c>
      <c r="C78" s="256" t="e">
        <f>SUM(C76:C77)</f>
        <v>#REF!</v>
      </c>
      <c r="D78" s="261" t="e">
        <f>SUM(D76:D77)</f>
        <v>#REF!</v>
      </c>
      <c r="E78" s="256" t="e">
        <f>E68</f>
        <v>#REF!</v>
      </c>
    </row>
    <row r="79" spans="1:6" hidden="1">
      <c r="A79" s="262" t="str">
        <f>A1</f>
        <v>AVISTA UTILITIES</v>
      </c>
      <c r="C79" s="263"/>
      <c r="D79" s="264"/>
      <c r="E79" s="263"/>
      <c r="F79" s="264"/>
    </row>
    <row r="80" spans="1:6" hidden="1">
      <c r="A80" s="262" t="str">
        <f>A2</f>
        <v>Restate Debt Interest</v>
      </c>
      <c r="C80" s="263"/>
      <c r="D80" s="264"/>
      <c r="E80" s="263"/>
      <c r="F80" s="264"/>
    </row>
    <row r="81" spans="1:6" hidden="1">
      <c r="A81" s="262" t="s">
        <v>230</v>
      </c>
      <c r="C81" s="263"/>
      <c r="D81" s="264"/>
      <c r="E81" s="263"/>
      <c r="F81" s="264"/>
    </row>
    <row r="82" spans="1:6" hidden="1">
      <c r="A82" s="265" t="str">
        <f>A4</f>
        <v>TWELVE MONTHS ENDED DECEMBER 31, 2018</v>
      </c>
      <c r="C82" s="232"/>
      <c r="D82" s="264"/>
      <c r="E82" s="232"/>
      <c r="F82" s="264"/>
    </row>
    <row r="83" spans="1:6" hidden="1">
      <c r="A83" s="266" t="s">
        <v>115</v>
      </c>
      <c r="C83" s="263"/>
      <c r="D83" s="264"/>
      <c r="E83" s="264"/>
      <c r="F83" s="264"/>
    </row>
    <row r="84" spans="1:6" hidden="1">
      <c r="C84" s="237"/>
      <c r="D84" s="237"/>
      <c r="E84" s="238"/>
      <c r="F84" s="234" t="s">
        <v>19</v>
      </c>
    </row>
    <row r="85" spans="1:6" hidden="1">
      <c r="B85" s="239" t="s">
        <v>116</v>
      </c>
      <c r="C85" s="237"/>
      <c r="D85" s="237"/>
      <c r="E85" s="238"/>
      <c r="F85" s="241" t="s">
        <v>117</v>
      </c>
    </row>
    <row r="86" spans="1:6" hidden="1">
      <c r="A86" s="235" t="e">
        <v>#REF!</v>
      </c>
      <c r="B86" s="236" t="e">
        <v>#REF!</v>
      </c>
      <c r="C86" s="237"/>
      <c r="D86" s="237"/>
      <c r="E86" s="244"/>
      <c r="F86" s="267" t="e">
        <v>#REF!</v>
      </c>
    </row>
    <row r="87" spans="1:6" hidden="1">
      <c r="A87" s="235" t="e">
        <v>#REF!</v>
      </c>
      <c r="B87" s="236" t="e">
        <v>#REF!</v>
      </c>
      <c r="C87" s="237"/>
      <c r="D87" s="237"/>
      <c r="E87" s="244"/>
      <c r="F87" s="267" t="e">
        <v>#REF!</v>
      </c>
    </row>
    <row r="88" spans="1:6" hidden="1">
      <c r="A88" s="235" t="e">
        <v>#REF!</v>
      </c>
      <c r="B88" s="236" t="e">
        <v>#REF!</v>
      </c>
      <c r="C88" s="237"/>
      <c r="D88" s="237"/>
      <c r="E88" s="244"/>
      <c r="F88" s="267" t="e">
        <v>#REF!</v>
      </c>
    </row>
    <row r="89" spans="1:6" hidden="1">
      <c r="A89" s="235" t="e">
        <v>#REF!</v>
      </c>
      <c r="B89" s="236" t="e">
        <v>#REF!</v>
      </c>
      <c r="C89" s="237"/>
      <c r="D89" s="237"/>
      <c r="E89" s="244"/>
      <c r="F89" s="267" t="e">
        <v>#REF!</v>
      </c>
    </row>
    <row r="90" spans="1:6" hidden="1">
      <c r="A90" s="235" t="e">
        <v>#REF!</v>
      </c>
      <c r="B90" s="236" t="e">
        <v>#REF!</v>
      </c>
      <c r="C90" s="237"/>
      <c r="D90" s="237"/>
      <c r="E90" s="244"/>
      <c r="F90" s="267" t="e">
        <v>#REF!</v>
      </c>
    </row>
    <row r="91" spans="1:6" hidden="1">
      <c r="A91" s="235" t="e">
        <v>#REF!</v>
      </c>
      <c r="B91" s="236" t="e">
        <v>#REF!</v>
      </c>
      <c r="C91" s="237"/>
      <c r="D91" s="237"/>
      <c r="E91" s="244"/>
      <c r="F91" s="267" t="e">
        <v>#REF!</v>
      </c>
    </row>
    <row r="92" spans="1:6" hidden="1">
      <c r="A92" s="235" t="e">
        <v>#REF!</v>
      </c>
      <c r="B92" s="236" t="e">
        <v>#REF!</v>
      </c>
      <c r="C92" s="237"/>
      <c r="D92" s="237"/>
      <c r="E92" s="244"/>
      <c r="F92" s="267" t="e">
        <v>#REF!</v>
      </c>
    </row>
    <row r="93" spans="1:6" hidden="1">
      <c r="A93" s="235" t="e">
        <v>#REF!</v>
      </c>
      <c r="B93" s="236" t="e">
        <v>#REF!</v>
      </c>
      <c r="C93" s="237"/>
      <c r="D93" s="237"/>
      <c r="E93" s="244"/>
      <c r="F93" s="267" t="e">
        <v>#REF!</v>
      </c>
    </row>
    <row r="94" spans="1:6" hidden="1">
      <c r="A94" s="235" t="e">
        <v>#REF!</v>
      </c>
      <c r="B94" s="236" t="e">
        <v>#REF!</v>
      </c>
      <c r="C94" s="237"/>
      <c r="D94" s="237"/>
      <c r="E94" s="244"/>
      <c r="F94" s="267" t="e">
        <v>#REF!</v>
      </c>
    </row>
    <row r="95" spans="1:6" hidden="1">
      <c r="A95" s="235" t="e">
        <v>#REF!</v>
      </c>
      <c r="B95" s="236" t="e">
        <v>#REF!</v>
      </c>
      <c r="C95" s="237"/>
      <c r="D95" s="237"/>
      <c r="E95" s="244"/>
      <c r="F95" s="267" t="e">
        <v>#REF!</v>
      </c>
    </row>
    <row r="96" spans="1:6" hidden="1">
      <c r="A96" s="235" t="e">
        <v>#REF!</v>
      </c>
      <c r="B96" s="236" t="e">
        <v>#REF!</v>
      </c>
      <c r="C96" s="237"/>
      <c r="D96" s="237"/>
      <c r="E96" s="244"/>
      <c r="F96" s="267" t="e">
        <v>#REF!</v>
      </c>
    </row>
    <row r="97" spans="1:6" hidden="1">
      <c r="A97" s="235" t="e">
        <v>#REF!</v>
      </c>
      <c r="B97" s="236" t="e">
        <v>#REF!</v>
      </c>
      <c r="C97" s="237"/>
      <c r="D97" s="237"/>
      <c r="E97" s="244"/>
      <c r="F97" s="267" t="e">
        <v>#REF!</v>
      </c>
    </row>
    <row r="98" spans="1:6" hidden="1">
      <c r="A98" s="235" t="e">
        <v>#REF!</v>
      </c>
      <c r="B98" s="236" t="e">
        <v>#REF!</v>
      </c>
      <c r="C98" s="237"/>
      <c r="D98" s="237"/>
      <c r="E98" s="244"/>
      <c r="F98" s="267" t="e">
        <v>#REF!</v>
      </c>
    </row>
    <row r="99" spans="1:6" hidden="1">
      <c r="A99" s="235" t="e">
        <v>#REF!</v>
      </c>
      <c r="B99" s="236" t="e">
        <v>#REF!</v>
      </c>
      <c r="C99" s="237"/>
      <c r="D99" s="237"/>
      <c r="E99" s="244"/>
      <c r="F99" s="267" t="e">
        <v>#REF!</v>
      </c>
    </row>
    <row r="100" spans="1:6" hidden="1">
      <c r="A100" s="235" t="e">
        <v>#REF!</v>
      </c>
      <c r="B100" s="236" t="e">
        <v>#REF!</v>
      </c>
      <c r="C100" s="237"/>
      <c r="D100" s="237"/>
      <c r="E100" s="244"/>
      <c r="F100" s="267" t="e">
        <v>#REF!</v>
      </c>
    </row>
    <row r="101" spans="1:6" hidden="1">
      <c r="A101" s="235" t="e">
        <v>#REF!</v>
      </c>
      <c r="B101" s="236" t="e">
        <v>#REF!</v>
      </c>
      <c r="C101" s="237"/>
      <c r="D101" s="237"/>
      <c r="E101" s="244"/>
      <c r="F101" s="267" t="e">
        <v>#REF!</v>
      </c>
    </row>
    <row r="102" spans="1:6" hidden="1">
      <c r="A102" s="235" t="e">
        <v>#REF!</v>
      </c>
      <c r="B102" s="236" t="e">
        <v>#REF!</v>
      </c>
      <c r="C102" s="237"/>
      <c r="D102" s="237"/>
      <c r="E102" s="244"/>
      <c r="F102" s="267" t="e">
        <v>#REF!</v>
      </c>
    </row>
    <row r="103" spans="1:6" hidden="1">
      <c r="A103" s="235" t="e">
        <v>#REF!</v>
      </c>
      <c r="B103" s="236" t="e">
        <v>#REF!</v>
      </c>
      <c r="C103" s="237"/>
      <c r="D103" s="237"/>
      <c r="E103" s="244"/>
      <c r="F103" s="267" t="e">
        <v>#REF!</v>
      </c>
    </row>
    <row r="104" spans="1:6" hidden="1">
      <c r="A104" s="235" t="e">
        <v>#REF!</v>
      </c>
      <c r="B104" s="236" t="e">
        <v>#REF!</v>
      </c>
      <c r="C104" s="237"/>
      <c r="D104" s="237"/>
      <c r="E104" s="244"/>
      <c r="F104" s="267" t="e">
        <v>#REF!</v>
      </c>
    </row>
    <row r="105" spans="1:6" hidden="1">
      <c r="A105" s="235" t="e">
        <v>#REF!</v>
      </c>
      <c r="B105" s="236" t="e">
        <v>#REF!</v>
      </c>
      <c r="C105" s="237"/>
      <c r="D105" s="237"/>
      <c r="E105" s="244"/>
      <c r="F105" s="267" t="e">
        <v>#REF!</v>
      </c>
    </row>
    <row r="106" spans="1:6" hidden="1">
      <c r="A106" s="235" t="e">
        <v>#REF!</v>
      </c>
      <c r="B106" s="236" t="e">
        <v>#REF!</v>
      </c>
      <c r="C106" s="237"/>
      <c r="D106" s="237"/>
      <c r="E106" s="244"/>
      <c r="F106" s="267" t="e">
        <v>#REF!</v>
      </c>
    </row>
    <row r="107" spans="1:6" ht="5.25" hidden="1" customHeight="1">
      <c r="C107" s="237"/>
      <c r="D107" s="237"/>
      <c r="E107" s="244"/>
      <c r="F107" s="267"/>
    </row>
    <row r="108" spans="1:6" ht="13.5" hidden="1" customHeight="1">
      <c r="A108" s="235" t="e">
        <v>#REF!</v>
      </c>
      <c r="B108" s="236" t="e">
        <v>#REF!</v>
      </c>
      <c r="C108" s="237"/>
      <c r="D108" s="237"/>
      <c r="E108" s="244"/>
      <c r="F108" s="267" t="e">
        <v>#REF!</v>
      </c>
    </row>
    <row r="109" spans="1:6" hidden="1">
      <c r="A109" s="235" t="e">
        <v>#REF!</v>
      </c>
      <c r="B109" s="236" t="e">
        <v>#REF!</v>
      </c>
      <c r="C109" s="237"/>
      <c r="D109" s="237"/>
      <c r="E109" s="244"/>
      <c r="F109" s="267" t="e">
        <v>#REF!</v>
      </c>
    </row>
    <row r="110" spans="1:6" hidden="1">
      <c r="A110" s="235" t="e">
        <v>#REF!</v>
      </c>
      <c r="B110" s="236" t="e">
        <v>#REF!</v>
      </c>
      <c r="C110" s="237"/>
      <c r="D110" s="237"/>
      <c r="E110" s="244"/>
      <c r="F110" s="267" t="e">
        <v>#REF!</v>
      </c>
    </row>
    <row r="111" spans="1:6" hidden="1">
      <c r="A111" s="235" t="e">
        <v>#REF!</v>
      </c>
      <c r="B111" s="236" t="e">
        <v>#REF!</v>
      </c>
      <c r="C111" s="237"/>
      <c r="D111" s="237"/>
      <c r="E111" s="244"/>
      <c r="F111" s="267" t="e">
        <v>#REF!</v>
      </c>
    </row>
    <row r="112" spans="1:6" hidden="1">
      <c r="A112" s="235" t="e">
        <v>#REF!</v>
      </c>
      <c r="B112" s="236" t="e">
        <v>#REF!</v>
      </c>
      <c r="C112" s="237"/>
      <c r="D112" s="237"/>
      <c r="E112" s="244"/>
      <c r="F112" s="267" t="e">
        <v>#REF!</v>
      </c>
    </row>
    <row r="113" spans="1:9" hidden="1">
      <c r="A113" s="235" t="e">
        <v>#REF!</v>
      </c>
      <c r="B113" s="236" t="e">
        <v>#REF!</v>
      </c>
      <c r="C113" s="237"/>
      <c r="D113" s="237"/>
      <c r="E113" s="244"/>
      <c r="F113" s="267" t="e">
        <v>#REF!</v>
      </c>
    </row>
    <row r="114" spans="1:9" hidden="1">
      <c r="A114" s="235" t="e">
        <v>#REF!</v>
      </c>
      <c r="B114" s="236" t="e">
        <v>#REF!</v>
      </c>
      <c r="C114" s="237"/>
      <c r="D114" s="237"/>
      <c r="E114" s="244"/>
      <c r="F114" s="267" t="e">
        <v>#REF!</v>
      </c>
    </row>
    <row r="115" spans="1:9" hidden="1">
      <c r="A115" s="235" t="e">
        <v>#REF!</v>
      </c>
      <c r="B115" s="236" t="e">
        <v>#REF!</v>
      </c>
      <c r="C115" s="237"/>
      <c r="D115" s="237"/>
      <c r="E115" s="244"/>
      <c r="F115" s="267" t="e">
        <v>#REF!</v>
      </c>
    </row>
    <row r="116" spans="1:9" hidden="1">
      <c r="A116" s="235" t="e">
        <v>#REF!</v>
      </c>
      <c r="B116" s="236" t="e">
        <v>#REF!</v>
      </c>
      <c r="C116" s="237"/>
      <c r="D116" s="237"/>
      <c r="E116" s="244"/>
      <c r="F116" s="267" t="e">
        <v>#REF!</v>
      </c>
    </row>
    <row r="117" spans="1:9" hidden="1">
      <c r="A117" s="235" t="e">
        <v>#REF!</v>
      </c>
      <c r="B117" s="236" t="e">
        <v>#REF!</v>
      </c>
      <c r="C117" s="237"/>
      <c r="D117" s="237"/>
      <c r="E117" s="244"/>
      <c r="F117" s="267" t="e">
        <v>#REF!</v>
      </c>
    </row>
    <row r="118" spans="1:9" hidden="1">
      <c r="A118" s="235" t="e">
        <v>#REF!</v>
      </c>
      <c r="B118" s="236" t="e">
        <v>#REF!</v>
      </c>
      <c r="C118" s="237"/>
      <c r="D118" s="237"/>
      <c r="E118" s="244"/>
      <c r="F118" s="267" t="e">
        <v>#REF!</v>
      </c>
    </row>
    <row r="119" spans="1:9" hidden="1">
      <c r="A119" s="235" t="e">
        <v>#REF!</v>
      </c>
      <c r="B119" s="236" t="e">
        <v>#REF!</v>
      </c>
      <c r="C119" s="237"/>
      <c r="D119" s="237"/>
      <c r="E119" s="244"/>
      <c r="F119" s="267" t="e">
        <v>#REF!</v>
      </c>
    </row>
    <row r="120" spans="1:9" hidden="1">
      <c r="A120" s="235" t="e">
        <v>#REF!</v>
      </c>
      <c r="B120" s="236" t="e">
        <v>#REF!</v>
      </c>
      <c r="C120" s="237"/>
      <c r="D120" s="237"/>
      <c r="E120" s="244"/>
      <c r="F120" s="267" t="e">
        <v>#REF!</v>
      </c>
    </row>
    <row r="121" spans="1:9" hidden="1">
      <c r="A121" s="235" t="e">
        <v>#REF!</v>
      </c>
      <c r="B121" s="236" t="e">
        <v>#REF!</v>
      </c>
      <c r="C121" s="237"/>
      <c r="D121" s="237"/>
      <c r="E121" s="244"/>
      <c r="F121" s="267" t="e">
        <v>#REF!</v>
      </c>
    </row>
    <row r="122" spans="1:9" ht="13.5" hidden="1" customHeight="1">
      <c r="A122" s="235" t="e">
        <v>#REF!</v>
      </c>
      <c r="B122" s="236" t="e">
        <v>#REF!</v>
      </c>
      <c r="C122" s="237"/>
      <c r="D122" s="237"/>
      <c r="E122" s="244"/>
      <c r="F122" s="267" t="e">
        <v>#REF!</v>
      </c>
    </row>
    <row r="123" spans="1:9" ht="0.75" hidden="1" customHeight="1">
      <c r="A123" s="235" t="e">
        <v>#REF!</v>
      </c>
      <c r="B123" s="236" t="e">
        <v>#REF!</v>
      </c>
      <c r="C123" s="237"/>
      <c r="D123" s="237"/>
      <c r="E123" s="244"/>
      <c r="F123" s="267" t="e">
        <v>#REF!</v>
      </c>
    </row>
    <row r="124" spans="1:9" ht="13.5" hidden="1" customHeight="1">
      <c r="B124" s="236" t="s">
        <v>231</v>
      </c>
      <c r="C124" s="237"/>
      <c r="D124" s="237"/>
      <c r="E124" s="244"/>
      <c r="F124" s="250" t="e">
        <f>SUM(F86:F123)</f>
        <v>#REF!</v>
      </c>
    </row>
    <row r="125" spans="1:9" hidden="1">
      <c r="C125" s="237"/>
      <c r="D125" s="237"/>
      <c r="E125" s="237"/>
      <c r="F125" s="229"/>
      <c r="G125" s="268"/>
    </row>
    <row r="126" spans="1:9" hidden="1">
      <c r="B126" s="236" t="str">
        <f>B48</f>
        <v>Weighted Average Cost of Debt</v>
      </c>
      <c r="C126" s="269"/>
      <c r="D126" s="269"/>
      <c r="E126" s="270"/>
      <c r="F126" s="271" t="e">
        <v>#REF!</v>
      </c>
      <c r="H126" s="272" t="s">
        <v>232</v>
      </c>
      <c r="I126" s="258"/>
    </row>
    <row r="127" spans="1:9" hidden="1">
      <c r="C127" s="237"/>
      <c r="D127" s="237"/>
      <c r="F127" s="229"/>
    </row>
    <row r="128" spans="1:9" hidden="1">
      <c r="B128" s="236" t="s">
        <v>118</v>
      </c>
      <c r="C128" s="237"/>
      <c r="D128" s="237"/>
      <c r="E128" s="244"/>
      <c r="F128" s="244" t="e">
        <f>F124*F126</f>
        <v>#REF!</v>
      </c>
    </row>
    <row r="129" spans="1:8" hidden="1">
      <c r="C129" s="237"/>
      <c r="D129" s="237"/>
      <c r="E129" s="237"/>
      <c r="F129" s="229"/>
    </row>
    <row r="130" spans="1:8" hidden="1">
      <c r="B130" s="236" t="s">
        <v>233</v>
      </c>
      <c r="C130" s="237"/>
      <c r="D130" s="237"/>
      <c r="F130" s="273">
        <v>21469</v>
      </c>
      <c r="H130" s="274" t="s">
        <v>234</v>
      </c>
    </row>
    <row r="131" spans="1:8" hidden="1">
      <c r="C131" s="237"/>
      <c r="D131" s="237"/>
      <c r="E131" s="237"/>
      <c r="F131" s="229"/>
    </row>
    <row r="132" spans="1:8" hidden="1">
      <c r="B132" s="236" t="s">
        <v>119</v>
      </c>
      <c r="C132" s="237"/>
      <c r="D132" s="237"/>
      <c r="E132" s="244"/>
      <c r="F132" s="244" t="e">
        <f>F128-F130</f>
        <v>#REF!</v>
      </c>
    </row>
    <row r="133" spans="1:8" hidden="1">
      <c r="B133" s="236" t="s">
        <v>120</v>
      </c>
      <c r="D133" s="237"/>
      <c r="E133" s="275"/>
      <c r="F133" s="276">
        <v>0.35</v>
      </c>
    </row>
    <row r="134" spans="1:8" hidden="1">
      <c r="D134" s="237"/>
      <c r="E134" s="237"/>
      <c r="F134" s="229"/>
    </row>
    <row r="135" spans="1:8" hidden="1">
      <c r="B135" s="236" t="s">
        <v>121</v>
      </c>
      <c r="D135" s="237"/>
      <c r="E135" s="244"/>
      <c r="F135" s="244" t="e">
        <f>F132*-F133</f>
        <v>#REF!</v>
      </c>
      <c r="G135" s="244"/>
    </row>
    <row r="136" spans="1:8" ht="13.5" hidden="1" thickTop="1">
      <c r="D136" s="237"/>
      <c r="E136" s="244"/>
      <c r="F136" s="277"/>
    </row>
    <row r="137" spans="1:8" hidden="1">
      <c r="A137" s="278"/>
      <c r="F137" s="229"/>
    </row>
    <row r="138" spans="1:8" hidden="1">
      <c r="A138" s="278"/>
      <c r="B138" s="239" t="s">
        <v>214</v>
      </c>
      <c r="F138" s="229"/>
    </row>
    <row r="139" spans="1:8" hidden="1">
      <c r="A139" s="278"/>
      <c r="B139" s="236" t="s">
        <v>215</v>
      </c>
      <c r="C139" s="244">
        <f>C61</f>
        <v>2430</v>
      </c>
      <c r="F139" s="229"/>
    </row>
    <row r="140" spans="1:8" hidden="1">
      <c r="A140" s="278"/>
      <c r="B140" s="236" t="s">
        <v>217</v>
      </c>
      <c r="C140" s="229">
        <f>C62</f>
        <v>2935</v>
      </c>
      <c r="F140" s="229"/>
    </row>
    <row r="141" spans="1:8" hidden="1">
      <c r="A141" s="278"/>
      <c r="B141" s="236" t="s">
        <v>218</v>
      </c>
      <c r="C141" s="250">
        <f>C139+C140</f>
        <v>5365</v>
      </c>
      <c r="F141" s="229"/>
    </row>
    <row r="142" spans="1:8" hidden="1">
      <c r="A142" s="278"/>
      <c r="C142" s="244"/>
      <c r="F142" s="229"/>
    </row>
    <row r="143" spans="1:8" hidden="1">
      <c r="A143" s="278"/>
      <c r="C143" s="251"/>
      <c r="D143" s="234"/>
      <c r="E143" s="234" t="s">
        <v>219</v>
      </c>
      <c r="F143" s="229"/>
    </row>
    <row r="144" spans="1:8" hidden="1">
      <c r="A144" s="278"/>
      <c r="C144" s="241" t="s">
        <v>220</v>
      </c>
      <c r="D144" s="241" t="s">
        <v>221</v>
      </c>
      <c r="E144" s="241" t="s">
        <v>24</v>
      </c>
      <c r="F144" s="229"/>
    </row>
    <row r="145" spans="1:6" hidden="1">
      <c r="A145" s="278"/>
      <c r="B145" s="236" t="s">
        <v>222</v>
      </c>
      <c r="C145" s="244" t="e">
        <f>$C$67</f>
        <v>#REF!</v>
      </c>
      <c r="D145" s="279" t="e">
        <f>C145/C148</f>
        <v>#REF!</v>
      </c>
      <c r="E145" s="244" t="e">
        <f>D145*E148</f>
        <v>#REF!</v>
      </c>
      <c r="F145" s="229"/>
    </row>
    <row r="146" spans="1:6" hidden="1">
      <c r="A146" s="278"/>
      <c r="B146" s="236" t="s">
        <v>223</v>
      </c>
      <c r="C146" s="229" t="e">
        <f>$C$68</f>
        <v>#REF!</v>
      </c>
      <c r="D146" s="280" t="e">
        <f>C146/C148</f>
        <v>#REF!</v>
      </c>
      <c r="E146" s="281" t="e">
        <f>D146*E148</f>
        <v>#REF!</v>
      </c>
      <c r="F146" s="229"/>
    </row>
    <row r="147" spans="1:6" hidden="1">
      <c r="A147" s="278"/>
      <c r="B147" s="236" t="s">
        <v>224</v>
      </c>
      <c r="C147" s="229" t="e">
        <f>$C$69</f>
        <v>#REF!</v>
      </c>
      <c r="D147" s="280" t="e">
        <f>C147/C148</f>
        <v>#REF!</v>
      </c>
      <c r="E147" s="281" t="e">
        <f>E148*D147</f>
        <v>#REF!</v>
      </c>
      <c r="F147" s="229"/>
    </row>
    <row r="148" spans="1:6" hidden="1">
      <c r="A148" s="278"/>
      <c r="B148" s="236" t="s">
        <v>225</v>
      </c>
      <c r="C148" s="250" t="e">
        <f>C145+C146+C147</f>
        <v>#REF!</v>
      </c>
      <c r="D148" s="282" t="e">
        <f>D145+D146+D147</f>
        <v>#REF!</v>
      </c>
      <c r="E148" s="250">
        <f>C141</f>
        <v>5365</v>
      </c>
      <c r="F148" s="229"/>
    </row>
    <row r="149" spans="1:6" hidden="1">
      <c r="A149" s="278"/>
      <c r="F149" s="229"/>
    </row>
    <row r="150" spans="1:6" hidden="1">
      <c r="A150" s="278"/>
      <c r="B150" s="236" t="s">
        <v>226</v>
      </c>
      <c r="C150" s="244" t="e">
        <f>$C$72</f>
        <v>#REF!</v>
      </c>
      <c r="D150" s="279" t="e">
        <f>C150/C152</f>
        <v>#REF!</v>
      </c>
      <c r="E150" s="244" t="e">
        <f>D150*E152</f>
        <v>#REF!</v>
      </c>
      <c r="F150" s="229"/>
    </row>
    <row r="151" spans="1:6" hidden="1">
      <c r="A151" s="278"/>
      <c r="B151" s="236" t="s">
        <v>227</v>
      </c>
      <c r="C151" s="229" t="e">
        <f>$C$73</f>
        <v>#REF!</v>
      </c>
      <c r="D151" s="279" t="e">
        <f>C151/C152</f>
        <v>#REF!</v>
      </c>
      <c r="E151" s="229" t="e">
        <f>D151*E152</f>
        <v>#REF!</v>
      </c>
      <c r="F151" s="229"/>
    </row>
    <row r="152" spans="1:6" hidden="1">
      <c r="A152" s="278"/>
      <c r="B152" s="236" t="s">
        <v>225</v>
      </c>
      <c r="C152" s="250" t="e">
        <f>C150+C151</f>
        <v>#REF!</v>
      </c>
      <c r="D152" s="282" t="e">
        <f>D150+D151</f>
        <v>#REF!</v>
      </c>
      <c r="E152" s="250" t="e">
        <f>E145</f>
        <v>#REF!</v>
      </c>
      <c r="F152" s="229"/>
    </row>
    <row r="153" spans="1:6" hidden="1">
      <c r="A153" s="278"/>
      <c r="F153" s="229"/>
    </row>
    <row r="154" spans="1:6" hidden="1">
      <c r="A154" s="278"/>
      <c r="B154" s="236" t="s">
        <v>228</v>
      </c>
      <c r="C154" s="244" t="e">
        <f>$C$76</f>
        <v>#REF!</v>
      </c>
      <c r="D154" s="283" t="e">
        <f>C154/C156</f>
        <v>#REF!</v>
      </c>
      <c r="E154" s="244" t="e">
        <f>E156*D154</f>
        <v>#REF!</v>
      </c>
      <c r="F154" s="229"/>
    </row>
    <row r="155" spans="1:6" hidden="1">
      <c r="A155" s="278"/>
      <c r="B155" s="236" t="s">
        <v>229</v>
      </c>
      <c r="C155" s="229" t="e">
        <f>C$77</f>
        <v>#REF!</v>
      </c>
      <c r="D155" s="284" t="e">
        <f>C155/C156</f>
        <v>#REF!</v>
      </c>
      <c r="E155" s="229" t="e">
        <f>E156*D155</f>
        <v>#REF!</v>
      </c>
      <c r="F155" s="229"/>
    </row>
    <row r="156" spans="1:6" hidden="1">
      <c r="A156" s="278"/>
      <c r="B156" s="236" t="s">
        <v>225</v>
      </c>
      <c r="C156" s="250" t="e">
        <f>SUM(C154:C155)</f>
        <v>#REF!</v>
      </c>
      <c r="D156" s="285" t="e">
        <f>SUM(D154:D155)</f>
        <v>#REF!</v>
      </c>
      <c r="E156" s="250" t="e">
        <f>E146</f>
        <v>#REF!</v>
      </c>
      <c r="F156" s="229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r:id="rId1"/>
  <headerFooter alignWithMargins="0"/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O312"/>
  <sheetViews>
    <sheetView workbookViewId="0"/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9" width="12.140625" style="9" bestFit="1" customWidth="1"/>
    <col min="10" max="16384" width="9.140625" style="9"/>
  </cols>
  <sheetData>
    <row r="1" spans="1:8" ht="16.5" customHeight="1">
      <c r="F1" s="369"/>
    </row>
    <row r="2" spans="1:8" ht="4.5" customHeight="1"/>
    <row r="3" spans="1:8" ht="12">
      <c r="A3" s="790" t="s">
        <v>112</v>
      </c>
      <c r="B3" s="790"/>
      <c r="C3" s="790"/>
      <c r="E3" s="10"/>
      <c r="F3" s="11"/>
      <c r="G3" s="10"/>
    </row>
    <row r="4" spans="1:8" ht="12">
      <c r="A4" s="8" t="s">
        <v>201</v>
      </c>
      <c r="B4" s="8"/>
      <c r="C4" s="8"/>
      <c r="E4" s="12" t="s">
        <v>76</v>
      </c>
      <c r="F4" s="12"/>
      <c r="G4" s="12"/>
    </row>
    <row r="5" spans="1:8" ht="12">
      <c r="A5" s="791" t="s">
        <v>495</v>
      </c>
      <c r="B5" s="790"/>
      <c r="C5" s="790"/>
      <c r="E5" s="12" t="s">
        <v>77</v>
      </c>
      <c r="F5" s="12"/>
      <c r="G5" s="12"/>
    </row>
    <row r="6" spans="1:8" ht="12">
      <c r="A6" s="8" t="s">
        <v>78</v>
      </c>
      <c r="B6" s="8"/>
      <c r="C6" s="8"/>
      <c r="E6" s="13"/>
      <c r="F6" s="14" t="s">
        <v>79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16</v>
      </c>
      <c r="B8" s="18" t="s">
        <v>71</v>
      </c>
      <c r="C8" s="18"/>
      <c r="E8" s="19" t="s">
        <v>80</v>
      </c>
      <c r="F8" s="20" t="s">
        <v>81</v>
      </c>
      <c r="G8" s="19" t="s">
        <v>82</v>
      </c>
      <c r="H8" s="21" t="s">
        <v>83</v>
      </c>
    </row>
    <row r="9" spans="1:8" ht="12">
      <c r="A9" s="15"/>
      <c r="B9" s="9" t="s">
        <v>32</v>
      </c>
      <c r="E9" s="22"/>
      <c r="F9" s="16"/>
      <c r="G9" s="22"/>
    </row>
    <row r="10" spans="1:8" ht="12">
      <c r="A10" s="15"/>
      <c r="B10" s="157"/>
      <c r="E10" s="156"/>
      <c r="F10" s="155"/>
      <c r="G10" s="155"/>
    </row>
    <row r="11" spans="1:8" ht="12">
      <c r="A11" s="15"/>
      <c r="B11" s="157"/>
      <c r="E11" s="156"/>
      <c r="F11" s="155"/>
      <c r="G11" s="155"/>
    </row>
    <row r="12" spans="1:8" ht="12">
      <c r="A12" s="15"/>
      <c r="E12" s="22"/>
      <c r="F12" s="16"/>
      <c r="G12" s="16"/>
    </row>
    <row r="13" spans="1:8" ht="5.25" customHeight="1">
      <c r="A13" s="220"/>
      <c r="E13" s="22"/>
      <c r="F13" s="16"/>
      <c r="G13" s="16"/>
    </row>
    <row r="14" spans="1:8" ht="12">
      <c r="A14" s="220"/>
      <c r="E14" s="22"/>
      <c r="F14" s="16"/>
      <c r="G14" s="16"/>
    </row>
    <row r="15" spans="1:8" ht="12">
      <c r="A15" s="15">
        <v>1</v>
      </c>
      <c r="B15" s="9" t="s">
        <v>84</v>
      </c>
      <c r="E15" s="23">
        <f>F15+G15</f>
        <v>140625</v>
      </c>
      <c r="F15" s="151">
        <f>F94</f>
        <v>140625</v>
      </c>
      <c r="G15" s="151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85</v>
      </c>
      <c r="E16" s="25">
        <f>F16+G16</f>
        <v>5088</v>
      </c>
      <c r="F16" s="152">
        <f>F99</f>
        <v>5088</v>
      </c>
      <c r="G16" s="152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35</v>
      </c>
      <c r="E17" s="26">
        <f>F17+G17</f>
        <v>50681</v>
      </c>
      <c r="F17" s="153">
        <f>F104-F99</f>
        <v>50681</v>
      </c>
      <c r="G17" s="153">
        <f>G104-G99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86</v>
      </c>
      <c r="E18" s="25">
        <f>SUM(E15:E17)</f>
        <v>196394</v>
      </c>
      <c r="F18" s="25">
        <f>SUM(F15:F17)</f>
        <v>196394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37</v>
      </c>
      <c r="E20" s="25"/>
      <c r="F20" s="25"/>
      <c r="G20" s="25"/>
      <c r="H20" s="24"/>
    </row>
    <row r="21" spans="1:8" ht="12">
      <c r="A21" s="15"/>
      <c r="B21" s="9" t="s">
        <v>204</v>
      </c>
      <c r="E21" s="25"/>
      <c r="F21" s="152"/>
      <c r="G21" s="152"/>
      <c r="H21" s="154" t="str">
        <f>IF(E21=F21+G21," ","ERROR")</f>
        <v xml:space="preserve"> </v>
      </c>
    </row>
    <row r="22" spans="1:8" ht="12">
      <c r="A22" s="15">
        <v>5</v>
      </c>
      <c r="B22" s="9" t="s">
        <v>87</v>
      </c>
      <c r="E22" s="25">
        <f>F22+G22</f>
        <v>90669</v>
      </c>
      <c r="F22" s="152">
        <f>F108</f>
        <v>90669</v>
      </c>
      <c r="G22" s="152">
        <f>G108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88</v>
      </c>
      <c r="E23" s="25">
        <f>F23+G23</f>
        <v>955</v>
      </c>
      <c r="F23" s="152">
        <f>F111+F112</f>
        <v>955</v>
      </c>
      <c r="G23" s="152">
        <f>G110+G111+G112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89</v>
      </c>
      <c r="E24" s="26">
        <f>F24+G24</f>
        <v>-292</v>
      </c>
      <c r="F24" s="153">
        <f>F109+F110</f>
        <v>-292</v>
      </c>
      <c r="G24" s="153">
        <f>G109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90</v>
      </c>
      <c r="E25" s="25">
        <f>SUM(E22:E24)</f>
        <v>91332</v>
      </c>
      <c r="F25" s="25">
        <f>SUM(F22:F24)</f>
        <v>91332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20"/>
      <c r="E26" s="25"/>
      <c r="F26" s="25"/>
      <c r="G26" s="25"/>
      <c r="H26" s="24"/>
    </row>
    <row r="27" spans="1:8" ht="12">
      <c r="A27" s="15"/>
      <c r="B27" s="9" t="s">
        <v>42</v>
      </c>
      <c r="E27" s="25"/>
      <c r="F27" s="25"/>
      <c r="G27" s="25"/>
      <c r="H27" s="24"/>
    </row>
    <row r="28" spans="1:8" ht="12">
      <c r="A28" s="15">
        <v>9</v>
      </c>
      <c r="B28" s="9" t="s">
        <v>91</v>
      </c>
      <c r="E28" s="25">
        <f>F28+G28</f>
        <v>1532</v>
      </c>
      <c r="F28" s="152">
        <f>F119-1</f>
        <v>1532</v>
      </c>
      <c r="G28" s="152">
        <f>G119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92</v>
      </c>
      <c r="E29" s="25">
        <f>F29+G29</f>
        <v>627</v>
      </c>
      <c r="F29" s="152">
        <f>F121+F122</f>
        <v>627</v>
      </c>
      <c r="G29" s="152">
        <f>G121+G122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93</v>
      </c>
      <c r="E30" s="26">
        <f>F30+G30</f>
        <v>302</v>
      </c>
      <c r="F30" s="153">
        <f>F123</f>
        <v>302</v>
      </c>
      <c r="G30" s="153">
        <f>G123</f>
        <v>0</v>
      </c>
      <c r="H30" s="24" t="str">
        <f>IF(E30=F30+G30," ","ERROR")</f>
        <v xml:space="preserve"> </v>
      </c>
    </row>
    <row r="31" spans="1:8" ht="12">
      <c r="A31" s="341">
        <v>12</v>
      </c>
      <c r="B31" s="9" t="s">
        <v>94</v>
      </c>
      <c r="E31" s="25">
        <f>SUM(E28:E30)</f>
        <v>2461</v>
      </c>
      <c r="F31" s="152">
        <f>SUM(F28:F30)</f>
        <v>2461</v>
      </c>
      <c r="G31" s="152">
        <f>SUM(G28:G30)</f>
        <v>0</v>
      </c>
      <c r="H31" s="24" t="str">
        <f>IF(E31=F31+G31," ","ERROR")</f>
        <v xml:space="preserve"> </v>
      </c>
    </row>
    <row r="32" spans="1:8" ht="12">
      <c r="A32" s="220"/>
      <c r="E32" s="25"/>
      <c r="F32" s="152"/>
      <c r="G32" s="152"/>
      <c r="H32" s="24"/>
    </row>
    <row r="33" spans="1:10" ht="12">
      <c r="A33" s="15"/>
      <c r="B33" s="9" t="s">
        <v>46</v>
      </c>
      <c r="E33" s="25"/>
      <c r="F33" s="152"/>
      <c r="G33" s="152"/>
      <c r="H33" s="24"/>
    </row>
    <row r="34" spans="1:10" ht="12">
      <c r="A34" s="15">
        <v>13</v>
      </c>
      <c r="B34" s="9" t="s">
        <v>91</v>
      </c>
      <c r="E34" s="25">
        <f>F34+G34</f>
        <v>12316</v>
      </c>
      <c r="F34" s="152">
        <f>F150</f>
        <v>12316</v>
      </c>
      <c r="G34" s="152">
        <f>G150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92</v>
      </c>
      <c r="E35" s="25">
        <f>F35+G35</f>
        <v>11642</v>
      </c>
      <c r="F35" s="152">
        <f>F152</f>
        <v>11642</v>
      </c>
      <c r="G35" s="152">
        <f>G152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93</v>
      </c>
      <c r="E36" s="26">
        <f>F36+G36</f>
        <v>14128</v>
      </c>
      <c r="F36" s="153">
        <f>F153-1</f>
        <v>14128</v>
      </c>
      <c r="G36" s="153">
        <f>G153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95</v>
      </c>
      <c r="E37" s="25">
        <f>SUM(E34:E36)</f>
        <v>38086</v>
      </c>
      <c r="F37" s="25">
        <f>SUM(F34:F36)</f>
        <v>38086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48</v>
      </c>
      <c r="E39" s="25">
        <f>F39+G39</f>
        <v>7234</v>
      </c>
      <c r="F39" s="152">
        <f>F164</f>
        <v>7234</v>
      </c>
      <c r="G39" s="152">
        <f>G164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49</v>
      </c>
      <c r="E40" s="25">
        <f>F40+G40</f>
        <v>8093</v>
      </c>
      <c r="F40" s="152">
        <f>F170</f>
        <v>8093</v>
      </c>
      <c r="G40" s="152">
        <f>G170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96</v>
      </c>
      <c r="E41" s="25">
        <f>F41+G41</f>
        <v>0</v>
      </c>
      <c r="F41" s="152">
        <f>F176</f>
        <v>0</v>
      </c>
      <c r="G41" s="152">
        <f>G176</f>
        <v>0</v>
      </c>
      <c r="H41" s="24" t="str">
        <f t="shared" si="0"/>
        <v xml:space="preserve"> </v>
      </c>
    </row>
    <row r="42" spans="1:10" ht="12">
      <c r="A42" s="220"/>
      <c r="E42" s="25"/>
      <c r="F42" s="152"/>
      <c r="G42" s="152"/>
      <c r="H42" s="24"/>
    </row>
    <row r="43" spans="1:10" ht="12">
      <c r="A43" s="15"/>
      <c r="B43" s="9" t="s">
        <v>97</v>
      </c>
      <c r="E43" s="25"/>
      <c r="F43" s="152"/>
      <c r="G43" s="152"/>
      <c r="H43" s="24"/>
    </row>
    <row r="44" spans="1:10" ht="12">
      <c r="A44" s="15">
        <v>20</v>
      </c>
      <c r="B44" s="9" t="s">
        <v>91</v>
      </c>
      <c r="E44" s="25">
        <f>F44+G44</f>
        <v>15045</v>
      </c>
      <c r="F44" s="152">
        <f>F190-1</f>
        <v>15045</v>
      </c>
      <c r="G44" s="152">
        <f>G190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412</v>
      </c>
      <c r="E45" s="25">
        <f>F45+G45</f>
        <v>8492</v>
      </c>
      <c r="F45" s="152">
        <f>F192+F193+F194+F195</f>
        <v>8492</v>
      </c>
      <c r="G45" s="152">
        <f>G192+G193+G194+G195</f>
        <v>0</v>
      </c>
      <c r="H45" s="24" t="str">
        <f>IF(E45=F45+G45," ","ERROR")</f>
        <v xml:space="preserve"> </v>
      </c>
      <c r="J45" s="25"/>
    </row>
    <row r="46" spans="1:10" ht="12">
      <c r="A46" s="298">
        <v>22</v>
      </c>
      <c r="B46" s="9" t="s">
        <v>410</v>
      </c>
      <c r="E46" s="25">
        <f>F46+G46</f>
        <v>-1559</v>
      </c>
      <c r="F46" s="152">
        <f>SUM(F196:F208)</f>
        <v>-1559</v>
      </c>
      <c r="G46" s="152">
        <f>SUM(G196:G208)</f>
        <v>0</v>
      </c>
      <c r="H46" s="24"/>
      <c r="J46" s="25"/>
    </row>
    <row r="47" spans="1:10" ht="12">
      <c r="A47" s="15">
        <v>23</v>
      </c>
      <c r="B47" s="9" t="s">
        <v>93</v>
      </c>
      <c r="E47" s="26">
        <f>F47+G47</f>
        <v>0</v>
      </c>
      <c r="F47" s="153">
        <v>0</v>
      </c>
      <c r="G47" s="153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98</v>
      </c>
      <c r="E48" s="26">
        <f>SUM(E44:E47)</f>
        <v>21978</v>
      </c>
      <c r="F48" s="26">
        <f>SUM(F44:F47)</f>
        <v>21978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53</v>
      </c>
      <c r="E49" s="26">
        <f>E25+E31+E37+E39+E40+E41+E48+E21</f>
        <v>169184</v>
      </c>
      <c r="F49" s="26">
        <f>F25+F31+F37+F39+F40+F41+F48+F21</f>
        <v>169184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99</v>
      </c>
      <c r="E51" s="34">
        <f>E18-E49</f>
        <v>27210</v>
      </c>
      <c r="F51" s="34">
        <f>F18-F49</f>
        <v>27210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100</v>
      </c>
      <c r="E53" s="25"/>
      <c r="F53" s="25"/>
      <c r="G53" s="25"/>
      <c r="H53" s="24"/>
    </row>
    <row r="54" spans="1:8" ht="12">
      <c r="A54" s="15">
        <v>27</v>
      </c>
      <c r="B54" s="27" t="s">
        <v>101</v>
      </c>
      <c r="D54" s="28">
        <v>0.21</v>
      </c>
      <c r="E54" s="25">
        <f>F54+G54</f>
        <v>2557</v>
      </c>
      <c r="F54" s="152">
        <f>F217</f>
        <v>2557</v>
      </c>
      <c r="G54" s="152">
        <f>G217</f>
        <v>0</v>
      </c>
      <c r="H54" s="24" t="str">
        <f>IF(E54=F54+G54," ","ERROR")</f>
        <v xml:space="preserve"> </v>
      </c>
    </row>
    <row r="55" spans="1:8" ht="12">
      <c r="A55" s="220">
        <v>28</v>
      </c>
      <c r="B55" s="27" t="s">
        <v>241</v>
      </c>
      <c r="D55" s="28"/>
      <c r="E55" s="25"/>
      <c r="F55" s="152"/>
      <c r="G55" s="152"/>
      <c r="H55" s="24"/>
    </row>
    <row r="56" spans="1:8" ht="12">
      <c r="A56" s="15">
        <v>29</v>
      </c>
      <c r="B56" s="9" t="s">
        <v>102</v>
      </c>
      <c r="E56" s="25">
        <f>F56+G56</f>
        <v>54</v>
      </c>
      <c r="F56" s="152">
        <f>F218</f>
        <v>54</v>
      </c>
      <c r="G56" s="152">
        <f>G218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103</v>
      </c>
      <c r="E57" s="26">
        <f>F57+G57</f>
        <v>-15</v>
      </c>
      <c r="F57" s="153">
        <f>F219</f>
        <v>-15</v>
      </c>
      <c r="G57" s="153">
        <f>G219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59</v>
      </c>
      <c r="E59" s="35">
        <f>E51-(+E54+E56+E57)</f>
        <v>24614</v>
      </c>
      <c r="F59" s="35">
        <f>F51-(F54+F56+F57)</f>
        <v>24614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104</v>
      </c>
      <c r="G61" s="30"/>
      <c r="H61" s="24"/>
    </row>
    <row r="62" spans="1:8" ht="12">
      <c r="A62" s="15"/>
      <c r="B62" s="27" t="s">
        <v>105</v>
      </c>
      <c r="G62" s="30"/>
      <c r="H62" s="24"/>
    </row>
    <row r="63" spans="1:8" ht="12">
      <c r="A63" s="15">
        <v>32</v>
      </c>
      <c r="B63" s="9" t="s">
        <v>106</v>
      </c>
      <c r="E63" s="23">
        <f>F63+G63</f>
        <v>28442</v>
      </c>
      <c r="F63" s="151">
        <f>F237</f>
        <v>28442</v>
      </c>
      <c r="G63" s="151">
        <f>G237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107</v>
      </c>
      <c r="E64" s="25">
        <f>F64+G64</f>
        <v>462636</v>
      </c>
      <c r="F64" s="152">
        <f>F253</f>
        <v>462636</v>
      </c>
      <c r="G64" s="152">
        <f>G253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108</v>
      </c>
      <c r="E65" s="26">
        <f>F65+G65</f>
        <v>114053</v>
      </c>
      <c r="F65" s="153">
        <f>F266+F226</f>
        <v>114053</v>
      </c>
      <c r="G65" s="153">
        <f>G266+G226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109</v>
      </c>
      <c r="E66" s="25">
        <f>SUM(E63:E65)</f>
        <v>605131</v>
      </c>
      <c r="F66" s="152">
        <f>SUM(F63:F65)</f>
        <v>605131</v>
      </c>
      <c r="G66" s="152">
        <f>SUM(G63:G65)</f>
        <v>0</v>
      </c>
      <c r="H66" s="24" t="str">
        <f t="shared" si="1"/>
        <v xml:space="preserve"> </v>
      </c>
    </row>
    <row r="67" spans="1:8" ht="12">
      <c r="A67" s="220"/>
      <c r="E67" s="25"/>
      <c r="F67" s="152"/>
      <c r="G67" s="152"/>
      <c r="H67" s="24"/>
    </row>
    <row r="68" spans="1:8" ht="12">
      <c r="A68" s="15"/>
      <c r="B68" s="9" t="s">
        <v>413</v>
      </c>
      <c r="E68" s="25"/>
      <c r="F68" s="152"/>
      <c r="G68" s="152"/>
      <c r="H68" s="24" t="str">
        <f t="shared" si="1"/>
        <v xml:space="preserve"> </v>
      </c>
    </row>
    <row r="69" spans="1:8" ht="12">
      <c r="A69" s="15">
        <v>36</v>
      </c>
      <c r="B69" s="9" t="s">
        <v>106</v>
      </c>
      <c r="E69" s="25">
        <f>F69+G69</f>
        <v>-11051</v>
      </c>
      <c r="F69" s="152">
        <f>F272+F280</f>
        <v>-11051</v>
      </c>
      <c r="G69" s="152">
        <f>G272+G280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107</v>
      </c>
      <c r="E70" s="25">
        <f>F70+G70</f>
        <v>-145402</v>
      </c>
      <c r="F70" s="152">
        <f>F273</f>
        <v>-145402</v>
      </c>
      <c r="G70" s="152">
        <f>G273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108</v>
      </c>
      <c r="E71" s="26">
        <f>F71+G71</f>
        <v>-32354</v>
      </c>
      <c r="F71" s="153">
        <f>F274+F278+F279+F281</f>
        <v>-32354</v>
      </c>
      <c r="G71" s="153">
        <f>G274+G278+G279+G281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414</v>
      </c>
      <c r="E72" s="302">
        <f>SUM(E69:E71)</f>
        <v>-188807</v>
      </c>
      <c r="F72" s="302">
        <f>SUM(F69:F71)</f>
        <v>-188807</v>
      </c>
      <c r="G72" s="302">
        <f>SUM(G69:G71)</f>
        <v>0</v>
      </c>
      <c r="H72" s="24" t="str">
        <f t="shared" si="1"/>
        <v xml:space="preserve"> </v>
      </c>
    </row>
    <row r="73" spans="1:8" ht="12">
      <c r="A73" s="220">
        <v>40</v>
      </c>
      <c r="B73" s="9" t="s">
        <v>173</v>
      </c>
      <c r="E73" s="25">
        <f>E66+E72</f>
        <v>416324</v>
      </c>
      <c r="F73" s="25">
        <f>F66+F72</f>
        <v>416324</v>
      </c>
      <c r="G73" s="25">
        <f>G66+G72</f>
        <v>0</v>
      </c>
      <c r="H73" s="24"/>
    </row>
    <row r="74" spans="1:8" ht="12">
      <c r="A74" s="15">
        <v>41</v>
      </c>
      <c r="B74" s="27" t="s">
        <v>110</v>
      </c>
      <c r="E74" s="303">
        <f>F74+G74</f>
        <v>-88908</v>
      </c>
      <c r="F74" s="303">
        <f>F294</f>
        <v>-88908</v>
      </c>
      <c r="G74" s="303">
        <f>G294</f>
        <v>0</v>
      </c>
      <c r="H74" s="24" t="str">
        <f t="shared" si="1"/>
        <v xml:space="preserve"> </v>
      </c>
    </row>
    <row r="75" spans="1:8" ht="12">
      <c r="A75" s="220">
        <v>42</v>
      </c>
      <c r="B75" s="204" t="s">
        <v>203</v>
      </c>
      <c r="E75" s="25">
        <f>E73+E74</f>
        <v>327416</v>
      </c>
      <c r="F75" s="25">
        <f>F73+F74</f>
        <v>327416</v>
      </c>
      <c r="G75" s="25">
        <f>G73+G74</f>
        <v>0</v>
      </c>
      <c r="H75" s="24"/>
    </row>
    <row r="76" spans="1:8" ht="12">
      <c r="A76" s="15">
        <v>43</v>
      </c>
      <c r="B76" s="9" t="s">
        <v>66</v>
      </c>
      <c r="E76" s="25">
        <f t="shared" ref="E76:E79" si="2">F76+G76</f>
        <v>8355</v>
      </c>
      <c r="F76" s="25">
        <f>F301+F302</f>
        <v>8355</v>
      </c>
      <c r="G76" s="25">
        <f>G301+G302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67</v>
      </c>
      <c r="E77" s="25">
        <f t="shared" si="2"/>
        <v>0</v>
      </c>
      <c r="F77" s="30">
        <v>0</v>
      </c>
      <c r="G77" s="30">
        <f>G299+G300</f>
        <v>0</v>
      </c>
      <c r="H77" s="24" t="str">
        <f>IF(E79=F79+G79," ","ERROR")</f>
        <v xml:space="preserve"> </v>
      </c>
    </row>
    <row r="78" spans="1:8" ht="12">
      <c r="A78" s="298">
        <v>45</v>
      </c>
      <c r="B78" s="27" t="s">
        <v>418</v>
      </c>
      <c r="E78" s="25">
        <f t="shared" si="2"/>
        <v>5338</v>
      </c>
      <c r="F78" s="30">
        <f>F303+F304+F306+F307+F299+F300+F305</f>
        <v>5338</v>
      </c>
      <c r="G78" s="30">
        <f>G303+G304</f>
        <v>0</v>
      </c>
      <c r="H78" s="24"/>
    </row>
    <row r="79" spans="1:8" ht="12">
      <c r="A79" s="15">
        <v>46</v>
      </c>
      <c r="B79" s="39" t="s">
        <v>175</v>
      </c>
      <c r="E79" s="26">
        <f t="shared" si="2"/>
        <v>7549</v>
      </c>
      <c r="F79" s="26">
        <f>F308</f>
        <v>7549</v>
      </c>
      <c r="G79" s="26">
        <f>G308</f>
        <v>0</v>
      </c>
      <c r="H79" s="24"/>
    </row>
    <row r="80" spans="1:8" ht="11.1" customHeight="1">
      <c r="G80" s="30"/>
    </row>
    <row r="81" spans="1:10" ht="9" customHeight="1">
      <c r="A81" s="15"/>
      <c r="B81" s="9" t="s">
        <v>111</v>
      </c>
      <c r="G81" s="30"/>
      <c r="H81" s="24"/>
    </row>
    <row r="82" spans="1:10" ht="12.75" thickBot="1">
      <c r="A82" s="15">
        <v>47</v>
      </c>
      <c r="B82" s="31" t="s">
        <v>68</v>
      </c>
      <c r="E82" s="32">
        <f>E75+E76+E79+E77+E78</f>
        <v>348658</v>
      </c>
      <c r="F82" s="32">
        <f>F75+F76+F79+F77+F78</f>
        <v>348658</v>
      </c>
      <c r="G82" s="32">
        <f>G75+G76+G79+G77+G78</f>
        <v>0</v>
      </c>
      <c r="H82" s="24" t="str">
        <f>IF(E82=F82+G82," ","ERROR")</f>
        <v xml:space="preserve"> </v>
      </c>
    </row>
    <row r="83" spans="1:10" ht="11.1" customHeight="1" thickTop="1">
      <c r="E83" s="16"/>
      <c r="F83" s="16"/>
      <c r="G83" s="16"/>
    </row>
    <row r="84" spans="1:10" ht="11.1" customHeight="1">
      <c r="E84" s="33">
        <f>E59/E82</f>
        <v>7.0596401057770083E-2</v>
      </c>
      <c r="F84" s="33">
        <f>F59/F82</f>
        <v>7.0596401057770083E-2</v>
      </c>
      <c r="G84" s="33"/>
    </row>
    <row r="86" spans="1:10" ht="11.1" customHeight="1">
      <c r="A86" s="314"/>
      <c r="B86" s="315" t="s">
        <v>32</v>
      </c>
      <c r="J86" s="451"/>
    </row>
    <row r="87" spans="1:10" ht="11.1" customHeight="1">
      <c r="A87" s="314"/>
      <c r="B87" s="316" t="s">
        <v>242</v>
      </c>
      <c r="J87" s="452"/>
    </row>
    <row r="88" spans="1:10" ht="11.1" customHeight="1">
      <c r="A88" s="317">
        <v>480000</v>
      </c>
      <c r="B88" s="316" t="s">
        <v>243</v>
      </c>
      <c r="F88" s="30">
        <f>ROUND(H88/1000,0)</f>
        <v>96667</v>
      </c>
      <c r="H88" s="156">
        <v>96666957</v>
      </c>
      <c r="I88" s="156"/>
      <c r="J88" s="452"/>
    </row>
    <row r="89" spans="1:10" ht="11.1" customHeight="1">
      <c r="A89" s="317" t="s">
        <v>244</v>
      </c>
      <c r="B89" s="316" t="s">
        <v>245</v>
      </c>
      <c r="F89" s="30">
        <f t="shared" ref="F89:F154" si="3">ROUND(H89/1000,0)</f>
        <v>44092</v>
      </c>
      <c r="H89" s="156">
        <v>44091898</v>
      </c>
      <c r="I89" s="156"/>
      <c r="J89" s="452"/>
    </row>
    <row r="90" spans="1:10" ht="11.1" customHeight="1">
      <c r="A90" s="317" t="s">
        <v>246</v>
      </c>
      <c r="B90" s="316" t="s">
        <v>247</v>
      </c>
      <c r="F90" s="30">
        <f t="shared" si="3"/>
        <v>1517</v>
      </c>
      <c r="H90" s="156">
        <v>1517194</v>
      </c>
      <c r="I90" s="156"/>
      <c r="J90" s="452"/>
    </row>
    <row r="91" spans="1:10" ht="11.1" customHeight="1">
      <c r="A91" s="317">
        <v>481400</v>
      </c>
      <c r="B91" s="316" t="s">
        <v>248</v>
      </c>
      <c r="F91" s="30">
        <f t="shared" si="3"/>
        <v>0</v>
      </c>
      <c r="H91" s="156">
        <v>0</v>
      </c>
      <c r="I91" s="156"/>
      <c r="J91" s="452"/>
    </row>
    <row r="92" spans="1:10" ht="11.1" customHeight="1">
      <c r="A92" s="317">
        <v>484000</v>
      </c>
      <c r="B92" s="316" t="s">
        <v>251</v>
      </c>
      <c r="F92" s="30">
        <f t="shared" si="3"/>
        <v>225</v>
      </c>
      <c r="H92" s="156">
        <v>225194</v>
      </c>
      <c r="I92" s="156"/>
      <c r="J92" s="452"/>
    </row>
    <row r="93" spans="1:10" ht="11.1" customHeight="1">
      <c r="A93" s="314" t="s">
        <v>249</v>
      </c>
      <c r="B93" s="316" t="s">
        <v>250</v>
      </c>
      <c r="F93" s="30">
        <f t="shared" si="3"/>
        <v>-1876</v>
      </c>
      <c r="H93" s="156">
        <v>-1876069</v>
      </c>
      <c r="I93" s="156"/>
      <c r="J93" s="452"/>
    </row>
    <row r="94" spans="1:10" ht="11.1" customHeight="1">
      <c r="A94" s="314"/>
      <c r="B94" s="316" t="s">
        <v>252</v>
      </c>
      <c r="F94" s="30">
        <f t="shared" si="3"/>
        <v>140625</v>
      </c>
      <c r="H94" s="156">
        <v>140625174</v>
      </c>
      <c r="I94" s="156"/>
      <c r="J94" s="452"/>
    </row>
    <row r="95" spans="1:10" ht="11.1" customHeight="1">
      <c r="A95" s="314"/>
      <c r="B95" s="316"/>
      <c r="F95" s="30">
        <f t="shared" si="3"/>
        <v>0</v>
      </c>
      <c r="H95" s="156"/>
      <c r="I95" s="156"/>
      <c r="J95" s="452"/>
    </row>
    <row r="96" spans="1:10" ht="11.1" customHeight="1">
      <c r="A96" s="314"/>
      <c r="B96" s="316" t="s">
        <v>253</v>
      </c>
      <c r="F96" s="30">
        <f t="shared" si="3"/>
        <v>0</v>
      </c>
      <c r="H96" s="156"/>
      <c r="I96" s="156"/>
      <c r="J96" s="452"/>
    </row>
    <row r="97" spans="1:10" ht="11.1" customHeight="1">
      <c r="A97" s="318">
        <v>483000</v>
      </c>
      <c r="B97" s="319" t="s">
        <v>254</v>
      </c>
      <c r="F97" s="30">
        <f t="shared" si="3"/>
        <v>53967</v>
      </c>
      <c r="H97" s="156">
        <v>53967269</v>
      </c>
      <c r="I97" s="156"/>
      <c r="J97" s="453"/>
    </row>
    <row r="98" spans="1:10" ht="11.1" customHeight="1">
      <c r="A98" s="317">
        <v>488000</v>
      </c>
      <c r="B98" s="316" t="s">
        <v>255</v>
      </c>
      <c r="F98" s="30">
        <f t="shared" si="3"/>
        <v>7</v>
      </c>
      <c r="H98" s="156">
        <v>7344</v>
      </c>
      <c r="I98" s="156"/>
      <c r="J98" s="452"/>
    </row>
    <row r="99" spans="1:10" ht="11.1" customHeight="1">
      <c r="A99" s="317">
        <v>489300</v>
      </c>
      <c r="B99" s="316" t="s">
        <v>256</v>
      </c>
      <c r="F99" s="30">
        <f t="shared" si="3"/>
        <v>5088</v>
      </c>
      <c r="H99" s="156">
        <v>5088149</v>
      </c>
      <c r="I99" s="156"/>
      <c r="J99" s="452"/>
    </row>
    <row r="100" spans="1:10" ht="11.1" customHeight="1">
      <c r="A100" s="317">
        <v>493000</v>
      </c>
      <c r="B100" s="316" t="s">
        <v>257</v>
      </c>
      <c r="F100" s="30">
        <f t="shared" si="3"/>
        <v>3</v>
      </c>
      <c r="H100" s="156">
        <v>2678</v>
      </c>
      <c r="I100" s="156"/>
      <c r="J100" s="452"/>
    </row>
    <row r="101" spans="1:10" ht="11.1" customHeight="1">
      <c r="A101" s="317">
        <v>495000</v>
      </c>
      <c r="B101" s="316" t="s">
        <v>258</v>
      </c>
      <c r="F101" s="30">
        <f t="shared" si="3"/>
        <v>-309</v>
      </c>
      <c r="H101" s="156">
        <v>-308857</v>
      </c>
      <c r="I101" s="156"/>
      <c r="J101" s="452"/>
    </row>
    <row r="102" spans="1:10" ht="11.1" customHeight="1">
      <c r="A102" s="317">
        <v>496100</v>
      </c>
      <c r="B102" s="316" t="s">
        <v>456</v>
      </c>
      <c r="F102" s="30">
        <f t="shared" si="3"/>
        <v>-807</v>
      </c>
      <c r="H102" s="156">
        <v>-806740</v>
      </c>
      <c r="I102" s="156"/>
      <c r="J102" s="452"/>
    </row>
    <row r="103" spans="1:10" ht="11.1" customHeight="1">
      <c r="A103" s="635">
        <v>496110</v>
      </c>
      <c r="B103" s="452" t="s">
        <v>529</v>
      </c>
      <c r="F103" s="30">
        <f t="shared" si="3"/>
        <v>-2181</v>
      </c>
      <c r="H103" s="156">
        <v>-2180561</v>
      </c>
      <c r="I103" s="156"/>
      <c r="J103" s="452"/>
    </row>
    <row r="104" spans="1:10" ht="11.1" customHeight="1">
      <c r="A104" s="314"/>
      <c r="B104" s="316" t="s">
        <v>259</v>
      </c>
      <c r="F104" s="30">
        <f t="shared" si="3"/>
        <v>55769</v>
      </c>
      <c r="H104" s="156">
        <v>55769282</v>
      </c>
      <c r="I104" s="156"/>
      <c r="J104" s="452"/>
    </row>
    <row r="105" spans="1:10" ht="11.1" customHeight="1">
      <c r="A105" s="314"/>
      <c r="B105" s="316" t="s">
        <v>260</v>
      </c>
      <c r="F105" s="30">
        <f t="shared" si="3"/>
        <v>196394</v>
      </c>
      <c r="H105" s="156">
        <v>196394456</v>
      </c>
      <c r="I105" s="156"/>
      <c r="J105" s="452"/>
    </row>
    <row r="106" spans="1:10" ht="11.1" customHeight="1">
      <c r="A106" s="314"/>
      <c r="B106" s="316"/>
      <c r="F106" s="30">
        <f t="shared" si="3"/>
        <v>0</v>
      </c>
      <c r="H106" s="156"/>
      <c r="I106" s="156"/>
      <c r="J106" s="452"/>
    </row>
    <row r="107" spans="1:10" ht="11.1" customHeight="1">
      <c r="A107" s="314"/>
      <c r="B107" s="316" t="s">
        <v>261</v>
      </c>
      <c r="F107" s="30">
        <f t="shared" si="3"/>
        <v>0</v>
      </c>
      <c r="H107" s="156"/>
      <c r="I107" s="156"/>
      <c r="J107" s="452"/>
    </row>
    <row r="108" spans="1:10" ht="11.1" customHeight="1">
      <c r="A108" s="320" t="s">
        <v>262</v>
      </c>
      <c r="B108" s="316" t="s">
        <v>38</v>
      </c>
      <c r="F108" s="30">
        <f t="shared" si="3"/>
        <v>90669</v>
      </c>
      <c r="H108" s="156">
        <v>90668635</v>
      </c>
      <c r="I108" s="156"/>
      <c r="J108" s="452"/>
    </row>
    <row r="109" spans="1:10" ht="11.1" customHeight="1">
      <c r="A109" s="317" t="s">
        <v>263</v>
      </c>
      <c r="B109" s="316" t="s">
        <v>264</v>
      </c>
      <c r="F109" s="30">
        <f t="shared" si="3"/>
        <v>376</v>
      </c>
      <c r="H109" s="156">
        <v>376490</v>
      </c>
      <c r="I109" s="156"/>
      <c r="J109" s="452"/>
    </row>
    <row r="110" spans="1:10" ht="11.1" customHeight="1">
      <c r="A110" s="318">
        <v>811000</v>
      </c>
      <c r="B110" s="319" t="s">
        <v>265</v>
      </c>
      <c r="F110" s="30">
        <f t="shared" si="3"/>
        <v>-668</v>
      </c>
      <c r="H110" s="156">
        <v>-668386</v>
      </c>
      <c r="I110" s="156"/>
      <c r="J110" s="453"/>
    </row>
    <row r="111" spans="1:10" ht="11.1" customHeight="1">
      <c r="A111" s="317">
        <v>813000</v>
      </c>
      <c r="B111" s="316" t="s">
        <v>266</v>
      </c>
      <c r="F111" s="30">
        <f t="shared" si="3"/>
        <v>876</v>
      </c>
      <c r="H111" s="156">
        <v>876238</v>
      </c>
      <c r="I111" s="156"/>
      <c r="J111" s="452"/>
    </row>
    <row r="112" spans="1:10" ht="11.1" customHeight="1">
      <c r="A112" s="317">
        <v>813010</v>
      </c>
      <c r="B112" s="316" t="s">
        <v>267</v>
      </c>
      <c r="F112" s="30">
        <f t="shared" si="3"/>
        <v>79</v>
      </c>
      <c r="H112" s="156">
        <v>78555</v>
      </c>
      <c r="I112" s="156"/>
      <c r="J112" s="452"/>
    </row>
    <row r="113" spans="1:10" ht="11.1" customHeight="1">
      <c r="A113" s="314"/>
      <c r="B113" s="316" t="s">
        <v>268</v>
      </c>
      <c r="F113" s="30">
        <f t="shared" si="3"/>
        <v>91332</v>
      </c>
      <c r="H113" s="156">
        <v>91331532</v>
      </c>
      <c r="I113" s="156"/>
      <c r="J113" s="452"/>
    </row>
    <row r="114" spans="1:10" ht="11.1" customHeight="1">
      <c r="A114" s="314"/>
      <c r="B114" s="316"/>
      <c r="F114" s="30">
        <f t="shared" si="3"/>
        <v>0</v>
      </c>
      <c r="H114" s="156"/>
      <c r="I114" s="156"/>
      <c r="J114" s="452"/>
    </row>
    <row r="115" spans="1:10" ht="11.1" customHeight="1">
      <c r="A115" s="314"/>
      <c r="B115" s="316" t="s">
        <v>269</v>
      </c>
      <c r="F115" s="30">
        <f t="shared" si="3"/>
        <v>0</v>
      </c>
      <c r="H115" s="156"/>
      <c r="I115" s="156"/>
      <c r="J115" s="452"/>
    </row>
    <row r="116" spans="1:10" ht="11.1" customHeight="1">
      <c r="A116" s="317">
        <v>814000</v>
      </c>
      <c r="B116" s="316" t="s">
        <v>270</v>
      </c>
      <c r="F116" s="30">
        <f t="shared" si="3"/>
        <v>14</v>
      </c>
      <c r="H116" s="156">
        <v>13870</v>
      </c>
      <c r="I116" s="156"/>
      <c r="J116" s="452"/>
    </row>
    <row r="117" spans="1:10" ht="11.1" customHeight="1">
      <c r="A117" s="317">
        <v>824000</v>
      </c>
      <c r="B117" s="316" t="s">
        <v>271</v>
      </c>
      <c r="F117" s="30">
        <f t="shared" si="3"/>
        <v>548</v>
      </c>
      <c r="H117" s="156">
        <v>548121</v>
      </c>
      <c r="I117" s="156"/>
      <c r="J117" s="452"/>
    </row>
    <row r="118" spans="1:10" ht="11.1" customHeight="1">
      <c r="A118" s="317">
        <v>837000</v>
      </c>
      <c r="B118" s="316" t="s">
        <v>272</v>
      </c>
      <c r="F118" s="30">
        <f t="shared" si="3"/>
        <v>971</v>
      </c>
      <c r="H118" s="156">
        <v>970574</v>
      </c>
      <c r="I118" s="156"/>
      <c r="J118" s="452"/>
    </row>
    <row r="119" spans="1:10" ht="11.1" customHeight="1">
      <c r="A119" s="314"/>
      <c r="B119" s="316" t="s">
        <v>273</v>
      </c>
      <c r="F119" s="30">
        <f t="shared" si="3"/>
        <v>1533</v>
      </c>
      <c r="H119" s="156">
        <v>1532565</v>
      </c>
      <c r="I119" s="156"/>
      <c r="J119" s="452"/>
    </row>
    <row r="120" spans="1:10" ht="11.1" customHeight="1">
      <c r="A120" s="314"/>
      <c r="B120" s="316"/>
      <c r="F120" s="30">
        <f t="shared" si="3"/>
        <v>0</v>
      </c>
      <c r="H120" s="156"/>
      <c r="I120" s="156"/>
      <c r="J120" s="452"/>
    </row>
    <row r="121" spans="1:10" ht="11.1" customHeight="1">
      <c r="A121" s="315"/>
      <c r="B121" s="316" t="s">
        <v>274</v>
      </c>
      <c r="F121" s="30">
        <f t="shared" si="3"/>
        <v>627</v>
      </c>
      <c r="H121" s="156">
        <v>626554</v>
      </c>
      <c r="I121" s="156"/>
      <c r="J121" s="452"/>
    </row>
    <row r="122" spans="1:10" ht="11.1" customHeight="1">
      <c r="A122" s="315"/>
      <c r="B122" s="316" t="s">
        <v>275</v>
      </c>
      <c r="F122" s="30">
        <f t="shared" si="3"/>
        <v>0</v>
      </c>
      <c r="H122" s="156">
        <v>105</v>
      </c>
      <c r="I122" s="156"/>
      <c r="J122" s="452"/>
    </row>
    <row r="123" spans="1:10" ht="11.1" customHeight="1">
      <c r="A123" s="314"/>
      <c r="B123" s="316" t="s">
        <v>276</v>
      </c>
      <c r="F123" s="30">
        <f t="shared" si="3"/>
        <v>302</v>
      </c>
      <c r="H123" s="156">
        <v>301792</v>
      </c>
      <c r="I123" s="156"/>
      <c r="J123" s="452"/>
    </row>
    <row r="124" spans="1:10" ht="11.1" customHeight="1">
      <c r="A124" s="314"/>
      <c r="B124" s="316" t="s">
        <v>277</v>
      </c>
      <c r="F124" s="30">
        <f t="shared" si="3"/>
        <v>928</v>
      </c>
      <c r="H124" s="156">
        <v>928451</v>
      </c>
      <c r="I124" s="156"/>
      <c r="J124" s="452"/>
    </row>
    <row r="125" spans="1:10" ht="11.1" customHeight="1">
      <c r="A125" s="314"/>
      <c r="B125" s="316"/>
      <c r="F125" s="30">
        <f t="shared" si="3"/>
        <v>0</v>
      </c>
      <c r="H125" s="156"/>
      <c r="I125" s="156"/>
      <c r="J125" s="452"/>
    </row>
    <row r="126" spans="1:10" ht="11.1" customHeight="1">
      <c r="A126" s="314"/>
      <c r="B126" s="316" t="s">
        <v>278</v>
      </c>
      <c r="F126" s="30">
        <f t="shared" si="3"/>
        <v>2461</v>
      </c>
      <c r="H126" s="156">
        <v>2461016</v>
      </c>
      <c r="I126" s="156"/>
      <c r="J126" s="452"/>
    </row>
    <row r="127" spans="1:10" ht="11.1" customHeight="1">
      <c r="A127" s="314"/>
      <c r="B127" s="316"/>
      <c r="F127" s="30">
        <f t="shared" si="3"/>
        <v>0</v>
      </c>
      <c r="H127" s="156"/>
      <c r="I127" s="156"/>
      <c r="J127" s="452"/>
    </row>
    <row r="128" spans="1:10" ht="11.1" customHeight="1">
      <c r="A128" s="314"/>
      <c r="B128" s="316" t="s">
        <v>279</v>
      </c>
      <c r="F128" s="30">
        <f t="shared" si="3"/>
        <v>0</v>
      </c>
      <c r="H128" s="156"/>
      <c r="I128" s="156"/>
      <c r="J128" s="452"/>
    </row>
    <row r="129" spans="1:15" ht="11.1" customHeight="1">
      <c r="A129" s="314"/>
      <c r="B129" s="316" t="s">
        <v>280</v>
      </c>
      <c r="F129" s="30">
        <f t="shared" si="3"/>
        <v>0</v>
      </c>
      <c r="H129" s="156"/>
      <c r="I129" s="156"/>
      <c r="J129" s="452"/>
    </row>
    <row r="130" spans="1:15" ht="11.1" customHeight="1">
      <c r="A130" s="317">
        <v>870000</v>
      </c>
      <c r="B130" s="316" t="s">
        <v>270</v>
      </c>
      <c r="F130" s="30">
        <f t="shared" si="3"/>
        <v>1405</v>
      </c>
      <c r="H130" s="156">
        <v>1404522</v>
      </c>
      <c r="I130" s="156"/>
      <c r="J130" s="452"/>
    </row>
    <row r="131" spans="1:15" ht="11.1" customHeight="1">
      <c r="A131" s="317">
        <v>871000</v>
      </c>
      <c r="B131" s="316" t="s">
        <v>281</v>
      </c>
      <c r="F131" s="30">
        <f t="shared" si="3"/>
        <v>0</v>
      </c>
      <c r="H131" s="156">
        <v>0</v>
      </c>
      <c r="I131" s="156"/>
      <c r="J131" s="452"/>
    </row>
    <row r="132" spans="1:15" ht="11.1" customHeight="1">
      <c r="A132" s="317">
        <v>874000</v>
      </c>
      <c r="B132" s="316" t="s">
        <v>282</v>
      </c>
      <c r="F132" s="30">
        <f t="shared" si="3"/>
        <v>3093</v>
      </c>
      <c r="H132" s="156">
        <v>3092987</v>
      </c>
      <c r="I132" s="156"/>
      <c r="J132" s="452"/>
      <c r="N132" s="148"/>
    </row>
    <row r="133" spans="1:15" ht="11.1" customHeight="1" thickBot="1">
      <c r="A133" s="317">
        <v>875000</v>
      </c>
      <c r="B133" s="316" t="s">
        <v>283</v>
      </c>
      <c r="F133" s="30">
        <f t="shared" si="3"/>
        <v>96</v>
      </c>
      <c r="H133" s="156">
        <v>95671</v>
      </c>
      <c r="I133" s="156"/>
      <c r="J133" s="452"/>
      <c r="N133" s="149"/>
      <c r="O133" s="150"/>
    </row>
    <row r="134" spans="1:15" ht="11.1" customHeight="1" thickTop="1">
      <c r="A134" s="317">
        <v>876000</v>
      </c>
      <c r="B134" s="316" t="s">
        <v>284</v>
      </c>
      <c r="F134" s="30">
        <f t="shared" si="3"/>
        <v>13</v>
      </c>
      <c r="H134" s="156">
        <v>13270</v>
      </c>
      <c r="I134" s="156"/>
      <c r="J134" s="452"/>
    </row>
    <row r="135" spans="1:15" ht="11.1" customHeight="1">
      <c r="A135" s="317">
        <v>877000</v>
      </c>
      <c r="B135" s="316" t="s">
        <v>285</v>
      </c>
      <c r="F135" s="30">
        <f t="shared" si="3"/>
        <v>62</v>
      </c>
      <c r="H135" s="156">
        <v>61643</v>
      </c>
      <c r="I135" s="156"/>
      <c r="J135" s="452"/>
    </row>
    <row r="136" spans="1:15" ht="11.1" customHeight="1">
      <c r="A136" s="317">
        <v>878000</v>
      </c>
      <c r="B136" s="316" t="s">
        <v>286</v>
      </c>
      <c r="F136" s="30">
        <f t="shared" si="3"/>
        <v>324</v>
      </c>
      <c r="H136" s="156">
        <v>324045</v>
      </c>
      <c r="I136" s="156"/>
      <c r="J136" s="452"/>
    </row>
    <row r="137" spans="1:15" ht="11.1" customHeight="1">
      <c r="A137" s="317">
        <v>879000</v>
      </c>
      <c r="B137" s="316" t="s">
        <v>287</v>
      </c>
      <c r="F137" s="30">
        <f t="shared" si="3"/>
        <v>1426</v>
      </c>
      <c r="H137" s="156">
        <v>1426174</v>
      </c>
      <c r="I137" s="156"/>
      <c r="J137" s="452"/>
    </row>
    <row r="138" spans="1:15" ht="11.1" customHeight="1">
      <c r="A138" s="317">
        <v>880000</v>
      </c>
      <c r="B138" s="316" t="s">
        <v>271</v>
      </c>
      <c r="F138" s="30">
        <f t="shared" si="3"/>
        <v>2095</v>
      </c>
      <c r="H138" s="156">
        <v>2095369</v>
      </c>
      <c r="I138" s="156"/>
      <c r="J138" s="452"/>
    </row>
    <row r="139" spans="1:15" ht="11.1" customHeight="1">
      <c r="A139" s="317">
        <v>881000</v>
      </c>
      <c r="B139" s="316" t="s">
        <v>288</v>
      </c>
      <c r="F139" s="30">
        <f t="shared" si="3"/>
        <v>31</v>
      </c>
      <c r="H139" s="156">
        <v>31487</v>
      </c>
      <c r="I139" s="156"/>
      <c r="J139" s="452"/>
    </row>
    <row r="140" spans="1:15" ht="11.1" customHeight="1">
      <c r="A140" s="314"/>
      <c r="B140" s="316"/>
      <c r="F140" s="30">
        <f t="shared" si="3"/>
        <v>0</v>
      </c>
      <c r="H140" s="156"/>
      <c r="I140" s="156"/>
      <c r="J140" s="452"/>
    </row>
    <row r="141" spans="1:15" ht="11.1" customHeight="1">
      <c r="A141" s="314"/>
      <c r="B141" s="316" t="s">
        <v>289</v>
      </c>
      <c r="F141" s="30">
        <f t="shared" si="3"/>
        <v>0</v>
      </c>
      <c r="H141" s="156"/>
      <c r="I141" s="156"/>
      <c r="J141" s="452"/>
    </row>
    <row r="142" spans="1:15" ht="11.1" customHeight="1">
      <c r="A142" s="317">
        <v>885000</v>
      </c>
      <c r="B142" s="316" t="s">
        <v>270</v>
      </c>
      <c r="F142" s="30">
        <f t="shared" si="3"/>
        <v>95</v>
      </c>
      <c r="H142" s="156">
        <v>94813</v>
      </c>
      <c r="I142" s="156"/>
      <c r="J142" s="452"/>
    </row>
    <row r="143" spans="1:15" ht="11.1" customHeight="1">
      <c r="A143" s="317">
        <v>887000</v>
      </c>
      <c r="B143" s="316" t="s">
        <v>290</v>
      </c>
      <c r="F143" s="30">
        <f t="shared" si="3"/>
        <v>785</v>
      </c>
      <c r="H143" s="156">
        <v>784649</v>
      </c>
      <c r="I143" s="156"/>
      <c r="J143" s="452"/>
    </row>
    <row r="144" spans="1:15" ht="11.1" customHeight="1">
      <c r="A144" s="317">
        <v>889000</v>
      </c>
      <c r="B144" s="316" t="s">
        <v>283</v>
      </c>
      <c r="F144" s="30">
        <f t="shared" si="3"/>
        <v>211</v>
      </c>
      <c r="H144" s="156">
        <v>210671</v>
      </c>
      <c r="I144" s="156"/>
      <c r="J144" s="452"/>
    </row>
    <row r="145" spans="1:10" ht="11.1" customHeight="1">
      <c r="A145" s="317">
        <v>890000</v>
      </c>
      <c r="B145" s="316" t="s">
        <v>284</v>
      </c>
      <c r="F145" s="30">
        <f t="shared" si="3"/>
        <v>55</v>
      </c>
      <c r="H145" s="156">
        <v>54996</v>
      </c>
      <c r="I145" s="156"/>
      <c r="J145" s="452"/>
    </row>
    <row r="146" spans="1:10" ht="11.1" customHeight="1">
      <c r="A146" s="317">
        <v>891000</v>
      </c>
      <c r="B146" s="316" t="s">
        <v>285</v>
      </c>
      <c r="F146" s="30">
        <f t="shared" si="3"/>
        <v>38</v>
      </c>
      <c r="H146" s="156">
        <v>37918</v>
      </c>
      <c r="I146" s="156"/>
      <c r="J146" s="452"/>
    </row>
    <row r="147" spans="1:10" ht="11.1" customHeight="1">
      <c r="A147" s="317">
        <v>892000</v>
      </c>
      <c r="B147" s="316" t="s">
        <v>291</v>
      </c>
      <c r="F147" s="30">
        <f t="shared" si="3"/>
        <v>1087</v>
      </c>
      <c r="H147" s="156">
        <v>1087080</v>
      </c>
      <c r="I147" s="156"/>
      <c r="J147" s="452"/>
    </row>
    <row r="148" spans="1:10" ht="11.1" customHeight="1">
      <c r="A148" s="317">
        <v>893000</v>
      </c>
      <c r="B148" s="316" t="s">
        <v>292</v>
      </c>
      <c r="F148" s="30">
        <f t="shared" si="3"/>
        <v>1332</v>
      </c>
      <c r="H148" s="156">
        <v>1332133</v>
      </c>
      <c r="I148" s="156"/>
      <c r="J148" s="452"/>
    </row>
    <row r="149" spans="1:10" ht="11.1" customHeight="1">
      <c r="A149" s="317">
        <v>894000</v>
      </c>
      <c r="B149" s="316" t="s">
        <v>272</v>
      </c>
      <c r="F149" s="30">
        <f t="shared" si="3"/>
        <v>168</v>
      </c>
      <c r="H149" s="156">
        <v>168469</v>
      </c>
      <c r="I149" s="156"/>
      <c r="J149" s="452"/>
    </row>
    <row r="150" spans="1:10" ht="11.1" customHeight="1">
      <c r="A150" s="314"/>
      <c r="B150" s="316" t="s">
        <v>293</v>
      </c>
      <c r="F150" s="30">
        <f t="shared" si="3"/>
        <v>12316</v>
      </c>
      <c r="H150" s="156">
        <v>12315897</v>
      </c>
      <c r="I150" s="156"/>
      <c r="J150" s="452"/>
    </row>
    <row r="151" spans="1:10" ht="11.1" customHeight="1">
      <c r="A151" s="314"/>
      <c r="B151" s="316"/>
      <c r="F151" s="30">
        <f t="shared" si="3"/>
        <v>0</v>
      </c>
      <c r="H151" s="156"/>
      <c r="I151" s="156"/>
      <c r="J151" s="452"/>
    </row>
    <row r="152" spans="1:10" ht="11.1" customHeight="1">
      <c r="A152" s="314"/>
      <c r="B152" s="316" t="s">
        <v>294</v>
      </c>
      <c r="F152" s="30">
        <f t="shared" si="3"/>
        <v>11642</v>
      </c>
      <c r="H152" s="156">
        <v>11641978</v>
      </c>
      <c r="I152" s="156"/>
      <c r="J152" s="452"/>
    </row>
    <row r="153" spans="1:10" ht="11.1" customHeight="1">
      <c r="A153" s="314"/>
      <c r="B153" s="316" t="s">
        <v>276</v>
      </c>
      <c r="F153" s="30">
        <f t="shared" si="3"/>
        <v>14129</v>
      </c>
      <c r="H153" s="156">
        <v>14128627</v>
      </c>
      <c r="I153" s="156"/>
      <c r="J153" s="452"/>
    </row>
    <row r="154" spans="1:10" ht="11.1" customHeight="1">
      <c r="A154" s="314"/>
      <c r="B154" s="316" t="s">
        <v>295</v>
      </c>
      <c r="F154" s="30">
        <f t="shared" si="3"/>
        <v>25771</v>
      </c>
      <c r="H154" s="156">
        <v>25770605</v>
      </c>
      <c r="I154" s="156"/>
      <c r="J154" s="452"/>
    </row>
    <row r="155" spans="1:10" ht="11.1" customHeight="1">
      <c r="A155" s="314"/>
      <c r="B155" s="316"/>
      <c r="F155" s="30">
        <f t="shared" ref="F155:F226" si="4">ROUND(H155/1000,0)</f>
        <v>0</v>
      </c>
      <c r="H155" s="156"/>
      <c r="I155" s="156"/>
      <c r="J155" s="452"/>
    </row>
    <row r="156" spans="1:10" ht="11.1" customHeight="1">
      <c r="A156" s="314"/>
      <c r="B156" s="316" t="s">
        <v>296</v>
      </c>
      <c r="F156" s="30">
        <f t="shared" si="4"/>
        <v>38087</v>
      </c>
      <c r="H156" s="156">
        <v>38086502</v>
      </c>
      <c r="I156" s="156"/>
      <c r="J156" s="452"/>
    </row>
    <row r="157" spans="1:10" ht="11.1" customHeight="1">
      <c r="A157" s="314"/>
      <c r="B157" s="316"/>
      <c r="F157" s="30">
        <f t="shared" si="4"/>
        <v>0</v>
      </c>
      <c r="H157" s="156"/>
      <c r="I157" s="156"/>
      <c r="J157" s="452"/>
    </row>
    <row r="158" spans="1:10" ht="11.1" customHeight="1">
      <c r="A158" s="314"/>
      <c r="B158" s="316" t="s">
        <v>297</v>
      </c>
      <c r="F158" s="30">
        <f t="shared" si="4"/>
        <v>0</v>
      </c>
      <c r="H158" s="156"/>
      <c r="I158" s="156"/>
      <c r="J158" s="452"/>
    </row>
    <row r="159" spans="1:10" ht="11.1" customHeight="1">
      <c r="A159" s="317">
        <v>901000</v>
      </c>
      <c r="B159" s="316" t="s">
        <v>298</v>
      </c>
      <c r="F159" s="30">
        <f t="shared" si="4"/>
        <v>78</v>
      </c>
      <c r="H159" s="156">
        <v>77768</v>
      </c>
      <c r="I159" s="156"/>
      <c r="J159" s="452"/>
    </row>
    <row r="160" spans="1:10" ht="11.1" customHeight="1">
      <c r="A160" s="317">
        <v>902000</v>
      </c>
      <c r="B160" s="316" t="s">
        <v>299</v>
      </c>
      <c r="F160" s="30">
        <f t="shared" si="4"/>
        <v>1829</v>
      </c>
      <c r="H160" s="156">
        <v>1829324</v>
      </c>
      <c r="I160" s="156"/>
      <c r="J160" s="452"/>
    </row>
    <row r="161" spans="1:10" ht="11.1" customHeight="1">
      <c r="A161" s="317" t="s">
        <v>300</v>
      </c>
      <c r="B161" s="316" t="s">
        <v>301</v>
      </c>
      <c r="F161" s="30">
        <f t="shared" si="4"/>
        <v>4328</v>
      </c>
      <c r="H161" s="156">
        <v>4327950</v>
      </c>
      <c r="I161" s="156"/>
      <c r="J161" s="452"/>
    </row>
    <row r="162" spans="1:10" ht="11.1" customHeight="1">
      <c r="A162" s="317">
        <v>904000</v>
      </c>
      <c r="B162" s="316" t="s">
        <v>302</v>
      </c>
      <c r="F162" s="30">
        <f t="shared" si="4"/>
        <v>871</v>
      </c>
      <c r="H162" s="156">
        <v>870568</v>
      </c>
      <c r="I162" s="156"/>
      <c r="J162" s="452"/>
    </row>
    <row r="163" spans="1:10" ht="11.1" customHeight="1">
      <c r="A163" s="317">
        <v>905000</v>
      </c>
      <c r="B163" s="316" t="s">
        <v>303</v>
      </c>
      <c r="F163" s="30">
        <f t="shared" si="4"/>
        <v>129</v>
      </c>
      <c r="H163" s="156">
        <v>128543</v>
      </c>
      <c r="I163" s="156"/>
      <c r="J163" s="452"/>
    </row>
    <row r="164" spans="1:10" ht="11.1" customHeight="1">
      <c r="A164" s="314"/>
      <c r="B164" s="316" t="s">
        <v>304</v>
      </c>
      <c r="F164" s="30">
        <f t="shared" si="4"/>
        <v>7234</v>
      </c>
      <c r="H164" s="156">
        <v>7234153</v>
      </c>
      <c r="I164" s="156"/>
      <c r="J164" s="452"/>
    </row>
    <row r="165" spans="1:10" ht="11.1" customHeight="1">
      <c r="A165" s="314"/>
      <c r="B165" s="316"/>
      <c r="F165" s="30">
        <f t="shared" si="4"/>
        <v>0</v>
      </c>
      <c r="H165" s="156"/>
      <c r="I165" s="156"/>
      <c r="J165" s="452"/>
    </row>
    <row r="166" spans="1:10" ht="11.1" customHeight="1">
      <c r="A166" s="314"/>
      <c r="B166" s="316" t="s">
        <v>305</v>
      </c>
      <c r="F166" s="30">
        <f t="shared" si="4"/>
        <v>0</v>
      </c>
      <c r="H166" s="156"/>
      <c r="I166" s="156"/>
      <c r="J166" s="452"/>
    </row>
    <row r="167" spans="1:10" ht="11.1" customHeight="1">
      <c r="A167" s="317" t="s">
        <v>306</v>
      </c>
      <c r="B167" s="316" t="s">
        <v>307</v>
      </c>
      <c r="F167" s="30">
        <f t="shared" si="4"/>
        <v>7341</v>
      </c>
      <c r="H167" s="156">
        <v>7341309</v>
      </c>
      <c r="I167" s="156"/>
      <c r="J167" s="452"/>
    </row>
    <row r="168" spans="1:10" ht="11.1" customHeight="1">
      <c r="A168" s="317">
        <v>909000</v>
      </c>
      <c r="B168" s="316" t="s">
        <v>308</v>
      </c>
      <c r="F168" s="30">
        <f t="shared" si="4"/>
        <v>593</v>
      </c>
      <c r="H168" s="156">
        <v>593110</v>
      </c>
      <c r="I168" s="156"/>
      <c r="J168" s="452"/>
    </row>
    <row r="169" spans="1:10" ht="11.1" customHeight="1">
      <c r="A169" s="317">
        <v>910000</v>
      </c>
      <c r="B169" s="316" t="s">
        <v>309</v>
      </c>
      <c r="F169" s="30">
        <f t="shared" si="4"/>
        <v>159</v>
      </c>
      <c r="H169" s="156">
        <v>158682</v>
      </c>
      <c r="I169" s="156"/>
      <c r="J169" s="452"/>
    </row>
    <row r="170" spans="1:10" ht="11.1" customHeight="1">
      <c r="A170" s="314"/>
      <c r="B170" s="316" t="s">
        <v>310</v>
      </c>
      <c r="F170" s="30">
        <f t="shared" si="4"/>
        <v>8093</v>
      </c>
      <c r="H170" s="156">
        <v>8093101</v>
      </c>
      <c r="I170" s="156"/>
      <c r="J170" s="452"/>
    </row>
    <row r="171" spans="1:10" ht="11.1" customHeight="1">
      <c r="A171" s="314"/>
      <c r="B171" s="316"/>
      <c r="F171" s="30">
        <f t="shared" si="4"/>
        <v>0</v>
      </c>
      <c r="H171" s="156"/>
      <c r="I171" s="156"/>
      <c r="J171" s="452"/>
    </row>
    <row r="172" spans="1:10" ht="11.1" customHeight="1">
      <c r="A172" s="314"/>
      <c r="B172" s="316" t="s">
        <v>311</v>
      </c>
      <c r="F172" s="30">
        <f t="shared" si="4"/>
        <v>0</v>
      </c>
      <c r="H172" s="156"/>
      <c r="I172" s="156"/>
      <c r="J172" s="452"/>
    </row>
    <row r="173" spans="1:10" ht="11.1" customHeight="1">
      <c r="A173" s="317">
        <v>912000</v>
      </c>
      <c r="B173" s="316" t="s">
        <v>312</v>
      </c>
      <c r="F173" s="30">
        <f t="shared" si="4"/>
        <v>0</v>
      </c>
      <c r="H173" s="156">
        <v>0</v>
      </c>
      <c r="I173" s="156"/>
      <c r="J173" s="452"/>
    </row>
    <row r="174" spans="1:10" ht="11.1" customHeight="1">
      <c r="A174" s="317">
        <v>913000</v>
      </c>
      <c r="B174" s="316" t="s">
        <v>308</v>
      </c>
      <c r="F174" s="30">
        <f t="shared" si="4"/>
        <v>0</v>
      </c>
      <c r="H174" s="156">
        <v>0</v>
      </c>
      <c r="I174" s="156"/>
      <c r="J174" s="452"/>
    </row>
    <row r="175" spans="1:10" ht="11.1" customHeight="1">
      <c r="A175" s="317">
        <v>916000</v>
      </c>
      <c r="B175" s="316" t="s">
        <v>313</v>
      </c>
      <c r="F175" s="30">
        <f t="shared" si="4"/>
        <v>0</v>
      </c>
      <c r="H175" s="156">
        <v>0</v>
      </c>
      <c r="I175" s="156"/>
      <c r="J175" s="452"/>
    </row>
    <row r="176" spans="1:10" ht="11.1" customHeight="1">
      <c r="A176" s="314"/>
      <c r="B176" s="316" t="s">
        <v>314</v>
      </c>
      <c r="F176" s="30">
        <f t="shared" si="4"/>
        <v>0</v>
      </c>
      <c r="H176" s="156">
        <v>0</v>
      </c>
      <c r="I176" s="156"/>
      <c r="J176" s="452"/>
    </row>
    <row r="177" spans="1:10" ht="11.1" customHeight="1">
      <c r="A177" s="314"/>
      <c r="B177" s="316"/>
      <c r="F177" s="30">
        <f t="shared" si="4"/>
        <v>0</v>
      </c>
      <c r="H177" s="156"/>
      <c r="I177" s="156"/>
      <c r="J177" s="452"/>
    </row>
    <row r="178" spans="1:10" ht="11.1" customHeight="1">
      <c r="A178" s="314"/>
      <c r="B178" s="316" t="s">
        <v>315</v>
      </c>
      <c r="F178" s="30">
        <f t="shared" si="4"/>
        <v>0</v>
      </c>
      <c r="H178" s="156"/>
      <c r="I178" s="156"/>
      <c r="J178" s="452"/>
    </row>
    <row r="179" spans="1:10" ht="11.1" customHeight="1">
      <c r="A179" s="317">
        <v>920000</v>
      </c>
      <c r="B179" s="316" t="s">
        <v>316</v>
      </c>
      <c r="F179" s="30">
        <f t="shared" si="4"/>
        <v>6924</v>
      </c>
      <c r="H179" s="156">
        <v>6923939</v>
      </c>
      <c r="I179" s="156"/>
      <c r="J179" s="452"/>
    </row>
    <row r="180" spans="1:10" ht="11.1" customHeight="1">
      <c r="A180" s="317">
        <v>921000</v>
      </c>
      <c r="B180" s="316" t="s">
        <v>317</v>
      </c>
      <c r="F180" s="30">
        <f t="shared" si="4"/>
        <v>967</v>
      </c>
      <c r="H180" s="156">
        <v>967317</v>
      </c>
      <c r="I180" s="156"/>
      <c r="J180" s="452"/>
    </row>
    <row r="181" spans="1:10" ht="11.1" customHeight="1">
      <c r="A181" s="317">
        <v>922000</v>
      </c>
      <c r="B181" s="316" t="s">
        <v>318</v>
      </c>
      <c r="F181" s="30">
        <f t="shared" si="4"/>
        <v>-14</v>
      </c>
      <c r="H181" s="156">
        <v>-14196</v>
      </c>
      <c r="I181" s="156"/>
      <c r="J181" s="452"/>
    </row>
    <row r="182" spans="1:10" ht="11.1" customHeight="1">
      <c r="A182" s="317">
        <v>923000</v>
      </c>
      <c r="B182" s="316" t="s">
        <v>319</v>
      </c>
      <c r="F182" s="30">
        <f t="shared" si="4"/>
        <v>1894</v>
      </c>
      <c r="H182" s="156">
        <v>1893562</v>
      </c>
      <c r="I182" s="156"/>
      <c r="J182" s="452"/>
    </row>
    <row r="183" spans="1:10" ht="11.1" customHeight="1">
      <c r="A183" s="317">
        <v>924000</v>
      </c>
      <c r="B183" s="316" t="s">
        <v>320</v>
      </c>
      <c r="F183" s="30">
        <f t="shared" si="4"/>
        <v>223</v>
      </c>
      <c r="H183" s="156">
        <v>222903</v>
      </c>
      <c r="I183" s="156"/>
      <c r="J183" s="452"/>
    </row>
    <row r="184" spans="1:10" ht="11.1" customHeight="1">
      <c r="A184" s="314" t="s">
        <v>321</v>
      </c>
      <c r="B184" s="316" t="s">
        <v>322</v>
      </c>
      <c r="F184" s="30">
        <f t="shared" si="4"/>
        <v>607</v>
      </c>
      <c r="H184" s="156">
        <v>606632</v>
      </c>
      <c r="I184" s="156"/>
      <c r="J184" s="452"/>
    </row>
    <row r="185" spans="1:10" ht="11.1" customHeight="1">
      <c r="A185" s="314" t="s">
        <v>323</v>
      </c>
      <c r="B185" s="316" t="s">
        <v>324</v>
      </c>
      <c r="F185" s="30">
        <f t="shared" si="4"/>
        <v>367</v>
      </c>
      <c r="H185" s="156">
        <v>367145</v>
      </c>
      <c r="I185" s="156"/>
      <c r="J185" s="452"/>
    </row>
    <row r="186" spans="1:10" ht="11.1" customHeight="1">
      <c r="A186" s="317">
        <v>928000</v>
      </c>
      <c r="B186" s="316" t="s">
        <v>325</v>
      </c>
      <c r="F186" s="30">
        <f t="shared" si="4"/>
        <v>729</v>
      </c>
      <c r="H186" s="156">
        <v>728957</v>
      </c>
      <c r="I186" s="156"/>
      <c r="J186" s="452"/>
    </row>
    <row r="187" spans="1:10" ht="11.1" customHeight="1">
      <c r="A187" s="317">
        <v>930000</v>
      </c>
      <c r="B187" s="316" t="s">
        <v>326</v>
      </c>
      <c r="F187" s="30">
        <f t="shared" si="4"/>
        <v>797</v>
      </c>
      <c r="H187" s="156">
        <v>796885</v>
      </c>
      <c r="I187" s="156"/>
      <c r="J187" s="452"/>
    </row>
    <row r="188" spans="1:10" ht="11.1" customHeight="1">
      <c r="A188" s="317">
        <v>931000</v>
      </c>
      <c r="B188" s="316" t="s">
        <v>288</v>
      </c>
      <c r="F188" s="30">
        <f t="shared" si="4"/>
        <v>103</v>
      </c>
      <c r="H188" s="156">
        <v>102541</v>
      </c>
      <c r="I188" s="156"/>
      <c r="J188" s="452"/>
    </row>
    <row r="189" spans="1:10" ht="11.1" customHeight="1">
      <c r="A189" s="317">
        <v>935000</v>
      </c>
      <c r="B189" s="316" t="s">
        <v>327</v>
      </c>
      <c r="F189" s="30">
        <f t="shared" si="4"/>
        <v>2450</v>
      </c>
      <c r="H189" s="156">
        <v>2449903</v>
      </c>
      <c r="I189" s="156"/>
      <c r="J189" s="452"/>
    </row>
    <row r="190" spans="1:10" ht="11.1" customHeight="1">
      <c r="A190" s="314"/>
      <c r="B190" s="316" t="s">
        <v>328</v>
      </c>
      <c r="F190" s="30">
        <f t="shared" si="4"/>
        <v>15046</v>
      </c>
      <c r="H190" s="156">
        <v>15045588</v>
      </c>
      <c r="I190" s="156"/>
      <c r="J190" s="452"/>
    </row>
    <row r="191" spans="1:10" ht="11.1" customHeight="1">
      <c r="A191" s="314"/>
      <c r="B191" s="316"/>
      <c r="F191" s="30">
        <f t="shared" si="4"/>
        <v>0</v>
      </c>
      <c r="H191" s="156"/>
      <c r="I191" s="156"/>
      <c r="J191" s="452"/>
    </row>
    <row r="192" spans="1:10" ht="11.1" customHeight="1">
      <c r="A192" s="314"/>
      <c r="B192" s="316" t="s">
        <v>329</v>
      </c>
      <c r="F192" s="30">
        <f t="shared" si="4"/>
        <v>4124</v>
      </c>
      <c r="H192" s="156">
        <v>4124349</v>
      </c>
      <c r="I192" s="156"/>
      <c r="J192" s="452"/>
    </row>
    <row r="193" spans="1:10" ht="11.1" customHeight="1">
      <c r="A193" s="314"/>
      <c r="B193" s="316" t="s">
        <v>330</v>
      </c>
      <c r="F193" s="30">
        <f t="shared" si="4"/>
        <v>120</v>
      </c>
      <c r="H193" s="156">
        <v>119595</v>
      </c>
      <c r="I193" s="156"/>
      <c r="J193" s="452"/>
    </row>
    <row r="194" spans="1:10" ht="11.1" customHeight="1">
      <c r="A194" s="314"/>
      <c r="B194" s="316" t="s">
        <v>331</v>
      </c>
      <c r="F194" s="30">
        <f t="shared" si="4"/>
        <v>4248</v>
      </c>
      <c r="H194" s="156">
        <v>4247712</v>
      </c>
      <c r="I194" s="156"/>
      <c r="J194" s="452"/>
    </row>
    <row r="195" spans="1:10" ht="11.1" customHeight="1">
      <c r="A195" s="315"/>
      <c r="B195" s="316" t="s">
        <v>332</v>
      </c>
      <c r="F195" s="30">
        <f t="shared" si="4"/>
        <v>0</v>
      </c>
      <c r="H195" s="156">
        <v>0</v>
      </c>
      <c r="I195" s="156"/>
      <c r="J195" s="452"/>
    </row>
    <row r="196" spans="1:10" ht="11.1" customHeight="1">
      <c r="A196" s="321">
        <v>407025</v>
      </c>
      <c r="B196" s="316" t="s">
        <v>333</v>
      </c>
      <c r="F196" s="30">
        <f t="shared" si="4"/>
        <v>0</v>
      </c>
      <c r="H196" s="156">
        <v>0</v>
      </c>
      <c r="I196" s="156"/>
      <c r="J196" s="452"/>
    </row>
    <row r="197" spans="1:10" ht="11.1" customHeight="1">
      <c r="A197" s="317">
        <v>407229</v>
      </c>
      <c r="B197" s="316" t="s">
        <v>457</v>
      </c>
      <c r="F197" s="30">
        <f t="shared" ref="F197:F207" si="5">ROUND(H197/1000,0)</f>
        <v>0</v>
      </c>
      <c r="H197" s="156">
        <v>0</v>
      </c>
      <c r="I197" s="156"/>
      <c r="J197" s="452"/>
    </row>
    <row r="198" spans="1:10" ht="11.1" customHeight="1">
      <c r="A198" s="317">
        <v>407230</v>
      </c>
      <c r="B198" s="316" t="s">
        <v>518</v>
      </c>
      <c r="F198" s="30">
        <f t="shared" si="4"/>
        <v>-1083</v>
      </c>
      <c r="H198" s="156">
        <v>-1083166</v>
      </c>
      <c r="I198" s="156"/>
      <c r="J198" s="452"/>
    </row>
    <row r="199" spans="1:10" ht="11.1" customHeight="1">
      <c r="A199" s="317">
        <v>407302</v>
      </c>
      <c r="B199" s="316" t="s">
        <v>519</v>
      </c>
      <c r="F199" s="30">
        <f t="shared" si="5"/>
        <v>390</v>
      </c>
      <c r="H199" s="156">
        <v>389502</v>
      </c>
      <c r="I199" s="156"/>
      <c r="J199" s="452"/>
    </row>
    <row r="200" spans="1:10" ht="11.1" customHeight="1">
      <c r="A200" s="317">
        <v>407311</v>
      </c>
      <c r="B200" s="316" t="s">
        <v>520</v>
      </c>
      <c r="F200" s="30">
        <f t="shared" si="4"/>
        <v>7</v>
      </c>
      <c r="H200" s="156">
        <v>7230</v>
      </c>
      <c r="I200" s="156"/>
      <c r="J200" s="452"/>
    </row>
    <row r="201" spans="1:10" ht="11.1" customHeight="1">
      <c r="A201" s="317">
        <v>407319</v>
      </c>
      <c r="B201" s="316" t="s">
        <v>521</v>
      </c>
      <c r="F201" s="30">
        <f t="shared" si="5"/>
        <v>235</v>
      </c>
      <c r="H201" s="156">
        <v>234951</v>
      </c>
      <c r="I201" s="156"/>
      <c r="J201" s="452"/>
    </row>
    <row r="202" spans="1:10" ht="11.1" customHeight="1">
      <c r="A202" s="317">
        <v>407332</v>
      </c>
      <c r="B202" s="316" t="s">
        <v>522</v>
      </c>
      <c r="F202" s="30">
        <f t="shared" si="4"/>
        <v>1</v>
      </c>
      <c r="H202" s="156">
        <v>775</v>
      </c>
      <c r="I202" s="156"/>
      <c r="J202" s="452"/>
    </row>
    <row r="203" spans="1:10" ht="11.1" customHeight="1">
      <c r="A203" s="317">
        <v>407335</v>
      </c>
      <c r="B203" s="316" t="s">
        <v>334</v>
      </c>
      <c r="F203" s="30">
        <f t="shared" si="5"/>
        <v>0</v>
      </c>
      <c r="H203" s="156">
        <v>0</v>
      </c>
      <c r="I203" s="156"/>
      <c r="J203" s="452"/>
    </row>
    <row r="204" spans="1:10" ht="11.1" customHeight="1">
      <c r="A204" s="317" t="s">
        <v>523</v>
      </c>
      <c r="B204" s="316" t="s">
        <v>524</v>
      </c>
      <c r="F204" s="30">
        <f t="shared" si="4"/>
        <v>0</v>
      </c>
      <c r="H204" s="156">
        <v>0</v>
      </c>
      <c r="I204" s="156"/>
      <c r="J204" s="452"/>
    </row>
    <row r="205" spans="1:10" ht="11.1" customHeight="1">
      <c r="A205" s="317" t="s">
        <v>525</v>
      </c>
      <c r="B205" s="316" t="s">
        <v>526</v>
      </c>
      <c r="F205" s="30">
        <f t="shared" si="5"/>
        <v>-339</v>
      </c>
      <c r="H205" s="156">
        <v>-338779</v>
      </c>
      <c r="I205" s="156"/>
      <c r="J205" s="452"/>
    </row>
    <row r="206" spans="1:10" ht="11.1" customHeight="1">
      <c r="A206" s="317" t="s">
        <v>335</v>
      </c>
      <c r="B206" s="316" t="s">
        <v>336</v>
      </c>
      <c r="F206" s="30">
        <f t="shared" si="4"/>
        <v>0</v>
      </c>
      <c r="H206" s="156">
        <v>0</v>
      </c>
      <c r="I206" s="156"/>
      <c r="J206" s="452"/>
    </row>
    <row r="207" spans="1:10" ht="11.1" customHeight="1">
      <c r="A207" s="317" t="s">
        <v>527</v>
      </c>
      <c r="B207" s="316" t="s">
        <v>528</v>
      </c>
      <c r="F207" s="30">
        <f t="shared" si="5"/>
        <v>-770</v>
      </c>
      <c r="H207" s="156">
        <v>-769508</v>
      </c>
      <c r="I207" s="156"/>
      <c r="J207" s="452"/>
    </row>
    <row r="208" spans="1:10" ht="15.75">
      <c r="A208" s="454" t="s">
        <v>460</v>
      </c>
      <c r="B208" s="452" t="s">
        <v>459</v>
      </c>
      <c r="F208" s="30">
        <f t="shared" si="4"/>
        <v>0</v>
      </c>
      <c r="H208" s="156">
        <v>0</v>
      </c>
      <c r="I208" s="156"/>
      <c r="J208" s="452"/>
    </row>
    <row r="209" spans="1:10" ht="15.75">
      <c r="A209" s="314"/>
      <c r="B209" s="316" t="s">
        <v>337</v>
      </c>
      <c r="F209" s="30">
        <f t="shared" si="4"/>
        <v>6933</v>
      </c>
      <c r="H209" s="156">
        <v>6932661</v>
      </c>
      <c r="I209" s="156"/>
      <c r="J209" s="452"/>
    </row>
    <row r="210" spans="1:10" ht="15.75">
      <c r="A210" s="314"/>
      <c r="B210" s="316"/>
      <c r="F210" s="30">
        <f t="shared" si="4"/>
        <v>0</v>
      </c>
      <c r="H210" s="156"/>
      <c r="I210" s="156"/>
      <c r="J210" s="452"/>
    </row>
    <row r="211" spans="1:10" ht="15.75">
      <c r="A211" s="317"/>
      <c r="B211" s="316" t="s">
        <v>338</v>
      </c>
      <c r="F211" s="30">
        <f t="shared" si="4"/>
        <v>21978</v>
      </c>
      <c r="H211" s="156">
        <v>21978249</v>
      </c>
      <c r="I211" s="156"/>
      <c r="J211" s="452"/>
    </row>
    <row r="212" spans="1:10" ht="15.75">
      <c r="A212" s="317"/>
      <c r="B212" s="316"/>
      <c r="F212" s="30">
        <f t="shared" si="4"/>
        <v>0</v>
      </c>
      <c r="H212" s="156"/>
      <c r="I212" s="156"/>
      <c r="J212" s="452"/>
    </row>
    <row r="213" spans="1:10" ht="15.75">
      <c r="A213" s="317"/>
      <c r="B213" s="316" t="s">
        <v>339</v>
      </c>
      <c r="F213" s="30">
        <f t="shared" si="4"/>
        <v>169185</v>
      </c>
      <c r="H213" s="156">
        <v>169184553</v>
      </c>
      <c r="I213" s="156"/>
      <c r="J213" s="452"/>
    </row>
    <row r="214" spans="1:10" ht="11.1" customHeight="1">
      <c r="A214" s="317"/>
      <c r="B214" s="316"/>
      <c r="F214" s="30">
        <f t="shared" si="4"/>
        <v>0</v>
      </c>
      <c r="H214" s="156"/>
      <c r="I214" s="156"/>
      <c r="J214" s="452"/>
    </row>
    <row r="215" spans="1:10" ht="11.1" customHeight="1">
      <c r="A215" s="317"/>
      <c r="B215" s="316" t="s">
        <v>340</v>
      </c>
      <c r="F215" s="30">
        <f t="shared" si="4"/>
        <v>27210</v>
      </c>
      <c r="H215" s="156">
        <v>27209903</v>
      </c>
      <c r="I215" s="156"/>
      <c r="J215" s="452"/>
    </row>
    <row r="216" spans="1:10" ht="11.1" customHeight="1">
      <c r="A216" s="317"/>
      <c r="B216" s="316"/>
      <c r="F216" s="30">
        <f t="shared" si="4"/>
        <v>0</v>
      </c>
      <c r="H216" s="156"/>
      <c r="I216" s="156"/>
      <c r="J216" s="452"/>
    </row>
    <row r="217" spans="1:10" ht="11.1" customHeight="1">
      <c r="A217" s="317"/>
      <c r="B217" s="316" t="s">
        <v>55</v>
      </c>
      <c r="F217" s="30">
        <f t="shared" si="4"/>
        <v>2557</v>
      </c>
      <c r="H217" s="156">
        <v>2556856</v>
      </c>
      <c r="I217" s="156"/>
      <c r="J217" s="452"/>
    </row>
    <row r="218" spans="1:10" ht="11.1" customHeight="1">
      <c r="A218" s="317"/>
      <c r="B218" s="316" t="s">
        <v>341</v>
      </c>
      <c r="F218" s="30">
        <f t="shared" si="4"/>
        <v>54</v>
      </c>
      <c r="H218" s="156">
        <v>53874</v>
      </c>
      <c r="I218" s="156"/>
      <c r="J218" s="452"/>
    </row>
    <row r="219" spans="1:10" ht="15.75">
      <c r="A219" s="317"/>
      <c r="B219" s="316" t="s">
        <v>342</v>
      </c>
      <c r="F219" s="30">
        <f t="shared" si="4"/>
        <v>-15</v>
      </c>
      <c r="H219" s="156">
        <v>-14832</v>
      </c>
      <c r="I219" s="156"/>
      <c r="J219" s="452"/>
    </row>
    <row r="220" spans="1:10" ht="15.75">
      <c r="A220" s="314"/>
      <c r="B220" s="636" t="s">
        <v>343</v>
      </c>
      <c r="C220" s="637"/>
      <c r="D220" s="637"/>
      <c r="E220" s="638"/>
      <c r="F220" s="639">
        <f t="shared" si="4"/>
        <v>24614</v>
      </c>
      <c r="G220" s="638"/>
      <c r="H220" s="640">
        <v>24614005</v>
      </c>
      <c r="I220" s="156"/>
      <c r="J220" s="452"/>
    </row>
    <row r="221" spans="1:10" ht="11.1" customHeight="1">
      <c r="F221" s="30">
        <f t="shared" si="4"/>
        <v>0</v>
      </c>
    </row>
    <row r="222" spans="1:10" ht="11.1" customHeight="1">
      <c r="A222" s="322"/>
      <c r="B222" s="323" t="s">
        <v>105</v>
      </c>
      <c r="F222" s="30">
        <f t="shared" si="4"/>
        <v>0</v>
      </c>
      <c r="J222" s="455"/>
    </row>
    <row r="223" spans="1:10" ht="11.1" customHeight="1">
      <c r="A223" s="322"/>
      <c r="B223" s="323" t="s">
        <v>344</v>
      </c>
      <c r="F223" s="30">
        <f t="shared" si="4"/>
        <v>0</v>
      </c>
      <c r="J223" s="455"/>
    </row>
    <row r="224" spans="1:10" ht="11.1" customHeight="1">
      <c r="A224" s="324">
        <v>303000</v>
      </c>
      <c r="B224" s="325" t="s">
        <v>345</v>
      </c>
      <c r="F224" s="30">
        <f t="shared" si="4"/>
        <v>2451</v>
      </c>
      <c r="H224" s="156">
        <v>2451340</v>
      </c>
      <c r="I224" s="156"/>
      <c r="J224" s="456"/>
    </row>
    <row r="225" spans="1:10" ht="11.1" customHeight="1">
      <c r="A225" s="326" t="s">
        <v>346</v>
      </c>
      <c r="B225" s="323" t="s">
        <v>347</v>
      </c>
      <c r="F225" s="30">
        <f t="shared" si="4"/>
        <v>34152</v>
      </c>
      <c r="H225" s="156">
        <v>34151994</v>
      </c>
      <c r="I225" s="156"/>
      <c r="J225" s="455"/>
    </row>
    <row r="226" spans="1:10" ht="11.1" customHeight="1">
      <c r="A226" s="327"/>
      <c r="B226" s="323" t="s">
        <v>348</v>
      </c>
      <c r="F226" s="30">
        <f t="shared" si="4"/>
        <v>36603</v>
      </c>
      <c r="H226" s="156">
        <v>36603334</v>
      </c>
      <c r="I226" s="156"/>
      <c r="J226" s="455"/>
    </row>
    <row r="227" spans="1:10" ht="11.1" customHeight="1">
      <c r="A227" s="327"/>
      <c r="B227" s="323"/>
      <c r="F227" s="30">
        <f t="shared" ref="F227:F292" si="6">ROUND(H227/1000,0)</f>
        <v>0</v>
      </c>
      <c r="H227" s="156"/>
      <c r="I227" s="156"/>
      <c r="J227" s="455"/>
    </row>
    <row r="228" spans="1:10" ht="11.1" customHeight="1">
      <c r="A228" s="327"/>
      <c r="B228" s="323" t="s">
        <v>349</v>
      </c>
      <c r="F228" s="30">
        <f t="shared" si="6"/>
        <v>0</v>
      </c>
      <c r="H228" s="156"/>
      <c r="I228" s="156"/>
      <c r="J228" s="455"/>
    </row>
    <row r="229" spans="1:10" ht="11.1" customHeight="1">
      <c r="A229" s="328" t="s">
        <v>350</v>
      </c>
      <c r="B229" s="323" t="s">
        <v>351</v>
      </c>
      <c r="F229" s="30">
        <f t="shared" si="6"/>
        <v>910</v>
      </c>
      <c r="H229" s="156">
        <v>909909</v>
      </c>
      <c r="I229" s="156"/>
      <c r="J229" s="455"/>
    </row>
    <row r="230" spans="1:10" ht="11.1" customHeight="1">
      <c r="A230" s="328" t="s">
        <v>352</v>
      </c>
      <c r="B230" s="323" t="s">
        <v>353</v>
      </c>
      <c r="F230" s="30">
        <f t="shared" si="6"/>
        <v>1754</v>
      </c>
      <c r="H230" s="156">
        <v>1754177</v>
      </c>
      <c r="I230" s="156"/>
      <c r="J230" s="455"/>
    </row>
    <row r="231" spans="1:10" ht="11.1" customHeight="1">
      <c r="A231" s="328" t="s">
        <v>354</v>
      </c>
      <c r="B231" s="323" t="s">
        <v>355</v>
      </c>
      <c r="F231" s="30">
        <f t="shared" si="6"/>
        <v>13294</v>
      </c>
      <c r="H231" s="156">
        <v>13294421</v>
      </c>
      <c r="I231" s="156"/>
      <c r="J231" s="455"/>
    </row>
    <row r="232" spans="1:10" ht="11.1" customHeight="1">
      <c r="A232" s="328">
        <v>353000</v>
      </c>
      <c r="B232" s="323" t="s">
        <v>356</v>
      </c>
      <c r="F232" s="30">
        <f t="shared" si="6"/>
        <v>722</v>
      </c>
      <c r="H232" s="156">
        <v>721734</v>
      </c>
      <c r="I232" s="156"/>
      <c r="J232" s="455"/>
    </row>
    <row r="233" spans="1:10" ht="11.1" customHeight="1">
      <c r="A233" s="328">
        <v>354000</v>
      </c>
      <c r="B233" s="323" t="s">
        <v>357</v>
      </c>
      <c r="F233" s="30">
        <f t="shared" si="6"/>
        <v>8750</v>
      </c>
      <c r="H233" s="156">
        <v>8749525</v>
      </c>
      <c r="I233" s="156"/>
      <c r="J233" s="455"/>
    </row>
    <row r="234" spans="1:10" ht="11.1" customHeight="1">
      <c r="A234" s="328">
        <v>355000</v>
      </c>
      <c r="B234" s="323" t="s">
        <v>358</v>
      </c>
      <c r="F234" s="30">
        <f t="shared" si="6"/>
        <v>921</v>
      </c>
      <c r="H234" s="156">
        <v>921017</v>
      </c>
      <c r="I234" s="156"/>
      <c r="J234" s="455"/>
    </row>
    <row r="235" spans="1:10" ht="11.1" customHeight="1">
      <c r="A235" s="328">
        <v>356000</v>
      </c>
      <c r="B235" s="323" t="s">
        <v>359</v>
      </c>
      <c r="F235" s="30">
        <f t="shared" si="6"/>
        <v>279</v>
      </c>
      <c r="H235" s="156">
        <v>278965</v>
      </c>
      <c r="I235" s="156"/>
      <c r="J235" s="455"/>
    </row>
    <row r="236" spans="1:10" ht="11.1" customHeight="1">
      <c r="A236" s="328">
        <v>357000</v>
      </c>
      <c r="B236" s="323" t="s">
        <v>272</v>
      </c>
      <c r="F236" s="30">
        <f t="shared" si="6"/>
        <v>1812</v>
      </c>
      <c r="H236" s="156">
        <v>1812076</v>
      </c>
      <c r="I236" s="156"/>
      <c r="J236" s="455"/>
    </row>
    <row r="237" spans="1:10" ht="11.1" customHeight="1">
      <c r="A237" s="328"/>
      <c r="B237" s="323" t="s">
        <v>360</v>
      </c>
      <c r="F237" s="30">
        <f t="shared" si="6"/>
        <v>28442</v>
      </c>
      <c r="H237" s="156">
        <v>28441824</v>
      </c>
      <c r="I237" s="156"/>
      <c r="J237" s="455"/>
    </row>
    <row r="238" spans="1:10" ht="11.1" customHeight="1">
      <c r="A238" s="328"/>
      <c r="B238" s="323"/>
      <c r="F238" s="30">
        <f t="shared" si="6"/>
        <v>0</v>
      </c>
      <c r="H238" s="156"/>
      <c r="I238" s="156"/>
      <c r="J238" s="455"/>
    </row>
    <row r="239" spans="1:10" ht="11.1" customHeight="1">
      <c r="A239" s="328"/>
      <c r="B239" s="323" t="s">
        <v>361</v>
      </c>
      <c r="F239" s="30">
        <f t="shared" si="6"/>
        <v>0</v>
      </c>
      <c r="H239" s="156"/>
      <c r="I239" s="156"/>
      <c r="J239" s="455"/>
    </row>
    <row r="240" spans="1:10" ht="11.1" customHeight="1">
      <c r="A240" s="328">
        <v>374200</v>
      </c>
      <c r="B240" s="323" t="s">
        <v>351</v>
      </c>
      <c r="F240" s="30">
        <f t="shared" si="6"/>
        <v>64</v>
      </c>
      <c r="H240" s="156">
        <v>63925</v>
      </c>
      <c r="I240" s="156"/>
      <c r="J240" s="455"/>
    </row>
    <row r="241" spans="1:10" ht="11.1" customHeight="1">
      <c r="A241" s="328">
        <v>374400</v>
      </c>
      <c r="B241" s="323" t="s">
        <v>351</v>
      </c>
      <c r="F241" s="30">
        <f t="shared" si="6"/>
        <v>197</v>
      </c>
      <c r="H241" s="156">
        <v>197252</v>
      </c>
      <c r="I241" s="156"/>
      <c r="J241" s="455"/>
    </row>
    <row r="242" spans="1:10" ht="11.1" customHeight="1">
      <c r="A242" s="328">
        <v>375000</v>
      </c>
      <c r="B242" s="323" t="s">
        <v>353</v>
      </c>
      <c r="F242" s="30">
        <f t="shared" si="6"/>
        <v>653</v>
      </c>
      <c r="H242" s="156">
        <v>653292</v>
      </c>
      <c r="I242" s="156"/>
      <c r="J242" s="455"/>
    </row>
    <row r="243" spans="1:10" ht="11.1" customHeight="1">
      <c r="A243" s="328">
        <v>376000</v>
      </c>
      <c r="B243" s="329" t="s">
        <v>290</v>
      </c>
      <c r="F243" s="30">
        <f t="shared" si="6"/>
        <v>226876</v>
      </c>
      <c r="H243" s="156">
        <v>226876000</v>
      </c>
      <c r="I243" s="156"/>
      <c r="J243" s="457"/>
    </row>
    <row r="244" spans="1:10" ht="11.1" customHeight="1">
      <c r="A244" s="328">
        <v>378000</v>
      </c>
      <c r="B244" s="323" t="s">
        <v>362</v>
      </c>
      <c r="F244" s="30">
        <f t="shared" si="6"/>
        <v>3832</v>
      </c>
      <c r="H244" s="156">
        <v>3832057</v>
      </c>
      <c r="I244" s="156"/>
      <c r="J244" s="455"/>
    </row>
    <row r="245" spans="1:10" ht="11.1" customHeight="1">
      <c r="A245" s="328">
        <v>379000</v>
      </c>
      <c r="B245" s="323" t="s">
        <v>363</v>
      </c>
      <c r="F245" s="30">
        <f t="shared" si="6"/>
        <v>2130</v>
      </c>
      <c r="H245" s="156">
        <v>2129791</v>
      </c>
      <c r="I245" s="156"/>
      <c r="J245" s="455"/>
    </row>
    <row r="246" spans="1:10" ht="11.1" customHeight="1">
      <c r="A246" s="328">
        <v>380000</v>
      </c>
      <c r="B246" s="323" t="s">
        <v>291</v>
      </c>
      <c r="F246" s="30">
        <f t="shared" si="6"/>
        <v>169033</v>
      </c>
      <c r="H246" s="156">
        <v>169033175</v>
      </c>
      <c r="I246" s="156"/>
      <c r="J246" s="455"/>
    </row>
    <row r="247" spans="1:10" ht="11.1" customHeight="1">
      <c r="A247" s="328">
        <v>381000</v>
      </c>
      <c r="B247" s="323" t="s">
        <v>364</v>
      </c>
      <c r="F247" s="30">
        <f t="shared" si="6"/>
        <v>57191</v>
      </c>
      <c r="H247" s="156">
        <v>57191209</v>
      </c>
      <c r="I247" s="156"/>
      <c r="J247" s="455"/>
    </row>
    <row r="248" spans="1:10" ht="11.1" customHeight="1">
      <c r="A248" s="328">
        <v>382000</v>
      </c>
      <c r="B248" s="323" t="s">
        <v>365</v>
      </c>
      <c r="F248" s="30">
        <f t="shared" si="6"/>
        <v>0</v>
      </c>
      <c r="H248" s="156">
        <v>0</v>
      </c>
      <c r="I248" s="156"/>
      <c r="J248" s="455"/>
    </row>
    <row r="249" spans="1:10" ht="11.1" customHeight="1">
      <c r="A249" s="328">
        <v>383000</v>
      </c>
      <c r="B249" s="323" t="s">
        <v>366</v>
      </c>
      <c r="F249" s="30">
        <f t="shared" si="6"/>
        <v>0</v>
      </c>
      <c r="H249" s="156">
        <v>0</v>
      </c>
      <c r="I249" s="156"/>
      <c r="J249" s="455"/>
    </row>
    <row r="250" spans="1:10" ht="11.1" customHeight="1">
      <c r="A250" s="328">
        <v>384000</v>
      </c>
      <c r="B250" s="323" t="s">
        <v>367</v>
      </c>
      <c r="F250" s="30">
        <f t="shared" si="6"/>
        <v>0</v>
      </c>
      <c r="H250" s="156">
        <v>0</v>
      </c>
      <c r="I250" s="156"/>
      <c r="J250" s="455"/>
    </row>
    <row r="251" spans="1:10" ht="11.1" customHeight="1">
      <c r="A251" s="328">
        <v>385000</v>
      </c>
      <c r="B251" s="323" t="s">
        <v>368</v>
      </c>
      <c r="F251" s="30">
        <f t="shared" si="6"/>
        <v>2659</v>
      </c>
      <c r="H251" s="156">
        <v>2659130</v>
      </c>
      <c r="I251" s="156"/>
      <c r="J251" s="455"/>
    </row>
    <row r="252" spans="1:10" ht="11.1" customHeight="1">
      <c r="A252" s="328">
        <v>387000</v>
      </c>
      <c r="B252" s="323" t="s">
        <v>272</v>
      </c>
      <c r="F252" s="30">
        <f t="shared" si="6"/>
        <v>0</v>
      </c>
      <c r="H252" s="156">
        <v>0</v>
      </c>
      <c r="I252" s="156"/>
      <c r="J252" s="455"/>
    </row>
    <row r="253" spans="1:10" ht="11.1" customHeight="1">
      <c r="A253" s="328"/>
      <c r="B253" s="323" t="s">
        <v>369</v>
      </c>
      <c r="F253" s="30">
        <f t="shared" si="6"/>
        <v>462636</v>
      </c>
      <c r="H253" s="156">
        <v>462635831</v>
      </c>
      <c r="I253" s="156"/>
      <c r="J253" s="455"/>
    </row>
    <row r="254" spans="1:10" ht="11.1" customHeight="1">
      <c r="A254" s="328"/>
      <c r="B254" s="323"/>
      <c r="F254" s="30">
        <f t="shared" si="6"/>
        <v>0</v>
      </c>
      <c r="H254" s="156"/>
      <c r="I254" s="156"/>
      <c r="J254" s="455"/>
    </row>
    <row r="255" spans="1:10" ht="11.1" customHeight="1">
      <c r="A255" s="328"/>
      <c r="B255" s="323" t="s">
        <v>370</v>
      </c>
      <c r="F255" s="30">
        <f t="shared" si="6"/>
        <v>0</v>
      </c>
      <c r="H255" s="156"/>
      <c r="I255" s="156"/>
      <c r="J255" s="455"/>
    </row>
    <row r="256" spans="1:10" ht="11.1" customHeight="1">
      <c r="A256" s="328" t="s">
        <v>371</v>
      </c>
      <c r="B256" s="323" t="s">
        <v>351</v>
      </c>
      <c r="F256" s="30">
        <f t="shared" si="6"/>
        <v>4444</v>
      </c>
      <c r="H256" s="156">
        <v>4443805</v>
      </c>
      <c r="I256" s="156"/>
      <c r="J256" s="455"/>
    </row>
    <row r="257" spans="1:10" ht="11.1" customHeight="1">
      <c r="A257" s="326" t="s">
        <v>372</v>
      </c>
      <c r="B257" s="323" t="s">
        <v>353</v>
      </c>
      <c r="F257" s="30">
        <f t="shared" si="6"/>
        <v>27044</v>
      </c>
      <c r="H257" s="156">
        <v>27043944</v>
      </c>
      <c r="I257" s="156"/>
      <c r="J257" s="455"/>
    </row>
    <row r="258" spans="1:10" ht="11.1" customHeight="1">
      <c r="A258" s="326" t="s">
        <v>373</v>
      </c>
      <c r="B258" s="323" t="s">
        <v>374</v>
      </c>
      <c r="F258" s="30">
        <f t="shared" si="6"/>
        <v>11749</v>
      </c>
      <c r="H258" s="156">
        <v>11748534</v>
      </c>
      <c r="I258" s="156"/>
      <c r="J258" s="455"/>
    </row>
    <row r="259" spans="1:10" ht="11.1" customHeight="1">
      <c r="A259" s="326" t="s">
        <v>375</v>
      </c>
      <c r="B259" s="323" t="s">
        <v>376</v>
      </c>
      <c r="F259" s="30">
        <f t="shared" si="6"/>
        <v>11977</v>
      </c>
      <c r="H259" s="156">
        <v>11976974</v>
      </c>
      <c r="I259" s="156"/>
      <c r="J259" s="455"/>
    </row>
    <row r="260" spans="1:10" ht="11.1" customHeight="1">
      <c r="A260" s="328">
        <v>393000</v>
      </c>
      <c r="B260" s="323" t="s">
        <v>377</v>
      </c>
      <c r="F260" s="30">
        <f t="shared" si="6"/>
        <v>850</v>
      </c>
      <c r="H260" s="156">
        <v>850322</v>
      </c>
      <c r="I260" s="156"/>
      <c r="J260" s="455"/>
    </row>
    <row r="261" spans="1:10" ht="11.1" customHeight="1">
      <c r="A261" s="328">
        <v>394000</v>
      </c>
      <c r="B261" s="323" t="s">
        <v>378</v>
      </c>
      <c r="F261" s="30">
        <f t="shared" si="6"/>
        <v>6346</v>
      </c>
      <c r="H261" s="156">
        <v>6345552</v>
      </c>
      <c r="I261" s="156"/>
      <c r="J261" s="455"/>
    </row>
    <row r="262" spans="1:10" ht="11.1" customHeight="1">
      <c r="A262" s="328">
        <v>395000</v>
      </c>
      <c r="B262" s="323" t="s">
        <v>379</v>
      </c>
      <c r="F262" s="30">
        <f t="shared" si="6"/>
        <v>338</v>
      </c>
      <c r="H262" s="156">
        <v>337955</v>
      </c>
      <c r="I262" s="156"/>
      <c r="J262" s="455"/>
    </row>
    <row r="263" spans="1:10" ht="11.1" customHeight="1">
      <c r="A263" s="328" t="s">
        <v>380</v>
      </c>
      <c r="B263" s="323" t="s">
        <v>381</v>
      </c>
      <c r="F263" s="30">
        <f t="shared" si="6"/>
        <v>3222</v>
      </c>
      <c r="H263" s="156">
        <v>3221765</v>
      </c>
      <c r="I263" s="156"/>
      <c r="J263" s="455"/>
    </row>
    <row r="264" spans="1:10" ht="11.1" customHeight="1">
      <c r="A264" s="328" t="s">
        <v>382</v>
      </c>
      <c r="B264" s="323" t="s">
        <v>383</v>
      </c>
      <c r="F264" s="30">
        <f t="shared" si="6"/>
        <v>11412</v>
      </c>
      <c r="H264" s="156">
        <v>11412294</v>
      </c>
      <c r="I264" s="156"/>
      <c r="J264" s="455"/>
    </row>
    <row r="265" spans="1:10" ht="11.1" customHeight="1">
      <c r="A265" s="328">
        <v>398000</v>
      </c>
      <c r="B265" s="323" t="s">
        <v>384</v>
      </c>
      <c r="F265" s="30">
        <f t="shared" si="6"/>
        <v>69</v>
      </c>
      <c r="H265" s="156">
        <v>69043</v>
      </c>
      <c r="I265" s="156"/>
      <c r="J265" s="455"/>
    </row>
    <row r="266" spans="1:10" ht="11.1" customHeight="1">
      <c r="A266" s="328"/>
      <c r="B266" s="323" t="s">
        <v>385</v>
      </c>
      <c r="F266" s="30">
        <f t="shared" si="6"/>
        <v>77450</v>
      </c>
      <c r="H266" s="156">
        <v>77450188</v>
      </c>
      <c r="I266" s="156"/>
      <c r="J266" s="455"/>
    </row>
    <row r="267" spans="1:10" ht="11.1" customHeight="1">
      <c r="A267" s="328"/>
      <c r="B267" s="323"/>
      <c r="F267" s="30">
        <f t="shared" si="6"/>
        <v>0</v>
      </c>
      <c r="H267" s="156"/>
      <c r="I267" s="156"/>
      <c r="J267" s="455"/>
    </row>
    <row r="268" spans="1:10" ht="11.1" customHeight="1">
      <c r="A268" s="328"/>
      <c r="B268" s="323" t="s">
        <v>386</v>
      </c>
      <c r="F268" s="30">
        <f t="shared" si="6"/>
        <v>605131</v>
      </c>
      <c r="H268" s="156">
        <v>605131177</v>
      </c>
      <c r="I268" s="156"/>
      <c r="J268" s="455"/>
    </row>
    <row r="269" spans="1:10" ht="11.1" customHeight="1">
      <c r="A269" s="328"/>
      <c r="B269" s="323"/>
      <c r="F269" s="30">
        <f t="shared" si="6"/>
        <v>0</v>
      </c>
      <c r="H269" s="156"/>
      <c r="I269" s="156"/>
      <c r="J269" s="455"/>
    </row>
    <row r="270" spans="1:10" ht="11.1" customHeight="1">
      <c r="A270" s="328"/>
      <c r="B270" s="323"/>
      <c r="F270" s="30">
        <f t="shared" si="6"/>
        <v>0</v>
      </c>
      <c r="H270" s="156"/>
      <c r="I270" s="156"/>
      <c r="J270" s="455"/>
    </row>
    <row r="271" spans="1:10" ht="11.1" customHeight="1">
      <c r="A271" s="326"/>
      <c r="B271" s="323" t="s">
        <v>64</v>
      </c>
      <c r="F271" s="30">
        <f t="shared" si="6"/>
        <v>0</v>
      </c>
      <c r="H271" s="156"/>
      <c r="I271" s="156"/>
      <c r="J271" s="455"/>
    </row>
    <row r="272" spans="1:10" ht="11.1" customHeight="1">
      <c r="A272" s="326"/>
      <c r="B272" s="323" t="s">
        <v>42</v>
      </c>
      <c r="F272" s="30">
        <f t="shared" si="6"/>
        <v>-10933</v>
      </c>
      <c r="H272" s="156">
        <v>-10932793</v>
      </c>
      <c r="I272" s="156"/>
      <c r="J272" s="455"/>
    </row>
    <row r="273" spans="1:10" ht="11.1" customHeight="1">
      <c r="A273" s="326"/>
      <c r="B273" s="323" t="s">
        <v>61</v>
      </c>
      <c r="F273" s="30">
        <f t="shared" si="6"/>
        <v>-145402</v>
      </c>
      <c r="H273" s="156">
        <v>-145401815</v>
      </c>
      <c r="I273" s="156"/>
      <c r="J273" s="455"/>
    </row>
    <row r="274" spans="1:10" ht="11.1" customHeight="1">
      <c r="A274" s="326"/>
      <c r="B274" s="323" t="s">
        <v>62</v>
      </c>
      <c r="F274" s="30">
        <f t="shared" si="6"/>
        <v>-22689</v>
      </c>
      <c r="H274" s="156">
        <v>-22689229</v>
      </c>
      <c r="I274" s="156"/>
      <c r="J274" s="455"/>
    </row>
    <row r="275" spans="1:10" ht="11.1" customHeight="1">
      <c r="A275" s="322"/>
      <c r="B275" s="323" t="s">
        <v>387</v>
      </c>
      <c r="F275" s="30">
        <f t="shared" si="6"/>
        <v>-179024</v>
      </c>
      <c r="H275" s="156">
        <v>-179023837</v>
      </c>
      <c r="I275" s="156"/>
      <c r="J275" s="455"/>
    </row>
    <row r="276" spans="1:10" ht="11.1" customHeight="1">
      <c r="A276" s="322"/>
      <c r="B276" s="323"/>
      <c r="F276" s="30">
        <f t="shared" si="6"/>
        <v>0</v>
      </c>
      <c r="H276" s="156"/>
      <c r="I276" s="156"/>
      <c r="J276" s="455"/>
    </row>
    <row r="277" spans="1:10" ht="11.1" customHeight="1">
      <c r="A277" s="322"/>
      <c r="B277" s="323" t="s">
        <v>388</v>
      </c>
      <c r="F277" s="30">
        <f t="shared" si="6"/>
        <v>0</v>
      </c>
      <c r="H277" s="156"/>
      <c r="I277" s="156"/>
      <c r="J277" s="455"/>
    </row>
    <row r="278" spans="1:10" ht="11.1" customHeight="1">
      <c r="A278" s="326"/>
      <c r="B278" s="323" t="s">
        <v>389</v>
      </c>
      <c r="F278" s="30">
        <f t="shared" si="6"/>
        <v>-638</v>
      </c>
      <c r="H278" s="156">
        <v>-637611</v>
      </c>
      <c r="I278" s="156"/>
      <c r="J278" s="455"/>
    </row>
    <row r="279" spans="1:10" ht="11.1" customHeight="1">
      <c r="A279" s="326"/>
      <c r="B279" s="323" t="s">
        <v>390</v>
      </c>
      <c r="F279" s="30">
        <f t="shared" si="6"/>
        <v>-9027</v>
      </c>
      <c r="H279" s="156">
        <v>-9027434</v>
      </c>
      <c r="I279" s="156"/>
      <c r="J279" s="455"/>
    </row>
    <row r="280" spans="1:10" ht="11.1" customHeight="1">
      <c r="A280" s="326"/>
      <c r="B280" s="323" t="s">
        <v>42</v>
      </c>
      <c r="F280" s="30">
        <f t="shared" si="6"/>
        <v>-118</v>
      </c>
      <c r="H280" s="156">
        <v>-117774</v>
      </c>
      <c r="I280" s="156"/>
      <c r="J280" s="455"/>
    </row>
    <row r="281" spans="1:10" ht="11.1" customHeight="1">
      <c r="A281" s="326"/>
      <c r="B281" s="323" t="s">
        <v>391</v>
      </c>
      <c r="F281" s="30">
        <f t="shared" si="6"/>
        <v>0</v>
      </c>
      <c r="H281" s="156">
        <v>0</v>
      </c>
      <c r="I281" s="156"/>
      <c r="J281" s="455"/>
    </row>
    <row r="282" spans="1:10" ht="11.1" customHeight="1">
      <c r="A282" s="326"/>
      <c r="B282" s="323" t="s">
        <v>392</v>
      </c>
      <c r="F282" s="30">
        <f t="shared" si="6"/>
        <v>-9783</v>
      </c>
      <c r="H282" s="156">
        <v>-9782819</v>
      </c>
      <c r="I282" s="156"/>
      <c r="J282" s="455"/>
    </row>
    <row r="283" spans="1:10" ht="11.1" customHeight="1">
      <c r="A283" s="326"/>
      <c r="B283" s="323"/>
      <c r="F283" s="30">
        <f t="shared" si="6"/>
        <v>0</v>
      </c>
      <c r="H283" s="156"/>
      <c r="I283" s="156"/>
      <c r="J283" s="455"/>
    </row>
    <row r="284" spans="1:10" ht="11.1" customHeight="1">
      <c r="A284" s="326"/>
      <c r="B284" s="323" t="s">
        <v>393</v>
      </c>
      <c r="F284" s="30">
        <f t="shared" si="6"/>
        <v>-188807</v>
      </c>
      <c r="H284" s="156">
        <v>-188806656</v>
      </c>
      <c r="I284" s="156"/>
      <c r="J284" s="455"/>
    </row>
    <row r="285" spans="1:10" ht="11.1" customHeight="1">
      <c r="A285" s="326"/>
      <c r="B285" s="323"/>
      <c r="F285" s="30">
        <f t="shared" si="6"/>
        <v>0</v>
      </c>
      <c r="H285" s="156"/>
      <c r="I285" s="156"/>
      <c r="J285" s="455"/>
    </row>
    <row r="286" spans="1:10" ht="11.1" customHeight="1">
      <c r="A286" s="322"/>
      <c r="B286" s="323" t="s">
        <v>394</v>
      </c>
      <c r="F286" s="30">
        <f t="shared" si="6"/>
        <v>416325</v>
      </c>
      <c r="H286" s="156">
        <v>416324521</v>
      </c>
      <c r="I286" s="156"/>
      <c r="J286" s="455"/>
    </row>
    <row r="287" spans="1:10" ht="11.1" customHeight="1">
      <c r="A287" s="322"/>
      <c r="B287" s="323"/>
      <c r="F287" s="30">
        <f t="shared" si="6"/>
        <v>0</v>
      </c>
      <c r="H287" s="156"/>
      <c r="I287" s="156"/>
      <c r="J287" s="455"/>
    </row>
    <row r="288" spans="1:10" ht="11.1" customHeight="1">
      <c r="A288" s="330"/>
      <c r="B288" s="331" t="s">
        <v>395</v>
      </c>
      <c r="F288" s="30">
        <f t="shared" si="6"/>
        <v>0</v>
      </c>
      <c r="H288" s="156"/>
      <c r="I288" s="156"/>
      <c r="J288" s="458"/>
    </row>
    <row r="289" spans="1:10" ht="11.1" customHeight="1">
      <c r="A289" s="332">
        <v>282900</v>
      </c>
      <c r="B289" s="331" t="s">
        <v>396</v>
      </c>
      <c r="F289" s="30">
        <f t="shared" si="6"/>
        <v>-75511</v>
      </c>
      <c r="H289" s="156">
        <v>-75510500</v>
      </c>
      <c r="I289" s="156"/>
      <c r="J289" s="458"/>
    </row>
    <row r="290" spans="1:10" ht="11.1" customHeight="1">
      <c r="A290" s="332">
        <v>282900</v>
      </c>
      <c r="B290" s="331" t="s">
        <v>397</v>
      </c>
      <c r="F290" s="30">
        <f t="shared" ref="F290:F291" si="7">ROUND(H290/1000,0)</f>
        <v>-13061</v>
      </c>
      <c r="H290" s="156">
        <v>-13061490</v>
      </c>
      <c r="I290" s="156"/>
      <c r="J290" s="458"/>
    </row>
    <row r="291" spans="1:10" ht="11.1" customHeight="1">
      <c r="A291" s="508">
        <v>282919</v>
      </c>
      <c r="B291" s="458" t="s">
        <v>530</v>
      </c>
      <c r="F291" s="30">
        <f t="shared" si="7"/>
        <v>-7</v>
      </c>
      <c r="H291" s="156">
        <v>-6582</v>
      </c>
      <c r="I291" s="156"/>
      <c r="J291" s="458"/>
    </row>
    <row r="292" spans="1:10" ht="11.1" customHeight="1">
      <c r="A292" s="332">
        <v>283750</v>
      </c>
      <c r="B292" s="331" t="s">
        <v>438</v>
      </c>
      <c r="F292" s="30">
        <f t="shared" si="6"/>
        <v>-35</v>
      </c>
      <c r="H292" s="156">
        <v>-35478</v>
      </c>
      <c r="I292" s="156"/>
      <c r="J292" s="458"/>
    </row>
    <row r="293" spans="1:10" ht="11.1" customHeight="1">
      <c r="A293" s="332">
        <v>283850</v>
      </c>
      <c r="B293" s="331" t="s">
        <v>398</v>
      </c>
      <c r="F293" s="30">
        <f t="shared" ref="F293:F312" si="8">ROUND(H293/1000,0)</f>
        <v>-294</v>
      </c>
      <c r="H293" s="156">
        <v>-293814</v>
      </c>
      <c r="I293" s="156"/>
      <c r="J293" s="458"/>
    </row>
    <row r="294" spans="1:10" ht="11.1" customHeight="1">
      <c r="A294" s="326"/>
      <c r="B294" s="323" t="s">
        <v>399</v>
      </c>
      <c r="F294" s="30">
        <f t="shared" si="8"/>
        <v>-88908</v>
      </c>
      <c r="H294" s="156">
        <v>-88907864</v>
      </c>
      <c r="I294" s="156"/>
      <c r="J294" s="455"/>
    </row>
    <row r="295" spans="1:10" ht="11.1" customHeight="1">
      <c r="A295" s="322"/>
      <c r="B295" s="323"/>
      <c r="F295" s="30">
        <f t="shared" si="8"/>
        <v>0</v>
      </c>
      <c r="H295" s="156"/>
      <c r="I295" s="156"/>
      <c r="J295" s="455"/>
    </row>
    <row r="296" spans="1:10" ht="11.1" customHeight="1">
      <c r="A296" s="322"/>
      <c r="B296" s="323" t="s">
        <v>400</v>
      </c>
      <c r="F296" s="30">
        <f t="shared" si="8"/>
        <v>327417</v>
      </c>
      <c r="H296" s="156">
        <v>327416657</v>
      </c>
      <c r="I296" s="156"/>
      <c r="J296" s="455"/>
    </row>
    <row r="298" spans="1:10" ht="11.1" customHeight="1">
      <c r="A298" s="333"/>
      <c r="B298" s="334" t="s">
        <v>401</v>
      </c>
      <c r="J298" s="455"/>
    </row>
    <row r="299" spans="1:10" ht="11.1" customHeight="1">
      <c r="A299" s="335">
        <v>182311</v>
      </c>
      <c r="B299" s="334" t="s">
        <v>531</v>
      </c>
      <c r="F299" s="30">
        <f t="shared" si="8"/>
        <v>9</v>
      </c>
      <c r="H299" s="156">
        <v>8605</v>
      </c>
      <c r="I299" s="156"/>
      <c r="J299" s="455"/>
    </row>
    <row r="300" spans="1:10" ht="11.1" customHeight="1">
      <c r="A300" s="335">
        <v>182318</v>
      </c>
      <c r="B300" s="334" t="s">
        <v>532</v>
      </c>
      <c r="F300" s="30">
        <f t="shared" si="8"/>
        <v>0</v>
      </c>
      <c r="H300" s="156">
        <v>-305</v>
      </c>
      <c r="I300" s="156"/>
      <c r="J300" s="455"/>
    </row>
    <row r="301" spans="1:10" ht="11.1" customHeight="1">
      <c r="A301" s="336">
        <v>117100</v>
      </c>
      <c r="B301" s="337" t="s">
        <v>402</v>
      </c>
      <c r="F301" s="30">
        <f t="shared" si="8"/>
        <v>3960</v>
      </c>
      <c r="H301" s="156">
        <v>3960165</v>
      </c>
      <c r="I301" s="156"/>
      <c r="J301" s="458"/>
    </row>
    <row r="302" spans="1:10" ht="11.1" customHeight="1">
      <c r="A302" s="336">
        <v>164100</v>
      </c>
      <c r="B302" s="337" t="s">
        <v>403</v>
      </c>
      <c r="F302" s="30">
        <f t="shared" si="8"/>
        <v>4395</v>
      </c>
      <c r="H302" s="156">
        <v>4394967</v>
      </c>
      <c r="I302" s="156"/>
      <c r="J302" s="458"/>
    </row>
    <row r="303" spans="1:10" ht="11.1" customHeight="1">
      <c r="A303" s="336">
        <v>252000</v>
      </c>
      <c r="B303" s="338" t="s">
        <v>404</v>
      </c>
      <c r="F303" s="30">
        <f t="shared" si="8"/>
        <v>0</v>
      </c>
      <c r="H303" s="156">
        <v>-18</v>
      </c>
      <c r="I303" s="156"/>
      <c r="J303" s="459"/>
    </row>
    <row r="304" spans="1:10" ht="11.1" customHeight="1">
      <c r="A304" s="336">
        <v>235199</v>
      </c>
      <c r="B304" s="338" t="s">
        <v>405</v>
      </c>
      <c r="F304" s="30">
        <f t="shared" si="8"/>
        <v>-566</v>
      </c>
      <c r="H304" s="156">
        <v>-566176</v>
      </c>
      <c r="I304" s="156"/>
      <c r="J304" s="459"/>
    </row>
    <row r="305" spans="1:10" ht="11.1" customHeight="1">
      <c r="A305" s="508">
        <v>254911</v>
      </c>
      <c r="B305" s="459" t="s">
        <v>533</v>
      </c>
      <c r="F305" s="30">
        <f t="shared" si="8"/>
        <v>-753</v>
      </c>
      <c r="H305" s="156">
        <v>-752880</v>
      </c>
      <c r="I305" s="156"/>
      <c r="J305" s="459"/>
    </row>
    <row r="306" spans="1:10" ht="15.75">
      <c r="A306" s="508">
        <v>182302</v>
      </c>
      <c r="B306" s="459" t="s">
        <v>474</v>
      </c>
      <c r="F306" s="30">
        <f t="shared" si="8"/>
        <v>8464</v>
      </c>
      <c r="H306" s="156">
        <v>8463757</v>
      </c>
      <c r="I306" s="156"/>
      <c r="J306" s="459"/>
    </row>
    <row r="307" spans="1:10" ht="15.75">
      <c r="A307" s="508">
        <v>283302</v>
      </c>
      <c r="B307" s="459" t="s">
        <v>534</v>
      </c>
      <c r="F307" s="30">
        <f t="shared" si="8"/>
        <v>-1816</v>
      </c>
      <c r="H307" s="156">
        <v>-1816057</v>
      </c>
      <c r="I307" s="156"/>
      <c r="J307" s="459"/>
    </row>
    <row r="308" spans="1:10" ht="11.1" customHeight="1">
      <c r="A308" s="339"/>
      <c r="B308" s="340" t="s">
        <v>406</v>
      </c>
      <c r="F308" s="30">
        <f t="shared" si="8"/>
        <v>7549</v>
      </c>
      <c r="H308" s="156">
        <v>7549307</v>
      </c>
      <c r="I308" s="156"/>
      <c r="J308" s="459"/>
    </row>
    <row r="309" spans="1:10" ht="11.1" customHeight="1">
      <c r="A309" s="336">
        <v>186710</v>
      </c>
      <c r="B309" s="337" t="s">
        <v>407</v>
      </c>
      <c r="F309" s="30">
        <f t="shared" si="8"/>
        <v>0</v>
      </c>
      <c r="H309" s="156">
        <v>0</v>
      </c>
      <c r="I309" s="156"/>
      <c r="J309" s="458"/>
    </row>
    <row r="310" spans="1:10" ht="11.1" customHeight="1">
      <c r="A310" s="338"/>
      <c r="B310" s="334" t="s">
        <v>408</v>
      </c>
      <c r="F310" s="30">
        <f t="shared" si="8"/>
        <v>21241</v>
      </c>
      <c r="H310" s="156">
        <v>21241365</v>
      </c>
      <c r="I310" s="156"/>
      <c r="J310" s="455"/>
    </row>
    <row r="311" spans="1:10" ht="11.1" customHeight="1">
      <c r="A311" s="338"/>
      <c r="B311" s="334"/>
      <c r="F311" s="30">
        <f t="shared" si="8"/>
        <v>0</v>
      </c>
      <c r="H311" s="156"/>
      <c r="I311" s="156"/>
      <c r="J311" s="455"/>
    </row>
    <row r="312" spans="1:10" ht="11.1" customHeight="1">
      <c r="A312" s="338"/>
      <c r="B312" s="334" t="s">
        <v>409</v>
      </c>
      <c r="F312" s="30">
        <f t="shared" si="8"/>
        <v>348658</v>
      </c>
      <c r="H312" s="156">
        <v>348658022</v>
      </c>
      <c r="I312" s="156"/>
      <c r="J312" s="455"/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9" orientation="portrait" horizontalDpi="300" verticalDpi="300" r:id="rId3"/>
  <headerFooter alignWithMargins="0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98"/>
  <sheetViews>
    <sheetView view="pageBreakPreview" topLeftCell="AB1" zoomScale="130" zoomScaleNormal="100" zoomScaleSheetLayoutView="130" workbookViewId="0">
      <selection activeCell="AF36" sqref="AF36"/>
    </sheetView>
  </sheetViews>
  <sheetFormatPr defaultColWidth="10.7109375" defaultRowHeight="12"/>
  <cols>
    <col min="1" max="1" width="5.7109375" style="200" customWidth="1"/>
    <col min="2" max="3" width="1.7109375" style="176" customWidth="1"/>
    <col min="4" max="4" width="28.7109375" style="176" customWidth="1"/>
    <col min="5" max="5" width="17.28515625" style="178" customWidth="1"/>
    <col min="6" max="37" width="20.42578125" style="178" customWidth="1"/>
    <col min="38" max="16384" width="10.7109375" style="176"/>
  </cols>
  <sheetData>
    <row r="1" spans="1:37">
      <c r="F1" s="227" t="s">
        <v>206</v>
      </c>
      <c r="G1" s="227" t="s">
        <v>206</v>
      </c>
      <c r="H1" s="227" t="s">
        <v>206</v>
      </c>
      <c r="I1" s="227" t="s">
        <v>206</v>
      </c>
      <c r="J1" s="227" t="s">
        <v>206</v>
      </c>
      <c r="K1" s="227" t="s">
        <v>206</v>
      </c>
      <c r="L1" s="227" t="s">
        <v>206</v>
      </c>
      <c r="M1" s="227" t="s">
        <v>206</v>
      </c>
      <c r="N1" s="227" t="s">
        <v>206</v>
      </c>
      <c r="O1" s="227" t="s">
        <v>206</v>
      </c>
      <c r="P1" s="227" t="s">
        <v>206</v>
      </c>
      <c r="Q1" s="227" t="s">
        <v>206</v>
      </c>
      <c r="R1" s="227" t="s">
        <v>206</v>
      </c>
      <c r="S1" s="227" t="s">
        <v>206</v>
      </c>
      <c r="T1" s="227" t="s">
        <v>206</v>
      </c>
      <c r="U1" s="227" t="s">
        <v>206</v>
      </c>
      <c r="V1" s="227" t="s">
        <v>206</v>
      </c>
      <c r="W1" s="227" t="s">
        <v>206</v>
      </c>
      <c r="X1" s="227" t="s">
        <v>206</v>
      </c>
      <c r="Y1" s="227" t="s">
        <v>206</v>
      </c>
      <c r="Z1" s="227" t="s">
        <v>206</v>
      </c>
      <c r="AA1" s="227" t="s">
        <v>206</v>
      </c>
      <c r="AB1" s="227" t="s">
        <v>206</v>
      </c>
      <c r="AC1" s="227" t="s">
        <v>206</v>
      </c>
      <c r="AD1" s="227" t="s">
        <v>206</v>
      </c>
      <c r="AE1" s="227" t="s">
        <v>206</v>
      </c>
      <c r="AF1" s="227" t="s">
        <v>206</v>
      </c>
      <c r="AG1" s="227" t="s">
        <v>206</v>
      </c>
      <c r="AH1" s="227" t="s">
        <v>206</v>
      </c>
      <c r="AI1" s="227" t="s">
        <v>206</v>
      </c>
      <c r="AJ1" s="227" t="s">
        <v>206</v>
      </c>
      <c r="AK1" s="227" t="s">
        <v>206</v>
      </c>
    </row>
    <row r="2" spans="1:37" ht="12.75" customHeight="1">
      <c r="A2" s="175" t="str">
        <f>'ADJ DETAIL INPUT'!A2</f>
        <v>AVISTA UTILITIES</v>
      </c>
      <c r="E2" s="177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1:37" ht="12.75" customHeight="1">
      <c r="A3" s="175" t="str">
        <f>'ADJ DETAIL INPUT'!A3</f>
        <v>WASHINGTON NATURAL GAS</v>
      </c>
      <c r="E3" s="177"/>
    </row>
    <row r="4" spans="1:37" ht="12.75" customHeight="1">
      <c r="A4" s="175" t="str">
        <f>'ADJ DETAIL INPUT'!A4</f>
        <v>TWELVE MONTHS ENDED DECEMBER 31, 2018</v>
      </c>
      <c r="E4" s="180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</row>
    <row r="5" spans="1:37">
      <c r="A5" s="175" t="str">
        <f>'ADJ DETAIL INPUT'!A5</f>
        <v xml:space="preserve">(000'S OF DOLLARS)   </v>
      </c>
      <c r="B5" s="175"/>
      <c r="C5" s="175"/>
      <c r="D5" s="175"/>
      <c r="E5" s="175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</row>
    <row r="6" spans="1:37" ht="12.75" customHeight="1">
      <c r="A6" s="175"/>
    </row>
    <row r="7" spans="1:37" s="183" customFormat="1">
      <c r="A7" s="182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s="183" customFormat="1" ht="12" customHeight="1">
      <c r="A8" s="185"/>
      <c r="B8" s="186"/>
      <c r="C8" s="187"/>
      <c r="D8" s="188"/>
      <c r="E8" s="189" t="str">
        <f>'ADJ DETAIL INPUT'!E7</f>
        <v>Per</v>
      </c>
      <c r="F8" s="189" t="str">
        <f>'ADJ DETAIL INPUT'!F7</f>
        <v xml:space="preserve">Deferred </v>
      </c>
      <c r="G8" s="189" t="str">
        <f>'ADJ DETAIL INPUT'!G7</f>
        <v>Deferred</v>
      </c>
      <c r="H8" s="189" t="str">
        <f>'ADJ DETAIL INPUT'!H7</f>
        <v>Working</v>
      </c>
      <c r="I8" s="189" t="str">
        <f>'ADJ DETAIL INPUT'!I7</f>
        <v>Remove</v>
      </c>
      <c r="J8" s="189" t="str">
        <f>'ADJ DETAIL INPUT'!J7</f>
        <v xml:space="preserve">Eliminate </v>
      </c>
      <c r="K8" s="189" t="str">
        <f>'ADJ DETAIL INPUT'!K7</f>
        <v>Restate</v>
      </c>
      <c r="L8" s="189" t="str">
        <f>'ADJ DETAIL INPUT'!L7</f>
        <v>Uncollectible</v>
      </c>
      <c r="M8" s="189" t="str">
        <f>'ADJ DETAIL INPUT'!M7</f>
        <v>Regulatory</v>
      </c>
      <c r="N8" s="189" t="str">
        <f>'ADJ DETAIL INPUT'!N7</f>
        <v>Injuries</v>
      </c>
      <c r="O8" s="189" t="str">
        <f>'ADJ DETAIL INPUT'!O7</f>
        <v xml:space="preserve">FIT / </v>
      </c>
      <c r="P8" s="189" t="str">
        <f>'ADJ DETAIL INPUT'!P7</f>
        <v>Office Space</v>
      </c>
      <c r="Q8" s="189" t="str">
        <f>'ADJ DETAIL INPUT'!Q7</f>
        <v>Restate</v>
      </c>
      <c r="R8" s="189" t="str">
        <f>'ADJ DETAIL INPUT'!R7</f>
        <v>Net</v>
      </c>
      <c r="S8" s="189" t="str">
        <f>'ADJ DETAIL INPUT'!S7</f>
        <v xml:space="preserve">Weather </v>
      </c>
      <c r="T8" s="189" t="str">
        <f>'ADJ DETAIL INPUT'!T7</f>
        <v>Eliminate</v>
      </c>
      <c r="U8" s="189" t="str">
        <f>'ADJ DETAIL INPUT'!U7</f>
        <v>Misc. Restating</v>
      </c>
      <c r="V8" s="189" t="str">
        <f>'ADJ DETAIL INPUT'!V7</f>
        <v>Restating</v>
      </c>
      <c r="W8" s="189" t="str">
        <f>'ADJ DETAIL INPUT'!W7</f>
        <v>Restate</v>
      </c>
      <c r="X8" s="189" t="str">
        <f>'ADJ DETAIL INPUT'!X7</f>
        <v>Restate 2018</v>
      </c>
      <c r="Y8" s="189" t="str">
        <f>'ADJ DETAIL INPUT'!AA7</f>
        <v>Pro Forma</v>
      </c>
      <c r="Z8" s="189" t="str">
        <f>'ADJ DETAIL INPUT'!AB7</f>
        <v>Pro Forma</v>
      </c>
      <c r="AA8" s="189" t="str">
        <f>'ADJ DETAIL INPUT'!AC7</f>
        <v>Pro Forma</v>
      </c>
      <c r="AB8" s="189" t="str">
        <f>'ADJ DETAIL INPUT'!AD7</f>
        <v>Pro Forma</v>
      </c>
      <c r="AC8" s="189" t="str">
        <f>'ADJ DETAIL INPUT'!AE7</f>
        <v>Pro Forma</v>
      </c>
      <c r="AD8" s="189" t="str">
        <f>'ADJ DETAIL INPUT'!AF7</f>
        <v>Pro Forma</v>
      </c>
      <c r="AE8" s="189" t="str">
        <f>'ADJ DETAIL INPUT'!AG7</f>
        <v>Pro Forma</v>
      </c>
      <c r="AF8" s="189" t="str">
        <f>'ADJ DETAIL INPUT'!AH7</f>
        <v>Pro Forma</v>
      </c>
      <c r="AG8" s="189" t="str">
        <f>'ADJ DETAIL INPUT'!AI7</f>
        <v>Pro Forma</v>
      </c>
      <c r="AH8" s="189" t="str">
        <f>'ADJ DETAIL INPUT'!AJ7</f>
        <v xml:space="preserve">Pro Forma </v>
      </c>
      <c r="AI8" s="189" t="str">
        <f>'ADJ DETAIL INPUT'!AK7</f>
        <v>Pro Forma</v>
      </c>
      <c r="AJ8" s="189" t="str">
        <f>'ADJ DETAIL INPUT'!AL7</f>
        <v>Pro Forma</v>
      </c>
      <c r="AK8" s="189" t="str">
        <f>'ADJ DETAIL INPUT'!AM7</f>
        <v>Pro Forma</v>
      </c>
    </row>
    <row r="9" spans="1:37" s="183" customFormat="1">
      <c r="A9" s="190" t="s">
        <v>7</v>
      </c>
      <c r="B9" s="191"/>
      <c r="C9" s="192"/>
      <c r="D9" s="193"/>
      <c r="E9" s="194" t="str">
        <f>'ADJ DETAIL INPUT'!E8</f>
        <v xml:space="preserve">Results </v>
      </c>
      <c r="F9" s="194" t="str">
        <f>'ADJ DETAIL INPUT'!F8</f>
        <v>FIT</v>
      </c>
      <c r="G9" s="194" t="str">
        <f>'ADJ DETAIL INPUT'!G8</f>
        <v xml:space="preserve">Debits and </v>
      </c>
      <c r="H9" s="194" t="str">
        <f>'ADJ DETAIL INPUT'!H8</f>
        <v>Capital</v>
      </c>
      <c r="I9" s="194" t="str">
        <f>'ADJ DETAIL INPUT'!I8</f>
        <v>AMI</v>
      </c>
      <c r="J9" s="194" t="str">
        <f>'ADJ DETAIL INPUT'!J8</f>
        <v xml:space="preserve">B &amp; O </v>
      </c>
      <c r="K9" s="194" t="str">
        <f>'ADJ DETAIL INPUT'!K8</f>
        <v>Property</v>
      </c>
      <c r="L9" s="194" t="str">
        <f>'ADJ DETAIL INPUT'!L8</f>
        <v>Expense</v>
      </c>
      <c r="M9" s="194" t="str">
        <f>'ADJ DETAIL INPUT'!M8</f>
        <v>Expense</v>
      </c>
      <c r="N9" s="194" t="str">
        <f>'ADJ DETAIL INPUT'!N8</f>
        <v>&amp;</v>
      </c>
      <c r="O9" s="194" t="str">
        <f>'ADJ DETAIL INPUT'!O8</f>
        <v xml:space="preserve">DFIT </v>
      </c>
      <c r="P9" s="194" t="str">
        <f>'ADJ DETAIL INPUT'!P8</f>
        <v>Charges to</v>
      </c>
      <c r="Q9" s="194" t="str">
        <f>'ADJ DETAIL INPUT'!Q8</f>
        <v>Excise</v>
      </c>
      <c r="R9" s="194" t="str">
        <f>'ADJ DETAIL INPUT'!R8</f>
        <v>Gains</v>
      </c>
      <c r="S9" s="194" t="str">
        <f>'ADJ DETAIL INPUT'!S8</f>
        <v>Normalization /</v>
      </c>
      <c r="T9" s="194" t="str">
        <f>'ADJ DETAIL INPUT'!T8</f>
        <v>Adder</v>
      </c>
      <c r="U9" s="194" t="str">
        <f>'ADJ DETAIL INPUT'!U8</f>
        <v>Non-Util / Non-</v>
      </c>
      <c r="V9" s="194" t="str">
        <f>'ADJ DETAIL INPUT'!V8</f>
        <v>Incentives</v>
      </c>
      <c r="W9" s="194" t="str">
        <f>'ADJ DETAIL INPUT'!W8</f>
        <v>Debt</v>
      </c>
      <c r="X9" s="194" t="str">
        <f>'ADJ DETAIL INPUT'!X8</f>
        <v>AMA Rate</v>
      </c>
      <c r="Y9" s="194" t="str">
        <f>'ADJ DETAIL INPUT'!AA8</f>
        <v xml:space="preserve"> Revenue</v>
      </c>
      <c r="Z9" s="194" t="str">
        <f>'ADJ DETAIL INPUT'!AB8</f>
        <v>LEAP Deferral</v>
      </c>
      <c r="AA9" s="194" t="str">
        <f>'ADJ DETAIL INPUT'!AC8</f>
        <v>Labor</v>
      </c>
      <c r="AB9" s="194" t="str">
        <f>'ADJ DETAIL INPUT'!AD8</f>
        <v>Labor</v>
      </c>
      <c r="AC9" s="194" t="str">
        <f>'ADJ DETAIL INPUT'!AE8</f>
        <v>Employee</v>
      </c>
      <c r="AD9" s="194" t="str">
        <f>'ADJ DETAIL INPUT'!AF8</f>
        <v xml:space="preserve">Insurance </v>
      </c>
      <c r="AE9" s="194" t="str">
        <f>'ADJ DETAIL INPUT'!AG8</f>
        <v>IS/IT</v>
      </c>
      <c r="AF9" s="194" t="str">
        <f>'ADJ DETAIL INPUT'!AH8</f>
        <v>Property</v>
      </c>
      <c r="AG9" s="194" t="str">
        <f>'ADJ DETAIL INPUT'!AI8</f>
        <v>Depreciation</v>
      </c>
      <c r="AH9" s="194" t="str">
        <f>'ADJ DETAIL INPUT'!AJ8</f>
        <v>2019 Major</v>
      </c>
      <c r="AI9" s="194" t="str">
        <f>'ADJ DETAIL INPUT'!AK8</f>
        <v>O&amp;M</v>
      </c>
      <c r="AJ9" s="194" t="str">
        <f>'ADJ DETAIL INPUT'!AL8</f>
        <v>Fee Free</v>
      </c>
      <c r="AK9" s="194" t="str">
        <f>'ADJ DETAIL INPUT'!AM8</f>
        <v>Open</v>
      </c>
    </row>
    <row r="10" spans="1:37" s="183" customFormat="1">
      <c r="A10" s="195" t="s">
        <v>16</v>
      </c>
      <c r="B10" s="196"/>
      <c r="C10" s="197"/>
      <c r="D10" s="198" t="s">
        <v>17</v>
      </c>
      <c r="E10" s="199" t="str">
        <f>'ADJ DETAIL INPUT'!E9</f>
        <v>Report</v>
      </c>
      <c r="F10" s="199" t="str">
        <f>'ADJ DETAIL INPUT'!F9</f>
        <v>Rate Base</v>
      </c>
      <c r="G10" s="199" t="str">
        <f>'ADJ DETAIL INPUT'!G9</f>
        <v>Credits</v>
      </c>
      <c r="H10" s="199"/>
      <c r="I10" s="199"/>
      <c r="J10" s="199" t="str">
        <f>'ADJ DETAIL INPUT'!J9</f>
        <v>Taxes</v>
      </c>
      <c r="K10" s="199" t="str">
        <f>'ADJ DETAIL INPUT'!K9</f>
        <v>Tax</v>
      </c>
      <c r="L10" s="199"/>
      <c r="M10" s="199"/>
      <c r="N10" s="199" t="str">
        <f>'ADJ DETAIL INPUT'!N9</f>
        <v>Damages</v>
      </c>
      <c r="O10" s="199" t="str">
        <f>'ADJ DETAIL INPUT'!O9</f>
        <v>Expense</v>
      </c>
      <c r="P10" s="199" t="str">
        <f>'ADJ DETAIL INPUT'!P9</f>
        <v>Non-Utility</v>
      </c>
      <c r="Q10" s="199" t="str">
        <f>'ADJ DETAIL INPUT'!Q9</f>
        <v>Taxes</v>
      </c>
      <c r="R10" s="199"/>
      <c r="S10" s="199" t="str">
        <f>'ADJ DETAIL INPUT'!S9</f>
        <v>Gas Cost Adjust</v>
      </c>
      <c r="T10" s="199" t="str">
        <f>'ADJ DETAIL INPUT'!T9</f>
        <v>Schedules</v>
      </c>
      <c r="U10" s="199" t="str">
        <f>'ADJ DETAIL INPUT'!U9</f>
        <v>Recurring Expense</v>
      </c>
      <c r="V10" s="199"/>
      <c r="W10" s="199" t="str">
        <f>'ADJ DETAIL INPUT'!W9</f>
        <v>Interest</v>
      </c>
      <c r="X10" s="199" t="str">
        <f>'ADJ DETAIL INPUT'!X9</f>
        <v>Base to EOP</v>
      </c>
      <c r="Y10" s="199" t="str">
        <f>'ADJ DETAIL INPUT'!AA9</f>
        <v xml:space="preserve">Normalization </v>
      </c>
      <c r="Z10" s="199" t="str">
        <f>'ADJ DETAIL INPUT'!AB9</f>
        <v>Amortization</v>
      </c>
      <c r="AA10" s="199" t="str">
        <f>'ADJ DETAIL INPUT'!AC9</f>
        <v>Non-Exec</v>
      </c>
      <c r="AB10" s="199" t="str">
        <f>'ADJ DETAIL INPUT'!AD9</f>
        <v>Exec</v>
      </c>
      <c r="AC10" s="199" t="str">
        <f>'ADJ DETAIL INPUT'!AE9</f>
        <v>Benefits</v>
      </c>
      <c r="AD10" s="199" t="str">
        <f>'ADJ DETAIL INPUT'!AF9</f>
        <v>Expense</v>
      </c>
      <c r="AE10" s="199" t="str">
        <f>'ADJ DETAIL INPUT'!AG9</f>
        <v>Expense</v>
      </c>
      <c r="AF10" s="199" t="str">
        <f>'ADJ DETAIL INPUT'!AH9</f>
        <v>Tax</v>
      </c>
      <c r="AG10" s="199" t="str">
        <f>'ADJ DETAIL INPUT'!AI9</f>
        <v>Expense</v>
      </c>
      <c r="AH10" s="199" t="str">
        <f>'ADJ DETAIL INPUT'!AJ9</f>
        <v>Capital Adds</v>
      </c>
      <c r="AI10" s="199" t="str">
        <f>'ADJ DETAIL INPUT'!AK9</f>
        <v>Offsets</v>
      </c>
      <c r="AJ10" s="199" t="str">
        <f>'ADJ DETAIL INPUT'!AL9</f>
        <v>Amortization</v>
      </c>
      <c r="AK10" s="199">
        <f>'ADJ DETAIL INPUT'!AM9</f>
        <v>0</v>
      </c>
    </row>
    <row r="11" spans="1:37" s="183" customFormat="1">
      <c r="A11" s="182"/>
      <c r="B11" s="216" t="s">
        <v>182</v>
      </c>
      <c r="E11" s="217">
        <f>'ADJ DETAIL INPUT'!E10</f>
        <v>1</v>
      </c>
      <c r="F11" s="217">
        <f>'ADJ DETAIL INPUT'!F10</f>
        <v>1.01</v>
      </c>
      <c r="G11" s="217">
        <f>'ADJ DETAIL INPUT'!G10</f>
        <v>1.02</v>
      </c>
      <c r="H11" s="217">
        <f>'ADJ DETAIL INPUT'!H10</f>
        <v>1.03</v>
      </c>
      <c r="I11" s="217">
        <f>'ADJ DETAIL INPUT'!I10</f>
        <v>1.04</v>
      </c>
      <c r="J11" s="217">
        <f>'ADJ DETAIL INPUT'!J10</f>
        <v>2.0099999999999998</v>
      </c>
      <c r="K11" s="217">
        <f>'ADJ DETAIL INPUT'!K10</f>
        <v>2.0199999999999996</v>
      </c>
      <c r="L11" s="217">
        <f>'ADJ DETAIL INPUT'!L10</f>
        <v>2.0299999999999994</v>
      </c>
      <c r="M11" s="217">
        <f>'ADJ DETAIL INPUT'!M10</f>
        <v>2.0399999999999991</v>
      </c>
      <c r="N11" s="217">
        <f>'ADJ DETAIL INPUT'!N10</f>
        <v>2.0499999999999989</v>
      </c>
      <c r="O11" s="217">
        <f>'ADJ DETAIL INPUT'!O10</f>
        <v>2.0599999999999987</v>
      </c>
      <c r="P11" s="217">
        <f>'ADJ DETAIL INPUT'!P10</f>
        <v>2.0699999999999985</v>
      </c>
      <c r="Q11" s="217">
        <f>'ADJ DETAIL INPUT'!Q10</f>
        <v>2.0799999999999983</v>
      </c>
      <c r="R11" s="217">
        <f>'ADJ DETAIL INPUT'!R10</f>
        <v>2.0899999999999981</v>
      </c>
      <c r="S11" s="217">
        <f>'ADJ DETAIL INPUT'!S10</f>
        <v>2.0999999999999979</v>
      </c>
      <c r="T11" s="217">
        <f>'ADJ DETAIL INPUT'!T10</f>
        <v>2.1099999999999977</v>
      </c>
      <c r="U11" s="217">
        <f>'ADJ DETAIL INPUT'!U10</f>
        <v>2.1199999999999974</v>
      </c>
      <c r="V11" s="217">
        <f>'ADJ DETAIL INPUT'!V10</f>
        <v>2.1299999999999972</v>
      </c>
      <c r="W11" s="217">
        <f>'ADJ DETAIL INPUT'!W10</f>
        <v>2.139999999999997</v>
      </c>
      <c r="X11" s="217">
        <f>'ADJ DETAIL INPUT'!X10</f>
        <v>2.1499999999999968</v>
      </c>
      <c r="Y11" s="217">
        <f>'ADJ DETAIL INPUT'!AA10</f>
        <v>3.01</v>
      </c>
      <c r="Z11" s="217">
        <f>'ADJ DETAIL INPUT'!AB10</f>
        <v>3.0199999999999996</v>
      </c>
      <c r="AA11" s="217">
        <f>'ADJ DETAIL INPUT'!AC10</f>
        <v>3.0299999999999994</v>
      </c>
      <c r="AB11" s="217">
        <f>'ADJ DETAIL INPUT'!AD10</f>
        <v>3.0399999999999991</v>
      </c>
      <c r="AC11" s="217">
        <f>'ADJ DETAIL INPUT'!AE10</f>
        <v>3.0499999999999989</v>
      </c>
      <c r="AD11" s="217">
        <f>'ADJ DETAIL INPUT'!AF10</f>
        <v>3.0599999999999987</v>
      </c>
      <c r="AE11" s="217">
        <f>'ADJ DETAIL INPUT'!AG10</f>
        <v>3.0699999999999985</v>
      </c>
      <c r="AF11" s="217">
        <f>'ADJ DETAIL INPUT'!AH10</f>
        <v>3.0799999999999983</v>
      </c>
      <c r="AG11" s="217">
        <f>'ADJ DETAIL INPUT'!AI10</f>
        <v>3.0899999999999981</v>
      </c>
      <c r="AH11" s="217">
        <f>'ADJ DETAIL INPUT'!AJ10</f>
        <v>3.0999999999999979</v>
      </c>
      <c r="AI11" s="217">
        <f>'ADJ DETAIL INPUT'!AK10</f>
        <v>3.1099999999999977</v>
      </c>
      <c r="AJ11" s="217">
        <f>'ADJ DETAIL INPUT'!AL10</f>
        <v>3.1199999999999974</v>
      </c>
      <c r="AK11" s="217">
        <f>'ADJ DETAIL INPUT'!AM10</f>
        <v>3.1299999999999972</v>
      </c>
    </row>
    <row r="12" spans="1:37" s="183" customFormat="1">
      <c r="A12" s="182"/>
      <c r="B12" s="216" t="s">
        <v>183</v>
      </c>
      <c r="E12" s="184" t="str">
        <f>'ADJ DETAIL INPUT'!E11</f>
        <v>G-ROO</v>
      </c>
      <c r="F12" s="184" t="str">
        <f>'ADJ DETAIL INPUT'!F11</f>
        <v>G-DFIT</v>
      </c>
      <c r="G12" s="184" t="str">
        <f>'ADJ DETAIL INPUT'!G11</f>
        <v>G-DDC</v>
      </c>
      <c r="H12" s="184" t="str">
        <f>'ADJ DETAIL INPUT'!H11</f>
        <v>G-WC</v>
      </c>
      <c r="I12" s="184" t="str">
        <f>'ADJ DETAIL INPUT'!I11</f>
        <v>G-AMI</v>
      </c>
      <c r="J12" s="184" t="str">
        <f>'ADJ DETAIL INPUT'!J11</f>
        <v>G-EBO</v>
      </c>
      <c r="K12" s="184" t="str">
        <f>'ADJ DETAIL INPUT'!K11</f>
        <v>G-RPT</v>
      </c>
      <c r="L12" s="184" t="str">
        <f>'ADJ DETAIL INPUT'!L11</f>
        <v>G-UE</v>
      </c>
      <c r="M12" s="184" t="str">
        <f>'ADJ DETAIL INPUT'!M11</f>
        <v>G-RE</v>
      </c>
      <c r="N12" s="184" t="str">
        <f>'ADJ DETAIL INPUT'!N11</f>
        <v>G-ID</v>
      </c>
      <c r="O12" s="184" t="str">
        <f>'ADJ DETAIL INPUT'!O11</f>
        <v>G-FIT</v>
      </c>
      <c r="P12" s="184" t="str">
        <f>'ADJ DETAIL INPUT'!P11</f>
        <v>G-OSC</v>
      </c>
      <c r="Q12" s="184" t="str">
        <f>'ADJ DETAIL INPUT'!Q11</f>
        <v>G-RET</v>
      </c>
      <c r="R12" s="184" t="str">
        <f>'ADJ DETAIL INPUT'!R11</f>
        <v>G-NGL</v>
      </c>
      <c r="S12" s="184" t="str">
        <f>'ADJ DETAIL INPUT'!S11</f>
        <v>G-WNGC</v>
      </c>
      <c r="T12" s="184" t="str">
        <f>'ADJ DETAIL INPUT'!T11</f>
        <v>G-EAS</v>
      </c>
      <c r="U12" s="184" t="str">
        <f>'ADJ DETAIL INPUT'!U11</f>
        <v>G-MR</v>
      </c>
      <c r="V12" s="184" t="str">
        <f>'ADJ DETAIL INPUT'!V11</f>
        <v>G-RI</v>
      </c>
      <c r="W12" s="184" t="str">
        <f>'ADJ DETAIL INPUT'!W11</f>
        <v>G-DI</v>
      </c>
      <c r="X12" s="184" t="str">
        <f>'ADJ DETAIL INPUT'!X11</f>
        <v>G-EOP18</v>
      </c>
      <c r="Y12" s="184" t="str">
        <f>'ADJ DETAIL INPUT'!AA11</f>
        <v>G-PREV</v>
      </c>
      <c r="Z12" s="184" t="str">
        <f>'ADJ DETAIL INPUT'!AB11</f>
        <v>G-PLEAP</v>
      </c>
      <c r="AA12" s="184" t="str">
        <f>'ADJ DETAIL INPUT'!AC11</f>
        <v>G-PLN</v>
      </c>
      <c r="AB12" s="184" t="str">
        <f>'ADJ DETAIL INPUT'!AD11</f>
        <v>G-PLE</v>
      </c>
      <c r="AC12" s="184" t="str">
        <f>'ADJ DETAIL INPUT'!AE11</f>
        <v>G-PEB</v>
      </c>
      <c r="AD12" s="184" t="str">
        <f>'ADJ DETAIL INPUT'!AF11</f>
        <v>G-PINS</v>
      </c>
      <c r="AE12" s="184" t="str">
        <f>'ADJ DETAIL INPUT'!AG11</f>
        <v>G-PIT</v>
      </c>
      <c r="AF12" s="184" t="str">
        <f>'ADJ DETAIL INPUT'!AH11</f>
        <v>G-PPT</v>
      </c>
      <c r="AG12" s="184" t="str">
        <f>'ADJ DETAIL INPUT'!AI11</f>
        <v>G-PDEP</v>
      </c>
      <c r="AH12" s="184" t="str">
        <f>'ADJ DETAIL INPUT'!AJ11</f>
        <v>G-PCAP</v>
      </c>
      <c r="AI12" s="184" t="str">
        <f>'ADJ DETAIL INPUT'!AK11</f>
        <v>G-POFF</v>
      </c>
      <c r="AJ12" s="184" t="str">
        <f>'ADJ DETAIL INPUT'!AL11</f>
        <v>G-PFEE</v>
      </c>
      <c r="AK12" s="184" t="str">
        <f>'ADJ DETAIL INPUT'!AM11</f>
        <v>G-P</v>
      </c>
    </row>
    <row r="14" spans="1:37">
      <c r="B14" s="176" t="s">
        <v>32</v>
      </c>
    </row>
    <row r="15" spans="1:37" s="201" customFormat="1">
      <c r="A15" s="200">
        <v>1</v>
      </c>
      <c r="B15" s="201" t="s">
        <v>33</v>
      </c>
      <c r="E15" s="301">
        <f>'ADJ DETAIL INPUT'!E14</f>
        <v>140625</v>
      </c>
      <c r="F15" s="301">
        <f>'ADJ DETAIL INPUT'!F14</f>
        <v>0</v>
      </c>
      <c r="G15" s="301">
        <f>'ADJ DETAIL INPUT'!G14</f>
        <v>0</v>
      </c>
      <c r="H15" s="301">
        <f>'ADJ DETAIL INPUT'!H14</f>
        <v>0</v>
      </c>
      <c r="I15" s="301">
        <f>'ADJ DETAIL INPUT'!I14</f>
        <v>0</v>
      </c>
      <c r="J15" s="301">
        <f>'ADJ DETAIL INPUT'!J14</f>
        <v>-5070</v>
      </c>
      <c r="K15" s="301">
        <f>'ADJ DETAIL INPUT'!K14</f>
        <v>0</v>
      </c>
      <c r="L15" s="301">
        <f>'ADJ DETAIL INPUT'!L14</f>
        <v>0</v>
      </c>
      <c r="M15" s="301">
        <f>'ADJ DETAIL INPUT'!M14</f>
        <v>0</v>
      </c>
      <c r="N15" s="301">
        <f>'ADJ DETAIL INPUT'!N14</f>
        <v>0</v>
      </c>
      <c r="O15" s="301">
        <f>'ADJ DETAIL INPUT'!O14</f>
        <v>0</v>
      </c>
      <c r="P15" s="301">
        <f>'ADJ DETAIL INPUT'!P14</f>
        <v>0</v>
      </c>
      <c r="Q15" s="301">
        <f>'ADJ DETAIL INPUT'!Q14</f>
        <v>0</v>
      </c>
      <c r="R15" s="301">
        <f>'ADJ DETAIL INPUT'!R14</f>
        <v>0</v>
      </c>
      <c r="S15" s="301">
        <f>'ADJ DETAIL INPUT'!S14</f>
        <v>6259</v>
      </c>
      <c r="T15" s="301">
        <f>'ADJ DETAIL INPUT'!T14</f>
        <v>5056</v>
      </c>
      <c r="U15" s="301">
        <f>'ADJ DETAIL INPUT'!U14</f>
        <v>0</v>
      </c>
      <c r="V15" s="301">
        <f>'ADJ DETAIL INPUT'!V14</f>
        <v>0</v>
      </c>
      <c r="W15" s="301">
        <f>'ADJ DETAIL INPUT'!W14</f>
        <v>0</v>
      </c>
      <c r="X15" s="301">
        <f>'ADJ DETAIL INPUT'!X14</f>
        <v>0</v>
      </c>
      <c r="Y15" s="301">
        <f>'ADJ DETAIL INPUT'!AA14</f>
        <v>-58118</v>
      </c>
      <c r="Z15" s="301">
        <f>'ADJ DETAIL INPUT'!AB14</f>
        <v>0</v>
      </c>
      <c r="AA15" s="301">
        <f>'ADJ DETAIL INPUT'!AC14</f>
        <v>0</v>
      </c>
      <c r="AB15" s="301">
        <f>'ADJ DETAIL INPUT'!AD14</f>
        <v>0</v>
      </c>
      <c r="AC15" s="301">
        <f>'ADJ DETAIL INPUT'!AE14</f>
        <v>0</v>
      </c>
      <c r="AD15" s="301">
        <f>'ADJ DETAIL INPUT'!AF14</f>
        <v>0</v>
      </c>
      <c r="AE15" s="301">
        <f>'ADJ DETAIL INPUT'!AG14</f>
        <v>0</v>
      </c>
      <c r="AF15" s="301">
        <f>'ADJ DETAIL INPUT'!AH14</f>
        <v>0</v>
      </c>
      <c r="AG15" s="301">
        <f>'ADJ DETAIL INPUT'!AI14</f>
        <v>0</v>
      </c>
      <c r="AH15" s="301">
        <f>'ADJ DETAIL INPUT'!AJ14</f>
        <v>0</v>
      </c>
      <c r="AI15" s="301">
        <f>'ADJ DETAIL INPUT'!AK14</f>
        <v>0</v>
      </c>
      <c r="AJ15" s="301">
        <f>'ADJ DETAIL INPUT'!AL14</f>
        <v>0</v>
      </c>
      <c r="AK15" s="301">
        <f>'ADJ DETAIL INPUT'!AM14</f>
        <v>0</v>
      </c>
    </row>
    <row r="16" spans="1:37">
      <c r="A16" s="200">
        <v>2</v>
      </c>
      <c r="B16" s="202" t="s">
        <v>34</v>
      </c>
      <c r="D16" s="202"/>
      <c r="E16" s="221">
        <f>'ADJ DETAIL INPUT'!E15</f>
        <v>5088</v>
      </c>
      <c r="F16" s="221">
        <f>'ADJ DETAIL INPUT'!F15</f>
        <v>0</v>
      </c>
      <c r="G16" s="221">
        <f>'ADJ DETAIL INPUT'!G15</f>
        <v>0</v>
      </c>
      <c r="H16" s="221">
        <f>'ADJ DETAIL INPUT'!H15</f>
        <v>0</v>
      </c>
      <c r="I16" s="221">
        <f>'ADJ DETAIL INPUT'!I15</f>
        <v>0</v>
      </c>
      <c r="J16" s="221">
        <f>'ADJ DETAIL INPUT'!J15</f>
        <v>-128</v>
      </c>
      <c r="K16" s="221">
        <f>'ADJ DETAIL INPUT'!K15</f>
        <v>0</v>
      </c>
      <c r="L16" s="221">
        <f>'ADJ DETAIL INPUT'!L15</f>
        <v>0</v>
      </c>
      <c r="M16" s="221">
        <f>'ADJ DETAIL INPUT'!M15</f>
        <v>0</v>
      </c>
      <c r="N16" s="221">
        <f>'ADJ DETAIL INPUT'!N15</f>
        <v>0</v>
      </c>
      <c r="O16" s="221">
        <f>'ADJ DETAIL INPUT'!O15</f>
        <v>0</v>
      </c>
      <c r="P16" s="221">
        <f>'ADJ DETAIL INPUT'!P15</f>
        <v>0</v>
      </c>
      <c r="Q16" s="221">
        <f>'ADJ DETAIL INPUT'!Q15</f>
        <v>0</v>
      </c>
      <c r="R16" s="221">
        <f>'ADJ DETAIL INPUT'!R15</f>
        <v>0</v>
      </c>
      <c r="S16" s="221">
        <f>'ADJ DETAIL INPUT'!S15</f>
        <v>0</v>
      </c>
      <c r="T16" s="221">
        <f>'ADJ DETAIL INPUT'!T15</f>
        <v>0</v>
      </c>
      <c r="U16" s="221">
        <f>'ADJ DETAIL INPUT'!U15</f>
        <v>0</v>
      </c>
      <c r="V16" s="221">
        <f>'ADJ DETAIL INPUT'!V15</f>
        <v>0</v>
      </c>
      <c r="W16" s="221">
        <f>'ADJ DETAIL INPUT'!W15</f>
        <v>0</v>
      </c>
      <c r="X16" s="221">
        <f>'ADJ DETAIL INPUT'!X15</f>
        <v>0</v>
      </c>
      <c r="Y16" s="221">
        <f>'ADJ DETAIL INPUT'!AA15</f>
        <v>-5</v>
      </c>
      <c r="Z16" s="221">
        <f>'ADJ DETAIL INPUT'!AB15</f>
        <v>0</v>
      </c>
      <c r="AA16" s="221">
        <f>'ADJ DETAIL INPUT'!AC15</f>
        <v>0</v>
      </c>
      <c r="AB16" s="221">
        <f>'ADJ DETAIL INPUT'!AD15</f>
        <v>0</v>
      </c>
      <c r="AC16" s="221">
        <f>'ADJ DETAIL INPUT'!AE15</f>
        <v>0</v>
      </c>
      <c r="AD16" s="221">
        <f>'ADJ DETAIL INPUT'!AF15</f>
        <v>0</v>
      </c>
      <c r="AE16" s="221">
        <f>'ADJ DETAIL INPUT'!AG15</f>
        <v>0</v>
      </c>
      <c r="AF16" s="221">
        <f>'ADJ DETAIL INPUT'!AH15</f>
        <v>0</v>
      </c>
      <c r="AG16" s="221">
        <f>'ADJ DETAIL INPUT'!AI15</f>
        <v>0</v>
      </c>
      <c r="AH16" s="221">
        <f>'ADJ DETAIL INPUT'!AJ15</f>
        <v>0</v>
      </c>
      <c r="AI16" s="221">
        <f>'ADJ DETAIL INPUT'!AK15</f>
        <v>0</v>
      </c>
      <c r="AJ16" s="221">
        <f>'ADJ DETAIL INPUT'!AL15</f>
        <v>0</v>
      </c>
      <c r="AK16" s="221">
        <f>'ADJ DETAIL INPUT'!AM15</f>
        <v>0</v>
      </c>
    </row>
    <row r="17" spans="1:37">
      <c r="A17" s="200">
        <v>3</v>
      </c>
      <c r="B17" s="202" t="s">
        <v>35</v>
      </c>
      <c r="D17" s="202"/>
      <c r="E17" s="222">
        <f>'ADJ DETAIL INPUT'!E16</f>
        <v>50681</v>
      </c>
      <c r="F17" s="222">
        <f>'ADJ DETAIL INPUT'!F16</f>
        <v>0</v>
      </c>
      <c r="G17" s="222">
        <f>'ADJ DETAIL INPUT'!G16</f>
        <v>0</v>
      </c>
      <c r="H17" s="222">
        <f>'ADJ DETAIL INPUT'!H16</f>
        <v>0</v>
      </c>
      <c r="I17" s="222">
        <f>'ADJ DETAIL INPUT'!I16</f>
        <v>0</v>
      </c>
      <c r="J17" s="222">
        <f>'ADJ DETAIL INPUT'!J16</f>
        <v>0</v>
      </c>
      <c r="K17" s="222">
        <f>'ADJ DETAIL INPUT'!K16</f>
        <v>0</v>
      </c>
      <c r="L17" s="222">
        <f>'ADJ DETAIL INPUT'!L16</f>
        <v>0</v>
      </c>
      <c r="M17" s="222">
        <f>'ADJ DETAIL INPUT'!M16</f>
        <v>0</v>
      </c>
      <c r="N17" s="222">
        <f>'ADJ DETAIL INPUT'!N16</f>
        <v>0</v>
      </c>
      <c r="O17" s="222">
        <f>'ADJ DETAIL INPUT'!O16</f>
        <v>0</v>
      </c>
      <c r="P17" s="222">
        <f>'ADJ DETAIL INPUT'!P16</f>
        <v>0</v>
      </c>
      <c r="Q17" s="222">
        <f>'ADJ DETAIL INPUT'!Q16</f>
        <v>0</v>
      </c>
      <c r="R17" s="222">
        <f>'ADJ DETAIL INPUT'!R16</f>
        <v>0</v>
      </c>
      <c r="S17" s="222">
        <f>'ADJ DETAIL INPUT'!S16</f>
        <v>-3321</v>
      </c>
      <c r="T17" s="222">
        <f>'ADJ DETAIL INPUT'!T16</f>
        <v>-51690</v>
      </c>
      <c r="U17" s="222">
        <f>'ADJ DETAIL INPUT'!U16</f>
        <v>114</v>
      </c>
      <c r="V17" s="222">
        <f>'ADJ DETAIL INPUT'!V16</f>
        <v>0</v>
      </c>
      <c r="W17" s="222">
        <f>'ADJ DETAIL INPUT'!W16</f>
        <v>0</v>
      </c>
      <c r="X17" s="222">
        <f>'ADJ DETAIL INPUT'!X16</f>
        <v>0</v>
      </c>
      <c r="Y17" s="222">
        <f>'ADJ DETAIL INPUT'!AA16</f>
        <v>4549</v>
      </c>
      <c r="Z17" s="222">
        <f>'ADJ DETAIL INPUT'!AB16</f>
        <v>0</v>
      </c>
      <c r="AA17" s="222">
        <f>'ADJ DETAIL INPUT'!AC16</f>
        <v>0</v>
      </c>
      <c r="AB17" s="222">
        <f>'ADJ DETAIL INPUT'!AD16</f>
        <v>0</v>
      </c>
      <c r="AC17" s="222">
        <f>'ADJ DETAIL INPUT'!AE16</f>
        <v>0</v>
      </c>
      <c r="AD17" s="222">
        <f>'ADJ DETAIL INPUT'!AF16</f>
        <v>0</v>
      </c>
      <c r="AE17" s="222">
        <f>'ADJ DETAIL INPUT'!AG16</f>
        <v>0</v>
      </c>
      <c r="AF17" s="222">
        <f>'ADJ DETAIL INPUT'!AH16</f>
        <v>0</v>
      </c>
      <c r="AG17" s="222">
        <f>'ADJ DETAIL INPUT'!AI16</f>
        <v>0</v>
      </c>
      <c r="AH17" s="222">
        <f>'ADJ DETAIL INPUT'!AJ16</f>
        <v>0</v>
      </c>
      <c r="AI17" s="222">
        <f>'ADJ DETAIL INPUT'!AK16</f>
        <v>0</v>
      </c>
      <c r="AJ17" s="222">
        <f>'ADJ DETAIL INPUT'!AL16</f>
        <v>0</v>
      </c>
      <c r="AK17" s="222">
        <f>'ADJ DETAIL INPUT'!AM16</f>
        <v>0</v>
      </c>
    </row>
    <row r="18" spans="1:37">
      <c r="A18" s="200">
        <v>4</v>
      </c>
      <c r="B18" s="176" t="s">
        <v>36</v>
      </c>
      <c r="C18" s="202"/>
      <c r="D18" s="202"/>
      <c r="E18" s="221">
        <f>SUM(E15:E17)</f>
        <v>196394</v>
      </c>
      <c r="F18" s="221">
        <f t="shared" ref="F18:AF18" si="0">SUM(F15:F17)</f>
        <v>0</v>
      </c>
      <c r="G18" s="221">
        <f t="shared" si="0"/>
        <v>0</v>
      </c>
      <c r="H18" s="221">
        <f t="shared" si="0"/>
        <v>0</v>
      </c>
      <c r="I18" s="221">
        <f t="shared" ref="I18" si="1">SUM(I15:I17)</f>
        <v>0</v>
      </c>
      <c r="J18" s="221">
        <f t="shared" si="0"/>
        <v>-5198</v>
      </c>
      <c r="K18" s="221">
        <f t="shared" si="0"/>
        <v>0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221">
        <f t="shared" si="0"/>
        <v>0</v>
      </c>
      <c r="Q18" s="221">
        <f t="shared" si="0"/>
        <v>0</v>
      </c>
      <c r="R18" s="221">
        <f t="shared" si="0"/>
        <v>0</v>
      </c>
      <c r="S18" s="221">
        <f t="shared" si="0"/>
        <v>2938</v>
      </c>
      <c r="T18" s="221">
        <f t="shared" ref="T18:U18" si="2">SUM(T15:T17)</f>
        <v>-46634</v>
      </c>
      <c r="U18" s="221">
        <f t="shared" si="2"/>
        <v>114</v>
      </c>
      <c r="V18" s="221">
        <f t="shared" ref="V18" si="3">SUM(V15:V17)</f>
        <v>0</v>
      </c>
      <c r="W18" s="221">
        <f>SUM(W15:W17)</f>
        <v>0</v>
      </c>
      <c r="X18" s="221">
        <f>SUM(X15:X17)</f>
        <v>0</v>
      </c>
      <c r="Y18" s="221">
        <f>SUM(Y15:Y17)</f>
        <v>-53574</v>
      </c>
      <c r="Z18" s="221">
        <f t="shared" ref="Z18" si="4">SUM(Z15:Z17)</f>
        <v>0</v>
      </c>
      <c r="AA18" s="221">
        <f t="shared" si="0"/>
        <v>0</v>
      </c>
      <c r="AB18" s="221">
        <f t="shared" ref="AB18" si="5">SUM(AB15:AB17)</f>
        <v>0</v>
      </c>
      <c r="AC18" s="221">
        <f t="shared" si="0"/>
        <v>0</v>
      </c>
      <c r="AD18" s="221">
        <f t="shared" ref="AD18" si="6">SUM(AD15:AD17)</f>
        <v>0</v>
      </c>
      <c r="AE18" s="221">
        <f t="shared" ref="AE18" si="7">SUM(AE15:AE17)</f>
        <v>0</v>
      </c>
      <c r="AF18" s="221">
        <f t="shared" si="0"/>
        <v>0</v>
      </c>
      <c r="AG18" s="221">
        <f>SUM(AG15:AG17)</f>
        <v>0</v>
      </c>
      <c r="AH18" s="221">
        <f t="shared" ref="AH18:AI18" si="8">SUM(AH15:AH17)</f>
        <v>0</v>
      </c>
      <c r="AI18" s="221">
        <f t="shared" si="8"/>
        <v>0</v>
      </c>
      <c r="AJ18" s="221">
        <f t="shared" ref="AJ18:AK18" si="9">SUM(AJ15:AJ17)</f>
        <v>0</v>
      </c>
      <c r="AK18" s="221">
        <f t="shared" si="9"/>
        <v>0</v>
      </c>
    </row>
    <row r="19" spans="1:37">
      <c r="C19" s="202"/>
      <c r="D19" s="202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</row>
    <row r="20" spans="1:37">
      <c r="B20" s="176" t="s">
        <v>37</v>
      </c>
      <c r="C20" s="202"/>
      <c r="D20" s="202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</row>
    <row r="21" spans="1:37">
      <c r="B21" s="202" t="s">
        <v>204</v>
      </c>
      <c r="D21" s="202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</row>
    <row r="22" spans="1:37">
      <c r="A22" s="200">
        <v>5</v>
      </c>
      <c r="C22" s="202" t="s">
        <v>38</v>
      </c>
      <c r="D22" s="202"/>
      <c r="E22" s="221">
        <f>'ADJ DETAIL INPUT'!E21</f>
        <v>90669</v>
      </c>
      <c r="F22" s="221">
        <f>'ADJ DETAIL INPUT'!F21</f>
        <v>0</v>
      </c>
      <c r="G22" s="221">
        <f>'ADJ DETAIL INPUT'!G21</f>
        <v>0</v>
      </c>
      <c r="H22" s="221">
        <f>'ADJ DETAIL INPUT'!H21</f>
        <v>0</v>
      </c>
      <c r="I22" s="221">
        <f>'ADJ DETAIL INPUT'!I21</f>
        <v>0</v>
      </c>
      <c r="J22" s="221">
        <f>'ADJ DETAIL INPUT'!J21</f>
        <v>0</v>
      </c>
      <c r="K22" s="221">
        <f>'ADJ DETAIL INPUT'!K21</f>
        <v>0</v>
      </c>
      <c r="L22" s="221">
        <f>'ADJ DETAIL INPUT'!L21</f>
        <v>0</v>
      </c>
      <c r="M22" s="221">
        <f>'ADJ DETAIL INPUT'!M21</f>
        <v>0</v>
      </c>
      <c r="N22" s="221">
        <f>'ADJ DETAIL INPUT'!N21</f>
        <v>0</v>
      </c>
      <c r="O22" s="221">
        <f>'ADJ DETAIL INPUT'!O21</f>
        <v>0</v>
      </c>
      <c r="P22" s="221">
        <f>'ADJ DETAIL INPUT'!P21</f>
        <v>0</v>
      </c>
      <c r="Q22" s="221">
        <f>'ADJ DETAIL INPUT'!Q21</f>
        <v>0</v>
      </c>
      <c r="R22" s="221">
        <f>'ADJ DETAIL INPUT'!R21</f>
        <v>0</v>
      </c>
      <c r="S22" s="221">
        <f>'ADJ DETAIL INPUT'!S21</f>
        <v>2651</v>
      </c>
      <c r="T22" s="221">
        <f>'ADJ DETAIL INPUT'!T21</f>
        <v>-41801</v>
      </c>
      <c r="U22" s="221">
        <f>'ADJ DETAIL INPUT'!U21</f>
        <v>0</v>
      </c>
      <c r="V22" s="221">
        <f>'ADJ DETAIL INPUT'!V21</f>
        <v>0</v>
      </c>
      <c r="W22" s="221">
        <f>'ADJ DETAIL INPUT'!W21</f>
        <v>0</v>
      </c>
      <c r="X22" s="221">
        <f>'ADJ DETAIL INPUT'!X21</f>
        <v>0</v>
      </c>
      <c r="Y22" s="221">
        <f>'ADJ DETAIL INPUT'!AA21</f>
        <v>-51519</v>
      </c>
      <c r="Z22" s="221">
        <f>'ADJ DETAIL INPUT'!AB21</f>
        <v>0</v>
      </c>
      <c r="AA22" s="221">
        <f>'ADJ DETAIL INPUT'!AC21</f>
        <v>0</v>
      </c>
      <c r="AB22" s="221">
        <f>'ADJ DETAIL INPUT'!AD21</f>
        <v>0</v>
      </c>
      <c r="AC22" s="221">
        <f>'ADJ DETAIL INPUT'!AE21</f>
        <v>0</v>
      </c>
      <c r="AD22" s="221">
        <f>'ADJ DETAIL INPUT'!AF21</f>
        <v>0</v>
      </c>
      <c r="AE22" s="221">
        <f>'ADJ DETAIL INPUT'!AG21</f>
        <v>0</v>
      </c>
      <c r="AF22" s="221">
        <f>'ADJ DETAIL INPUT'!AH21</f>
        <v>0</v>
      </c>
      <c r="AG22" s="221">
        <f>'ADJ DETAIL INPUT'!AI21</f>
        <v>0</v>
      </c>
      <c r="AH22" s="221">
        <f>'ADJ DETAIL INPUT'!AJ21</f>
        <v>0</v>
      </c>
      <c r="AI22" s="221">
        <f>'ADJ DETAIL INPUT'!AK21</f>
        <v>0</v>
      </c>
      <c r="AJ22" s="221">
        <f>'ADJ DETAIL INPUT'!AL21</f>
        <v>0</v>
      </c>
      <c r="AK22" s="221">
        <f>'ADJ DETAIL INPUT'!AM21</f>
        <v>0</v>
      </c>
    </row>
    <row r="23" spans="1:37">
      <c r="A23" s="200">
        <v>6</v>
      </c>
      <c r="C23" s="202" t="s">
        <v>39</v>
      </c>
      <c r="D23" s="202"/>
      <c r="E23" s="221">
        <f>'ADJ DETAIL INPUT'!E22</f>
        <v>955</v>
      </c>
      <c r="F23" s="221">
        <f>'ADJ DETAIL INPUT'!F22</f>
        <v>0</v>
      </c>
      <c r="G23" s="221">
        <f>'ADJ DETAIL INPUT'!G22</f>
        <v>0</v>
      </c>
      <c r="H23" s="221">
        <f>'ADJ DETAIL INPUT'!H22</f>
        <v>0</v>
      </c>
      <c r="I23" s="221">
        <f>'ADJ DETAIL INPUT'!I22</f>
        <v>0</v>
      </c>
      <c r="J23" s="221">
        <f>'ADJ DETAIL INPUT'!J22</f>
        <v>0</v>
      </c>
      <c r="K23" s="221">
        <f>'ADJ DETAIL INPUT'!K22</f>
        <v>0</v>
      </c>
      <c r="L23" s="221">
        <f>'ADJ DETAIL INPUT'!L22</f>
        <v>0</v>
      </c>
      <c r="M23" s="221">
        <f>'ADJ DETAIL INPUT'!M22</f>
        <v>0</v>
      </c>
      <c r="N23" s="221">
        <f>'ADJ DETAIL INPUT'!N22</f>
        <v>0</v>
      </c>
      <c r="O23" s="221">
        <f>'ADJ DETAIL INPUT'!O22</f>
        <v>0</v>
      </c>
      <c r="P23" s="221">
        <f>'ADJ DETAIL INPUT'!P22</f>
        <v>0</v>
      </c>
      <c r="Q23" s="221">
        <f>'ADJ DETAIL INPUT'!Q22</f>
        <v>0</v>
      </c>
      <c r="R23" s="221">
        <f>'ADJ DETAIL INPUT'!R22</f>
        <v>0</v>
      </c>
      <c r="S23" s="221">
        <f>'ADJ DETAIL INPUT'!S22</f>
        <v>4</v>
      </c>
      <c r="T23" s="221">
        <f>'ADJ DETAIL INPUT'!T22</f>
        <v>0</v>
      </c>
      <c r="U23" s="221">
        <f>'ADJ DETAIL INPUT'!U22</f>
        <v>0</v>
      </c>
      <c r="V23" s="221">
        <f>'ADJ DETAIL INPUT'!V22</f>
        <v>0</v>
      </c>
      <c r="W23" s="221">
        <f>'ADJ DETAIL INPUT'!W22</f>
        <v>0</v>
      </c>
      <c r="X23" s="221">
        <f>'ADJ DETAIL INPUT'!X22</f>
        <v>0</v>
      </c>
      <c r="Y23" s="221">
        <f>'ADJ DETAIL INPUT'!AA22</f>
        <v>0</v>
      </c>
      <c r="Z23" s="221">
        <f>'ADJ DETAIL INPUT'!AB22</f>
        <v>0</v>
      </c>
      <c r="AA23" s="221">
        <f>'ADJ DETAIL INPUT'!AC22</f>
        <v>16</v>
      </c>
      <c r="AB23" s="221">
        <f>'ADJ DETAIL INPUT'!AD22</f>
        <v>0</v>
      </c>
      <c r="AC23" s="221">
        <f>'ADJ DETAIL INPUT'!AE22</f>
        <v>10</v>
      </c>
      <c r="AD23" s="221">
        <f>'ADJ DETAIL INPUT'!AF22</f>
        <v>0</v>
      </c>
      <c r="AE23" s="221">
        <f>'ADJ DETAIL INPUT'!AG22</f>
        <v>0</v>
      </c>
      <c r="AF23" s="221">
        <f>'ADJ DETAIL INPUT'!AH22</f>
        <v>0</v>
      </c>
      <c r="AG23" s="221">
        <f>'ADJ DETAIL INPUT'!AI22</f>
        <v>0</v>
      </c>
      <c r="AH23" s="221">
        <f>'ADJ DETAIL INPUT'!AJ22</f>
        <v>0</v>
      </c>
      <c r="AI23" s="221">
        <f>'ADJ DETAIL INPUT'!AK22</f>
        <v>0</v>
      </c>
      <c r="AJ23" s="221">
        <f>'ADJ DETAIL INPUT'!AL22</f>
        <v>0</v>
      </c>
      <c r="AK23" s="221">
        <f>'ADJ DETAIL INPUT'!AM22</f>
        <v>0</v>
      </c>
    </row>
    <row r="24" spans="1:37">
      <c r="A24" s="200">
        <v>7</v>
      </c>
      <c r="C24" s="202" t="s">
        <v>40</v>
      </c>
      <c r="D24" s="202"/>
      <c r="E24" s="222">
        <f>'ADJ DETAIL INPUT'!E23</f>
        <v>-292</v>
      </c>
      <c r="F24" s="222">
        <f>'ADJ DETAIL INPUT'!F23</f>
        <v>0</v>
      </c>
      <c r="G24" s="222">
        <f>'ADJ DETAIL INPUT'!G23</f>
        <v>0</v>
      </c>
      <c r="H24" s="222">
        <f>'ADJ DETAIL INPUT'!H23</f>
        <v>0</v>
      </c>
      <c r="I24" s="222">
        <f>'ADJ DETAIL INPUT'!I23</f>
        <v>0</v>
      </c>
      <c r="J24" s="222">
        <f>'ADJ DETAIL INPUT'!J23</f>
        <v>0</v>
      </c>
      <c r="K24" s="222">
        <f>'ADJ DETAIL INPUT'!K23</f>
        <v>0</v>
      </c>
      <c r="L24" s="222">
        <f>'ADJ DETAIL INPUT'!L23</f>
        <v>0</v>
      </c>
      <c r="M24" s="222">
        <f>'ADJ DETAIL INPUT'!M23</f>
        <v>0</v>
      </c>
      <c r="N24" s="222">
        <f>'ADJ DETAIL INPUT'!N23</f>
        <v>0</v>
      </c>
      <c r="O24" s="222">
        <f>'ADJ DETAIL INPUT'!O23</f>
        <v>0</v>
      </c>
      <c r="P24" s="222">
        <f>'ADJ DETAIL INPUT'!P23</f>
        <v>0</v>
      </c>
      <c r="Q24" s="222">
        <f>'ADJ DETAIL INPUT'!Q23</f>
        <v>0</v>
      </c>
      <c r="R24" s="222">
        <f>'ADJ DETAIL INPUT'!R23</f>
        <v>0</v>
      </c>
      <c r="S24" s="222">
        <f>'ADJ DETAIL INPUT'!S23</f>
        <v>0</v>
      </c>
      <c r="T24" s="222">
        <f>'ADJ DETAIL INPUT'!T23</f>
        <v>292</v>
      </c>
      <c r="U24" s="222">
        <f>'ADJ DETAIL INPUT'!U23</f>
        <v>0</v>
      </c>
      <c r="V24" s="222">
        <f>'ADJ DETAIL INPUT'!V23</f>
        <v>0</v>
      </c>
      <c r="W24" s="222">
        <f>'ADJ DETAIL INPUT'!W23</f>
        <v>0</v>
      </c>
      <c r="X24" s="222">
        <f>'ADJ DETAIL INPUT'!X23</f>
        <v>0</v>
      </c>
      <c r="Y24" s="222">
        <f>'ADJ DETAIL INPUT'!AA23</f>
        <v>0</v>
      </c>
      <c r="Z24" s="222">
        <f>'ADJ DETAIL INPUT'!AB23</f>
        <v>0</v>
      </c>
      <c r="AA24" s="222">
        <f>'ADJ DETAIL INPUT'!AC23</f>
        <v>0</v>
      </c>
      <c r="AB24" s="222">
        <f>'ADJ DETAIL INPUT'!AD23</f>
        <v>0</v>
      </c>
      <c r="AC24" s="222">
        <f>'ADJ DETAIL INPUT'!AE23</f>
        <v>0</v>
      </c>
      <c r="AD24" s="222">
        <f>'ADJ DETAIL INPUT'!AF23</f>
        <v>0</v>
      </c>
      <c r="AE24" s="222">
        <f>'ADJ DETAIL INPUT'!AG23</f>
        <v>0</v>
      </c>
      <c r="AF24" s="222">
        <f>'ADJ DETAIL INPUT'!AH23</f>
        <v>0</v>
      </c>
      <c r="AG24" s="222">
        <f>'ADJ DETAIL INPUT'!AI23</f>
        <v>0</v>
      </c>
      <c r="AH24" s="222">
        <f>'ADJ DETAIL INPUT'!AJ23</f>
        <v>0</v>
      </c>
      <c r="AI24" s="222">
        <f>'ADJ DETAIL INPUT'!AK23</f>
        <v>0</v>
      </c>
      <c r="AJ24" s="222">
        <f>'ADJ DETAIL INPUT'!AL23</f>
        <v>0</v>
      </c>
      <c r="AK24" s="222">
        <f>'ADJ DETAIL INPUT'!AM23</f>
        <v>0</v>
      </c>
    </row>
    <row r="25" spans="1:37">
      <c r="A25" s="200">
        <v>8</v>
      </c>
      <c r="B25" s="202" t="s">
        <v>41</v>
      </c>
      <c r="C25" s="202"/>
      <c r="E25" s="223">
        <f>SUM(E22:E24)</f>
        <v>91332</v>
      </c>
      <c r="F25" s="223">
        <f t="shared" ref="F25:AF25" si="10">SUM(F22:F24)</f>
        <v>0</v>
      </c>
      <c r="G25" s="223">
        <f t="shared" si="10"/>
        <v>0</v>
      </c>
      <c r="H25" s="223">
        <f t="shared" si="10"/>
        <v>0</v>
      </c>
      <c r="I25" s="223">
        <f t="shared" ref="I25" si="11">SUM(I22:I24)</f>
        <v>0</v>
      </c>
      <c r="J25" s="223">
        <f t="shared" si="10"/>
        <v>0</v>
      </c>
      <c r="K25" s="223">
        <f t="shared" si="10"/>
        <v>0</v>
      </c>
      <c r="L25" s="223">
        <f t="shared" si="10"/>
        <v>0</v>
      </c>
      <c r="M25" s="223">
        <f t="shared" si="10"/>
        <v>0</v>
      </c>
      <c r="N25" s="223">
        <f t="shared" si="10"/>
        <v>0</v>
      </c>
      <c r="O25" s="223">
        <f t="shared" si="10"/>
        <v>0</v>
      </c>
      <c r="P25" s="223">
        <f t="shared" si="10"/>
        <v>0</v>
      </c>
      <c r="Q25" s="223">
        <f t="shared" si="10"/>
        <v>0</v>
      </c>
      <c r="R25" s="223">
        <f t="shared" si="10"/>
        <v>0</v>
      </c>
      <c r="S25" s="223">
        <f t="shared" si="10"/>
        <v>2655</v>
      </c>
      <c r="T25" s="223">
        <f t="shared" ref="T25:U25" si="12">SUM(T22:T24)</f>
        <v>-41509</v>
      </c>
      <c r="U25" s="223">
        <f t="shared" si="12"/>
        <v>0</v>
      </c>
      <c r="V25" s="223">
        <f t="shared" ref="V25" si="13">SUM(V22:V24)</f>
        <v>0</v>
      </c>
      <c r="W25" s="223">
        <f>SUM(W22:W24)</f>
        <v>0</v>
      </c>
      <c r="X25" s="223">
        <f>SUM(X22:X24)</f>
        <v>0</v>
      </c>
      <c r="Y25" s="223">
        <f>SUM(Y22:Y24)</f>
        <v>-51519</v>
      </c>
      <c r="Z25" s="223">
        <f t="shared" ref="Z25" si="14">SUM(Z22:Z24)</f>
        <v>0</v>
      </c>
      <c r="AA25" s="223">
        <f t="shared" si="10"/>
        <v>16</v>
      </c>
      <c r="AB25" s="223">
        <f t="shared" ref="AB25" si="15">SUM(AB22:AB24)</f>
        <v>0</v>
      </c>
      <c r="AC25" s="223">
        <f t="shared" si="10"/>
        <v>10</v>
      </c>
      <c r="AD25" s="223">
        <f t="shared" ref="AD25" si="16">SUM(AD22:AD24)</f>
        <v>0</v>
      </c>
      <c r="AE25" s="223">
        <f t="shared" ref="AE25" si="17">SUM(AE22:AE24)</f>
        <v>0</v>
      </c>
      <c r="AF25" s="223">
        <f t="shared" si="10"/>
        <v>0</v>
      </c>
      <c r="AG25" s="223">
        <f>SUM(AG22:AG24)</f>
        <v>0</v>
      </c>
      <c r="AH25" s="223">
        <f t="shared" ref="AH25:AI25" si="18">SUM(AH22:AH24)</f>
        <v>0</v>
      </c>
      <c r="AI25" s="223">
        <f t="shared" si="18"/>
        <v>0</v>
      </c>
      <c r="AJ25" s="223">
        <f t="shared" ref="AJ25:AK25" si="19">SUM(AJ22:AJ24)</f>
        <v>0</v>
      </c>
      <c r="AK25" s="223">
        <f t="shared" si="19"/>
        <v>0</v>
      </c>
    </row>
    <row r="26" spans="1:37">
      <c r="B26" s="202"/>
      <c r="C26" s="202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</row>
    <row r="27" spans="1:37">
      <c r="B27" s="202" t="s">
        <v>42</v>
      </c>
      <c r="D27" s="202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1:37">
      <c r="A28" s="200">
        <v>9</v>
      </c>
      <c r="C28" s="202" t="s">
        <v>43</v>
      </c>
      <c r="D28" s="202"/>
      <c r="E28" s="221">
        <f>'ADJ DETAIL INPUT'!E27</f>
        <v>1532</v>
      </c>
      <c r="F28" s="221">
        <f>'ADJ DETAIL INPUT'!F27</f>
        <v>0</v>
      </c>
      <c r="G28" s="221">
        <f>'ADJ DETAIL INPUT'!G27</f>
        <v>0</v>
      </c>
      <c r="H28" s="221">
        <f>'ADJ DETAIL INPUT'!H27</f>
        <v>0</v>
      </c>
      <c r="I28" s="221">
        <f>'ADJ DETAIL INPUT'!I27</f>
        <v>0</v>
      </c>
      <c r="J28" s="221">
        <f>'ADJ DETAIL INPUT'!J27</f>
        <v>0</v>
      </c>
      <c r="K28" s="221">
        <f>'ADJ DETAIL INPUT'!K27</f>
        <v>0</v>
      </c>
      <c r="L28" s="221">
        <f>'ADJ DETAIL INPUT'!L27</f>
        <v>0</v>
      </c>
      <c r="M28" s="221">
        <f>'ADJ DETAIL INPUT'!M27</f>
        <v>0</v>
      </c>
      <c r="N28" s="221">
        <f>'ADJ DETAIL INPUT'!N27</f>
        <v>0</v>
      </c>
      <c r="O28" s="221">
        <f>'ADJ DETAIL INPUT'!O27</f>
        <v>0</v>
      </c>
      <c r="P28" s="221">
        <f>'ADJ DETAIL INPUT'!P27</f>
        <v>0</v>
      </c>
      <c r="Q28" s="221">
        <f>'ADJ DETAIL INPUT'!Q27</f>
        <v>0</v>
      </c>
      <c r="R28" s="221">
        <f>'ADJ DETAIL INPUT'!R27</f>
        <v>0</v>
      </c>
      <c r="S28" s="221">
        <f>'ADJ DETAIL INPUT'!S27</f>
        <v>0</v>
      </c>
      <c r="T28" s="221">
        <f>'ADJ DETAIL INPUT'!T27</f>
        <v>0</v>
      </c>
      <c r="U28" s="221">
        <f>'ADJ DETAIL INPUT'!U27</f>
        <v>0</v>
      </c>
      <c r="V28" s="221">
        <f>'ADJ DETAIL INPUT'!V27</f>
        <v>0</v>
      </c>
      <c r="W28" s="221">
        <f>'ADJ DETAIL INPUT'!W27</f>
        <v>0</v>
      </c>
      <c r="X28" s="221">
        <f>'ADJ DETAIL INPUT'!X27</f>
        <v>0</v>
      </c>
      <c r="Y28" s="221">
        <f>'ADJ DETAIL INPUT'!AA27</f>
        <v>0</v>
      </c>
      <c r="Z28" s="221">
        <f>'ADJ DETAIL INPUT'!AB27</f>
        <v>0</v>
      </c>
      <c r="AA28" s="221">
        <f>'ADJ DETAIL INPUT'!AC27</f>
        <v>0</v>
      </c>
      <c r="AB28" s="221">
        <f>'ADJ DETAIL INPUT'!AD27</f>
        <v>0</v>
      </c>
      <c r="AC28" s="221">
        <f>'ADJ DETAIL INPUT'!AE27</f>
        <v>0</v>
      </c>
      <c r="AD28" s="221">
        <f>'ADJ DETAIL INPUT'!AF27</f>
        <v>0</v>
      </c>
      <c r="AE28" s="221">
        <f>'ADJ DETAIL INPUT'!AG27</f>
        <v>0</v>
      </c>
      <c r="AF28" s="221">
        <f>'ADJ DETAIL INPUT'!AH27</f>
        <v>0</v>
      </c>
      <c r="AG28" s="221">
        <f>'ADJ DETAIL INPUT'!AI27</f>
        <v>0</v>
      </c>
      <c r="AH28" s="221">
        <f>'ADJ DETAIL INPUT'!AJ27</f>
        <v>0</v>
      </c>
      <c r="AI28" s="221">
        <f>'ADJ DETAIL INPUT'!AK27</f>
        <v>0</v>
      </c>
      <c r="AJ28" s="221">
        <f>'ADJ DETAIL INPUT'!AL27</f>
        <v>0</v>
      </c>
      <c r="AK28" s="221">
        <f>'ADJ DETAIL INPUT'!AM27</f>
        <v>0</v>
      </c>
    </row>
    <row r="29" spans="1:37">
      <c r="A29" s="200">
        <v>10</v>
      </c>
      <c r="C29" s="202" t="s">
        <v>200</v>
      </c>
      <c r="D29" s="202"/>
      <c r="E29" s="221">
        <f>'ADJ DETAIL INPUT'!E28</f>
        <v>627</v>
      </c>
      <c r="F29" s="221">
        <f>'ADJ DETAIL INPUT'!F28</f>
        <v>0</v>
      </c>
      <c r="G29" s="221">
        <f>'ADJ DETAIL INPUT'!G28</f>
        <v>0</v>
      </c>
      <c r="H29" s="221">
        <f>'ADJ DETAIL INPUT'!H28</f>
        <v>0</v>
      </c>
      <c r="I29" s="221">
        <f>'ADJ DETAIL INPUT'!I28</f>
        <v>0</v>
      </c>
      <c r="J29" s="221">
        <f>'ADJ DETAIL INPUT'!J28</f>
        <v>0</v>
      </c>
      <c r="K29" s="221">
        <f>'ADJ DETAIL INPUT'!K28</f>
        <v>0</v>
      </c>
      <c r="L29" s="221">
        <f>'ADJ DETAIL INPUT'!L28</f>
        <v>0</v>
      </c>
      <c r="M29" s="221">
        <f>'ADJ DETAIL INPUT'!M28</f>
        <v>0</v>
      </c>
      <c r="N29" s="221">
        <f>'ADJ DETAIL INPUT'!N28</f>
        <v>0</v>
      </c>
      <c r="O29" s="221">
        <f>'ADJ DETAIL INPUT'!O28</f>
        <v>0</v>
      </c>
      <c r="P29" s="221">
        <f>'ADJ DETAIL INPUT'!P28</f>
        <v>0</v>
      </c>
      <c r="Q29" s="221">
        <f>'ADJ DETAIL INPUT'!Q28</f>
        <v>0</v>
      </c>
      <c r="R29" s="221">
        <f>'ADJ DETAIL INPUT'!R28</f>
        <v>0</v>
      </c>
      <c r="S29" s="221">
        <f>'ADJ DETAIL INPUT'!S28</f>
        <v>0</v>
      </c>
      <c r="T29" s="221">
        <f>'ADJ DETAIL INPUT'!T28</f>
        <v>0</v>
      </c>
      <c r="U29" s="221">
        <f>'ADJ DETAIL INPUT'!U28</f>
        <v>0</v>
      </c>
      <c r="V29" s="221">
        <f>'ADJ DETAIL INPUT'!V28</f>
        <v>0</v>
      </c>
      <c r="W29" s="221">
        <f>'ADJ DETAIL INPUT'!W28</f>
        <v>0</v>
      </c>
      <c r="X29" s="221">
        <f>'ADJ DETAIL INPUT'!X28</f>
        <v>43</v>
      </c>
      <c r="Y29" s="221">
        <f>'ADJ DETAIL INPUT'!AA28</f>
        <v>0</v>
      </c>
      <c r="Z29" s="221">
        <f>'ADJ DETAIL INPUT'!AB28</f>
        <v>0</v>
      </c>
      <c r="AA29" s="221">
        <f>'ADJ DETAIL INPUT'!AC28</f>
        <v>0</v>
      </c>
      <c r="AB29" s="221">
        <f>'ADJ DETAIL INPUT'!AD28</f>
        <v>0</v>
      </c>
      <c r="AC29" s="221">
        <f>'ADJ DETAIL INPUT'!AE28</f>
        <v>0</v>
      </c>
      <c r="AD29" s="221">
        <f>'ADJ DETAIL INPUT'!AF28</f>
        <v>0</v>
      </c>
      <c r="AE29" s="221">
        <f>'ADJ DETAIL INPUT'!AG28</f>
        <v>0</v>
      </c>
      <c r="AF29" s="221">
        <f>'ADJ DETAIL INPUT'!AH28</f>
        <v>0</v>
      </c>
      <c r="AG29" s="221">
        <f>'ADJ DETAIL INPUT'!AI28</f>
        <v>-244</v>
      </c>
      <c r="AH29" s="221">
        <f>'ADJ DETAIL INPUT'!AJ28</f>
        <v>0</v>
      </c>
      <c r="AI29" s="221">
        <f>'ADJ DETAIL INPUT'!AK28</f>
        <v>0</v>
      </c>
      <c r="AJ29" s="221">
        <f>'ADJ DETAIL INPUT'!AL28</f>
        <v>0</v>
      </c>
      <c r="AK29" s="221">
        <f>'ADJ DETAIL INPUT'!AM28</f>
        <v>0</v>
      </c>
    </row>
    <row r="30" spans="1:37">
      <c r="A30" s="200">
        <v>11</v>
      </c>
      <c r="C30" s="202" t="s">
        <v>21</v>
      </c>
      <c r="D30" s="202"/>
      <c r="E30" s="222">
        <f>'ADJ DETAIL INPUT'!E29</f>
        <v>302</v>
      </c>
      <c r="F30" s="222">
        <f>'ADJ DETAIL INPUT'!F29</f>
        <v>0</v>
      </c>
      <c r="G30" s="222">
        <f>'ADJ DETAIL INPUT'!G29</f>
        <v>0</v>
      </c>
      <c r="H30" s="222">
        <f>'ADJ DETAIL INPUT'!H29</f>
        <v>0</v>
      </c>
      <c r="I30" s="222">
        <f>'ADJ DETAIL INPUT'!I29</f>
        <v>0</v>
      </c>
      <c r="J30" s="222">
        <f>'ADJ DETAIL INPUT'!J29</f>
        <v>0</v>
      </c>
      <c r="K30" s="222">
        <f>'ADJ DETAIL INPUT'!K29</f>
        <v>-78</v>
      </c>
      <c r="L30" s="222">
        <f>'ADJ DETAIL INPUT'!L29</f>
        <v>0</v>
      </c>
      <c r="M30" s="222">
        <f>'ADJ DETAIL INPUT'!M29</f>
        <v>0</v>
      </c>
      <c r="N30" s="222">
        <f>'ADJ DETAIL INPUT'!N29</f>
        <v>0</v>
      </c>
      <c r="O30" s="222">
        <f>'ADJ DETAIL INPUT'!O29</f>
        <v>0</v>
      </c>
      <c r="P30" s="222">
        <f>'ADJ DETAIL INPUT'!P29</f>
        <v>0</v>
      </c>
      <c r="Q30" s="222">
        <f>'ADJ DETAIL INPUT'!Q29</f>
        <v>0</v>
      </c>
      <c r="R30" s="222">
        <f>'ADJ DETAIL INPUT'!R29</f>
        <v>0</v>
      </c>
      <c r="S30" s="222">
        <f>'ADJ DETAIL INPUT'!S29</f>
        <v>0</v>
      </c>
      <c r="T30" s="222">
        <f>'ADJ DETAIL INPUT'!T29</f>
        <v>0</v>
      </c>
      <c r="U30" s="222">
        <f>'ADJ DETAIL INPUT'!U29</f>
        <v>0</v>
      </c>
      <c r="V30" s="222">
        <f>'ADJ DETAIL INPUT'!V29</f>
        <v>0</v>
      </c>
      <c r="W30" s="222">
        <f>'ADJ DETAIL INPUT'!W29</f>
        <v>0</v>
      </c>
      <c r="X30" s="222">
        <f>'ADJ DETAIL INPUT'!X29</f>
        <v>0</v>
      </c>
      <c r="Y30" s="222">
        <f>'ADJ DETAIL INPUT'!AA29</f>
        <v>0</v>
      </c>
      <c r="Z30" s="222">
        <f>'ADJ DETAIL INPUT'!AB29</f>
        <v>0</v>
      </c>
      <c r="AA30" s="222">
        <f>'ADJ DETAIL INPUT'!AC29</f>
        <v>0</v>
      </c>
      <c r="AB30" s="222">
        <f>'ADJ DETAIL INPUT'!AD29</f>
        <v>0</v>
      </c>
      <c r="AC30" s="222">
        <f>'ADJ DETAIL INPUT'!AE29</f>
        <v>0</v>
      </c>
      <c r="AD30" s="222">
        <f>'ADJ DETAIL INPUT'!AF29</f>
        <v>0</v>
      </c>
      <c r="AE30" s="222">
        <f>'ADJ DETAIL INPUT'!AG29</f>
        <v>0</v>
      </c>
      <c r="AF30" s="222">
        <f>'ADJ DETAIL INPUT'!AH29</f>
        <v>13</v>
      </c>
      <c r="AG30" s="222">
        <f>'ADJ DETAIL INPUT'!AI29</f>
        <v>0</v>
      </c>
      <c r="AH30" s="222">
        <f>'ADJ DETAIL INPUT'!AJ29</f>
        <v>0</v>
      </c>
      <c r="AI30" s="222">
        <f>'ADJ DETAIL INPUT'!AK29</f>
        <v>0</v>
      </c>
      <c r="AJ30" s="222">
        <f>'ADJ DETAIL INPUT'!AL29</f>
        <v>0</v>
      </c>
      <c r="AK30" s="222">
        <f>'ADJ DETAIL INPUT'!AM29</f>
        <v>0</v>
      </c>
    </row>
    <row r="31" spans="1:37">
      <c r="A31" s="200">
        <v>12</v>
      </c>
      <c r="B31" s="202" t="s">
        <v>45</v>
      </c>
      <c r="C31" s="202"/>
      <c r="E31" s="221">
        <f t="shared" ref="E31" si="20">SUM(E28:E30)</f>
        <v>2461</v>
      </c>
      <c r="F31" s="221">
        <f t="shared" ref="F31:AF31" si="21">SUM(F28:F30)</f>
        <v>0</v>
      </c>
      <c r="G31" s="221">
        <f t="shared" si="21"/>
        <v>0</v>
      </c>
      <c r="H31" s="221">
        <f t="shared" si="21"/>
        <v>0</v>
      </c>
      <c r="I31" s="221">
        <f t="shared" ref="I31" si="22">SUM(I28:I30)</f>
        <v>0</v>
      </c>
      <c r="J31" s="221">
        <f t="shared" si="21"/>
        <v>0</v>
      </c>
      <c r="K31" s="221">
        <f t="shared" si="21"/>
        <v>-78</v>
      </c>
      <c r="L31" s="221">
        <f t="shared" si="21"/>
        <v>0</v>
      </c>
      <c r="M31" s="221">
        <f t="shared" si="21"/>
        <v>0</v>
      </c>
      <c r="N31" s="221">
        <f t="shared" si="21"/>
        <v>0</v>
      </c>
      <c r="O31" s="221">
        <f t="shared" si="21"/>
        <v>0</v>
      </c>
      <c r="P31" s="221">
        <f t="shared" si="21"/>
        <v>0</v>
      </c>
      <c r="Q31" s="221">
        <f t="shared" si="21"/>
        <v>0</v>
      </c>
      <c r="R31" s="221">
        <f t="shared" si="21"/>
        <v>0</v>
      </c>
      <c r="S31" s="221">
        <f t="shared" si="21"/>
        <v>0</v>
      </c>
      <c r="T31" s="221">
        <f t="shared" ref="T31:U31" si="23">SUM(T28:T30)</f>
        <v>0</v>
      </c>
      <c r="U31" s="221">
        <f t="shared" si="23"/>
        <v>0</v>
      </c>
      <c r="V31" s="221">
        <f t="shared" ref="V31" si="24">SUM(V28:V30)</f>
        <v>0</v>
      </c>
      <c r="W31" s="221">
        <f>SUM(W28:W30)</f>
        <v>0</v>
      </c>
      <c r="X31" s="221">
        <f>SUM(X28:X30)</f>
        <v>43</v>
      </c>
      <c r="Y31" s="221">
        <f>SUM(Y28:Y30)</f>
        <v>0</v>
      </c>
      <c r="Z31" s="221">
        <f t="shared" ref="Z31" si="25">SUM(Z28:Z30)</f>
        <v>0</v>
      </c>
      <c r="AA31" s="221">
        <f t="shared" si="21"/>
        <v>0</v>
      </c>
      <c r="AB31" s="221">
        <f t="shared" ref="AB31" si="26">SUM(AB28:AB30)</f>
        <v>0</v>
      </c>
      <c r="AC31" s="221">
        <f t="shared" si="21"/>
        <v>0</v>
      </c>
      <c r="AD31" s="221">
        <f t="shared" ref="AD31" si="27">SUM(AD28:AD30)</f>
        <v>0</v>
      </c>
      <c r="AE31" s="221">
        <f t="shared" ref="AE31" si="28">SUM(AE28:AE30)</f>
        <v>0</v>
      </c>
      <c r="AF31" s="221">
        <f t="shared" si="21"/>
        <v>13</v>
      </c>
      <c r="AG31" s="221">
        <f>SUM(AG28:AG30)</f>
        <v>-244</v>
      </c>
      <c r="AH31" s="221">
        <f t="shared" ref="AH31:AI31" si="29">SUM(AH28:AH30)</f>
        <v>0</v>
      </c>
      <c r="AI31" s="221">
        <f t="shared" si="29"/>
        <v>0</v>
      </c>
      <c r="AJ31" s="221">
        <f t="shared" ref="AJ31:AK31" si="30">SUM(AJ28:AJ30)</f>
        <v>0</v>
      </c>
      <c r="AK31" s="221">
        <f t="shared" si="30"/>
        <v>0</v>
      </c>
    </row>
    <row r="32" spans="1:37">
      <c r="B32" s="202"/>
      <c r="C32" s="202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1:37">
      <c r="B33" s="202" t="s">
        <v>46</v>
      </c>
      <c r="D33" s="202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1:37">
      <c r="A34" s="200">
        <v>13</v>
      </c>
      <c r="C34" s="202" t="s">
        <v>43</v>
      </c>
      <c r="D34" s="202"/>
      <c r="E34" s="221">
        <f>'ADJ DETAIL INPUT'!E33</f>
        <v>12316</v>
      </c>
      <c r="F34" s="221">
        <f>'ADJ DETAIL INPUT'!F33</f>
        <v>0</v>
      </c>
      <c r="G34" s="221">
        <f>'ADJ DETAIL INPUT'!G33</f>
        <v>0</v>
      </c>
      <c r="H34" s="221">
        <f>'ADJ DETAIL INPUT'!H33</f>
        <v>0</v>
      </c>
      <c r="I34" s="221">
        <f>'ADJ DETAIL INPUT'!I33</f>
        <v>0</v>
      </c>
      <c r="J34" s="221">
        <f>'ADJ DETAIL INPUT'!J33</f>
        <v>0</v>
      </c>
      <c r="K34" s="221">
        <f>'ADJ DETAIL INPUT'!K33</f>
        <v>0</v>
      </c>
      <c r="L34" s="221">
        <f>'ADJ DETAIL INPUT'!L33</f>
        <v>0</v>
      </c>
      <c r="M34" s="221">
        <f>'ADJ DETAIL INPUT'!M33</f>
        <v>0</v>
      </c>
      <c r="N34" s="221">
        <f>'ADJ DETAIL INPUT'!N33</f>
        <v>0</v>
      </c>
      <c r="O34" s="221">
        <f>'ADJ DETAIL INPUT'!O33</f>
        <v>0</v>
      </c>
      <c r="P34" s="221">
        <f>'ADJ DETAIL INPUT'!P33</f>
        <v>0</v>
      </c>
      <c r="Q34" s="221">
        <f>'ADJ DETAIL INPUT'!Q33</f>
        <v>0</v>
      </c>
      <c r="R34" s="221">
        <f>'ADJ DETAIL INPUT'!R33</f>
        <v>0</v>
      </c>
      <c r="S34" s="221">
        <f>'ADJ DETAIL INPUT'!S33</f>
        <v>0</v>
      </c>
      <c r="T34" s="221">
        <f>'ADJ DETAIL INPUT'!T33</f>
        <v>0</v>
      </c>
      <c r="U34" s="221">
        <f>'ADJ DETAIL INPUT'!U33</f>
        <v>-8</v>
      </c>
      <c r="V34" s="221">
        <f>'ADJ DETAIL INPUT'!V33</f>
        <v>0</v>
      </c>
      <c r="W34" s="221">
        <f>'ADJ DETAIL INPUT'!W33</f>
        <v>0</v>
      </c>
      <c r="X34" s="221">
        <f>'ADJ DETAIL INPUT'!X33</f>
        <v>0</v>
      </c>
      <c r="Y34" s="221">
        <f>'ADJ DETAIL INPUT'!AA33</f>
        <v>0</v>
      </c>
      <c r="Z34" s="221">
        <f>'ADJ DETAIL INPUT'!AB33</f>
        <v>0</v>
      </c>
      <c r="AA34" s="221">
        <f>'ADJ DETAIL INPUT'!AC33</f>
        <v>211</v>
      </c>
      <c r="AB34" s="221">
        <f>'ADJ DETAIL INPUT'!AD33</f>
        <v>0</v>
      </c>
      <c r="AC34" s="221">
        <f>'ADJ DETAIL INPUT'!AE33</f>
        <v>132</v>
      </c>
      <c r="AD34" s="221">
        <f>'ADJ DETAIL INPUT'!AF33</f>
        <v>0</v>
      </c>
      <c r="AE34" s="221">
        <f>'ADJ DETAIL INPUT'!AG33</f>
        <v>0</v>
      </c>
      <c r="AF34" s="221">
        <f>'ADJ DETAIL INPUT'!AH33</f>
        <v>0</v>
      </c>
      <c r="AG34" s="221">
        <f>'ADJ DETAIL INPUT'!AI33</f>
        <v>0</v>
      </c>
      <c r="AH34" s="221">
        <f>'ADJ DETAIL INPUT'!AJ33</f>
        <v>0</v>
      </c>
      <c r="AI34" s="221">
        <f>'ADJ DETAIL INPUT'!AK33</f>
        <v>0</v>
      </c>
      <c r="AJ34" s="221">
        <f>'ADJ DETAIL INPUT'!AL33</f>
        <v>0</v>
      </c>
      <c r="AK34" s="221">
        <f>'ADJ DETAIL INPUT'!AM33</f>
        <v>0</v>
      </c>
    </row>
    <row r="35" spans="1:37">
      <c r="A35" s="200">
        <v>14</v>
      </c>
      <c r="C35" s="202" t="s">
        <v>200</v>
      </c>
      <c r="D35" s="202"/>
      <c r="E35" s="223">
        <f>'ADJ DETAIL INPUT'!E34</f>
        <v>11642</v>
      </c>
      <c r="F35" s="223">
        <f>'ADJ DETAIL INPUT'!F34</f>
        <v>0</v>
      </c>
      <c r="G35" s="223">
        <f>'ADJ DETAIL INPUT'!G34</f>
        <v>0</v>
      </c>
      <c r="H35" s="223">
        <f>'ADJ DETAIL INPUT'!H34</f>
        <v>0</v>
      </c>
      <c r="I35" s="223">
        <f>'ADJ DETAIL INPUT'!I34</f>
        <v>0</v>
      </c>
      <c r="J35" s="223">
        <f>'ADJ DETAIL INPUT'!J34</f>
        <v>0</v>
      </c>
      <c r="K35" s="223">
        <f>'ADJ DETAIL INPUT'!K34</f>
        <v>0</v>
      </c>
      <c r="L35" s="223">
        <f>'ADJ DETAIL INPUT'!L34</f>
        <v>0</v>
      </c>
      <c r="M35" s="223">
        <f>'ADJ DETAIL INPUT'!M34</f>
        <v>0</v>
      </c>
      <c r="N35" s="223">
        <f>'ADJ DETAIL INPUT'!N34</f>
        <v>0</v>
      </c>
      <c r="O35" s="223">
        <f>'ADJ DETAIL INPUT'!O34</f>
        <v>0</v>
      </c>
      <c r="P35" s="223">
        <f>'ADJ DETAIL INPUT'!P34</f>
        <v>0</v>
      </c>
      <c r="Q35" s="223">
        <f>'ADJ DETAIL INPUT'!Q34</f>
        <v>0</v>
      </c>
      <c r="R35" s="223">
        <f>'ADJ DETAIL INPUT'!R34</f>
        <v>-13</v>
      </c>
      <c r="S35" s="223">
        <f>'ADJ DETAIL INPUT'!S34</f>
        <v>0</v>
      </c>
      <c r="T35" s="223">
        <f>'ADJ DETAIL INPUT'!T34</f>
        <v>0</v>
      </c>
      <c r="U35" s="223">
        <f>'ADJ DETAIL INPUT'!U34</f>
        <v>0</v>
      </c>
      <c r="V35" s="223">
        <f>'ADJ DETAIL INPUT'!V34</f>
        <v>0</v>
      </c>
      <c r="W35" s="223">
        <f>'ADJ DETAIL INPUT'!W34</f>
        <v>0</v>
      </c>
      <c r="X35" s="223">
        <f>'ADJ DETAIL INPUT'!X34</f>
        <v>567</v>
      </c>
      <c r="Y35" s="223">
        <f>'ADJ DETAIL INPUT'!AA34</f>
        <v>0</v>
      </c>
      <c r="Z35" s="223">
        <f>'ADJ DETAIL INPUT'!AB34</f>
        <v>0</v>
      </c>
      <c r="AA35" s="223">
        <f>'ADJ DETAIL INPUT'!AC34</f>
        <v>0</v>
      </c>
      <c r="AB35" s="223">
        <f>'ADJ DETAIL INPUT'!AD34</f>
        <v>0</v>
      </c>
      <c r="AC35" s="223">
        <f>'ADJ DETAIL INPUT'!AE34</f>
        <v>0</v>
      </c>
      <c r="AD35" s="223">
        <f>'ADJ DETAIL INPUT'!AF34</f>
        <v>0</v>
      </c>
      <c r="AE35" s="223">
        <f>'ADJ DETAIL INPUT'!AG34</f>
        <v>0</v>
      </c>
      <c r="AF35" s="223">
        <f>'ADJ DETAIL INPUT'!AH34</f>
        <v>0</v>
      </c>
      <c r="AG35" s="223">
        <f>'ADJ DETAIL INPUT'!AI34</f>
        <v>-731</v>
      </c>
      <c r="AH35" s="223">
        <f>'ADJ DETAIL INPUT'!AJ34</f>
        <v>0</v>
      </c>
      <c r="AI35" s="223">
        <f>'ADJ DETAIL INPUT'!AK34</f>
        <v>0</v>
      </c>
      <c r="AJ35" s="223">
        <f>'ADJ DETAIL INPUT'!AL34</f>
        <v>0</v>
      </c>
      <c r="AK35" s="223">
        <f>'ADJ DETAIL INPUT'!AM34</f>
        <v>0</v>
      </c>
    </row>
    <row r="36" spans="1:37">
      <c r="A36" s="200">
        <v>15</v>
      </c>
      <c r="C36" s="202" t="s">
        <v>21</v>
      </c>
      <c r="D36" s="202"/>
      <c r="E36" s="222">
        <f>'ADJ DETAIL INPUT'!E35</f>
        <v>14128</v>
      </c>
      <c r="F36" s="222">
        <f>'ADJ DETAIL INPUT'!F35</f>
        <v>0</v>
      </c>
      <c r="G36" s="222">
        <f>'ADJ DETAIL INPUT'!G35</f>
        <v>0</v>
      </c>
      <c r="H36" s="222">
        <f>'ADJ DETAIL INPUT'!H35</f>
        <v>0</v>
      </c>
      <c r="I36" s="222">
        <f>'ADJ DETAIL INPUT'!I35</f>
        <v>0</v>
      </c>
      <c r="J36" s="222">
        <f>'ADJ DETAIL INPUT'!J35</f>
        <v>-5184</v>
      </c>
      <c r="K36" s="222">
        <f>'ADJ DETAIL INPUT'!K35</f>
        <v>80</v>
      </c>
      <c r="L36" s="222">
        <f>'ADJ DETAIL INPUT'!L35</f>
        <v>0</v>
      </c>
      <c r="M36" s="222">
        <f>'ADJ DETAIL INPUT'!M35</f>
        <v>0</v>
      </c>
      <c r="N36" s="222">
        <f>'ADJ DETAIL INPUT'!N35</f>
        <v>0</v>
      </c>
      <c r="O36" s="222">
        <f>'ADJ DETAIL INPUT'!O35</f>
        <v>0</v>
      </c>
      <c r="P36" s="222">
        <f>'ADJ DETAIL INPUT'!P35</f>
        <v>0</v>
      </c>
      <c r="Q36" s="222">
        <f>'ADJ DETAIL INPUT'!Q35</f>
        <v>0</v>
      </c>
      <c r="R36" s="222">
        <f>'ADJ DETAIL INPUT'!R35</f>
        <v>0</v>
      </c>
      <c r="S36" s="222">
        <f>'ADJ DETAIL INPUT'!S35</f>
        <v>240</v>
      </c>
      <c r="T36" s="222">
        <f>'ADJ DETAIL INPUT'!T35</f>
        <v>194</v>
      </c>
      <c r="U36" s="222">
        <f>'ADJ DETAIL INPUT'!U35</f>
        <v>0</v>
      </c>
      <c r="V36" s="222">
        <f>'ADJ DETAIL INPUT'!V35</f>
        <v>0</v>
      </c>
      <c r="W36" s="222">
        <f>'ADJ DETAIL INPUT'!W35</f>
        <v>0</v>
      </c>
      <c r="X36" s="222">
        <f>'ADJ DETAIL INPUT'!X35</f>
        <v>0</v>
      </c>
      <c r="Y36" s="222">
        <f>'ADJ DETAIL INPUT'!AA35</f>
        <v>-2230</v>
      </c>
      <c r="Z36" s="222">
        <f>'ADJ DETAIL INPUT'!AB35</f>
        <v>0</v>
      </c>
      <c r="AA36" s="222">
        <f>'ADJ DETAIL INPUT'!AC35</f>
        <v>0</v>
      </c>
      <c r="AB36" s="222">
        <f>'ADJ DETAIL INPUT'!AD35</f>
        <v>0</v>
      </c>
      <c r="AC36" s="222">
        <f>'ADJ DETAIL INPUT'!AE35</f>
        <v>0</v>
      </c>
      <c r="AD36" s="222">
        <f>'ADJ DETAIL INPUT'!AF35</f>
        <v>0</v>
      </c>
      <c r="AE36" s="222">
        <f>'ADJ DETAIL INPUT'!AG35</f>
        <v>0</v>
      </c>
      <c r="AF36" s="222">
        <f>'ADJ DETAIL INPUT'!AH35</f>
        <v>199</v>
      </c>
      <c r="AG36" s="222">
        <f>'ADJ DETAIL INPUT'!AI35</f>
        <v>0</v>
      </c>
      <c r="AH36" s="222">
        <f>'ADJ DETAIL INPUT'!AJ35</f>
        <v>0</v>
      </c>
      <c r="AI36" s="222">
        <f>'ADJ DETAIL INPUT'!AK35</f>
        <v>0</v>
      </c>
      <c r="AJ36" s="222">
        <f>'ADJ DETAIL INPUT'!AL35</f>
        <v>0</v>
      </c>
      <c r="AK36" s="222">
        <f>'ADJ DETAIL INPUT'!AM35</f>
        <v>0</v>
      </c>
    </row>
    <row r="37" spans="1:37" ht="12.95" customHeight="1">
      <c r="A37" s="200">
        <v>16</v>
      </c>
      <c r="B37" s="202" t="s">
        <v>47</v>
      </c>
      <c r="C37" s="202"/>
      <c r="E37" s="221">
        <f t="shared" ref="E37" si="31">SUM(E34:E36)</f>
        <v>38086</v>
      </c>
      <c r="F37" s="221">
        <f t="shared" ref="F37:AF37" si="32">SUM(F34:F36)</f>
        <v>0</v>
      </c>
      <c r="G37" s="221">
        <f t="shared" si="32"/>
        <v>0</v>
      </c>
      <c r="H37" s="221">
        <f t="shared" si="32"/>
        <v>0</v>
      </c>
      <c r="I37" s="221">
        <f t="shared" ref="I37" si="33">SUM(I34:I36)</f>
        <v>0</v>
      </c>
      <c r="J37" s="221">
        <f t="shared" si="32"/>
        <v>-5184</v>
      </c>
      <c r="K37" s="221">
        <f t="shared" si="32"/>
        <v>80</v>
      </c>
      <c r="L37" s="221">
        <f t="shared" si="32"/>
        <v>0</v>
      </c>
      <c r="M37" s="221">
        <f t="shared" si="32"/>
        <v>0</v>
      </c>
      <c r="N37" s="221">
        <f t="shared" si="32"/>
        <v>0</v>
      </c>
      <c r="O37" s="221">
        <f t="shared" si="32"/>
        <v>0</v>
      </c>
      <c r="P37" s="221">
        <f t="shared" si="32"/>
        <v>0</v>
      </c>
      <c r="Q37" s="221">
        <f t="shared" si="32"/>
        <v>0</v>
      </c>
      <c r="R37" s="221">
        <f t="shared" si="32"/>
        <v>-13</v>
      </c>
      <c r="S37" s="221">
        <f t="shared" si="32"/>
        <v>240</v>
      </c>
      <c r="T37" s="221">
        <f t="shared" ref="T37:U37" si="34">SUM(T34:T36)</f>
        <v>194</v>
      </c>
      <c r="U37" s="221">
        <f t="shared" si="34"/>
        <v>-8</v>
      </c>
      <c r="V37" s="221">
        <f t="shared" ref="V37" si="35">SUM(V34:V36)</f>
        <v>0</v>
      </c>
      <c r="W37" s="221">
        <f>SUM(W34:W36)</f>
        <v>0</v>
      </c>
      <c r="X37" s="221">
        <f>SUM(X34:X36)</f>
        <v>567</v>
      </c>
      <c r="Y37" s="221">
        <f>SUM(Y34:Y36)</f>
        <v>-2230</v>
      </c>
      <c r="Z37" s="221">
        <f t="shared" ref="Z37" si="36">SUM(Z34:Z36)</f>
        <v>0</v>
      </c>
      <c r="AA37" s="221">
        <f t="shared" si="32"/>
        <v>211</v>
      </c>
      <c r="AB37" s="221">
        <f t="shared" ref="AB37" si="37">SUM(AB34:AB36)</f>
        <v>0</v>
      </c>
      <c r="AC37" s="221">
        <f t="shared" si="32"/>
        <v>132</v>
      </c>
      <c r="AD37" s="221">
        <f t="shared" ref="AD37" si="38">SUM(AD34:AD36)</f>
        <v>0</v>
      </c>
      <c r="AE37" s="221">
        <f t="shared" ref="AE37" si="39">SUM(AE34:AE36)</f>
        <v>0</v>
      </c>
      <c r="AF37" s="221">
        <f t="shared" si="32"/>
        <v>199</v>
      </c>
      <c r="AG37" s="221">
        <f>SUM(AG34:AG36)</f>
        <v>-731</v>
      </c>
      <c r="AH37" s="221">
        <f t="shared" ref="AH37:AI37" si="40">SUM(AH34:AH36)</f>
        <v>0</v>
      </c>
      <c r="AI37" s="221">
        <f t="shared" si="40"/>
        <v>0</v>
      </c>
      <c r="AJ37" s="221">
        <f t="shared" ref="AJ37:AK37" si="41">SUM(AJ34:AJ36)</f>
        <v>0</v>
      </c>
      <c r="AK37" s="221">
        <f t="shared" si="41"/>
        <v>0</v>
      </c>
    </row>
    <row r="38" spans="1:37" ht="12.95" customHeight="1">
      <c r="C38" s="202"/>
      <c r="D38" s="202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</row>
    <row r="39" spans="1:37" ht="12.95" customHeight="1">
      <c r="A39" s="200">
        <v>17</v>
      </c>
      <c r="B39" s="176" t="s">
        <v>48</v>
      </c>
      <c r="C39" s="202"/>
      <c r="D39" s="202"/>
      <c r="E39" s="221">
        <f>'ADJ DETAIL INPUT'!E38</f>
        <v>7234</v>
      </c>
      <c r="F39" s="221">
        <f>'ADJ DETAIL INPUT'!F38</f>
        <v>0</v>
      </c>
      <c r="G39" s="221">
        <f>'ADJ DETAIL INPUT'!G38</f>
        <v>10</v>
      </c>
      <c r="H39" s="221">
        <f>'ADJ DETAIL INPUT'!H38</f>
        <v>0</v>
      </c>
      <c r="I39" s="221">
        <f>'ADJ DETAIL INPUT'!I38</f>
        <v>0</v>
      </c>
      <c r="J39" s="221">
        <f>'ADJ DETAIL INPUT'!J38</f>
        <v>0</v>
      </c>
      <c r="K39" s="221">
        <f>'ADJ DETAIL INPUT'!K38</f>
        <v>0</v>
      </c>
      <c r="L39" s="221">
        <f>'ADJ DETAIL INPUT'!L38</f>
        <v>-320</v>
      </c>
      <c r="M39" s="221">
        <f>'ADJ DETAIL INPUT'!M38</f>
        <v>0</v>
      </c>
      <c r="N39" s="221">
        <f>'ADJ DETAIL INPUT'!N38</f>
        <v>0</v>
      </c>
      <c r="O39" s="221">
        <f>'ADJ DETAIL INPUT'!O38</f>
        <v>0</v>
      </c>
      <c r="P39" s="221">
        <f>'ADJ DETAIL INPUT'!P38</f>
        <v>0</v>
      </c>
      <c r="Q39" s="221">
        <f>'ADJ DETAIL INPUT'!Q38</f>
        <v>0</v>
      </c>
      <c r="R39" s="221">
        <f>'ADJ DETAIL INPUT'!R38</f>
        <v>0</v>
      </c>
      <c r="S39" s="221">
        <f>'ADJ DETAIL INPUT'!S38</f>
        <v>24</v>
      </c>
      <c r="T39" s="221">
        <f>'ADJ DETAIL INPUT'!T38</f>
        <v>19</v>
      </c>
      <c r="U39" s="221">
        <f>'ADJ DETAIL INPUT'!U38</f>
        <v>0</v>
      </c>
      <c r="V39" s="221">
        <f>'ADJ DETAIL INPUT'!V38</f>
        <v>0</v>
      </c>
      <c r="W39" s="221">
        <f>'ADJ DETAIL INPUT'!W38</f>
        <v>0</v>
      </c>
      <c r="X39" s="221">
        <f>'ADJ DETAIL INPUT'!X38</f>
        <v>0</v>
      </c>
      <c r="Y39" s="221">
        <f>'ADJ DETAIL INPUT'!AA38</f>
        <v>-220</v>
      </c>
      <c r="Z39" s="221">
        <f>'ADJ DETAIL INPUT'!AB38</f>
        <v>0</v>
      </c>
      <c r="AA39" s="221">
        <f>'ADJ DETAIL INPUT'!AC38</f>
        <v>112</v>
      </c>
      <c r="AB39" s="221">
        <f>'ADJ DETAIL INPUT'!AD38</f>
        <v>0</v>
      </c>
      <c r="AC39" s="221">
        <f>'ADJ DETAIL INPUT'!AE38</f>
        <v>71</v>
      </c>
      <c r="AD39" s="221">
        <f>'ADJ DETAIL INPUT'!AF38</f>
        <v>0</v>
      </c>
      <c r="AE39" s="221">
        <f>'ADJ DETAIL INPUT'!AG38</f>
        <v>0</v>
      </c>
      <c r="AF39" s="221">
        <f>'ADJ DETAIL INPUT'!AH38</f>
        <v>0</v>
      </c>
      <c r="AG39" s="221">
        <f>'ADJ DETAIL INPUT'!AI38</f>
        <v>0</v>
      </c>
      <c r="AH39" s="221">
        <f>'ADJ DETAIL INPUT'!AJ38</f>
        <v>0</v>
      </c>
      <c r="AI39" s="221">
        <f>'ADJ DETAIL INPUT'!AK38</f>
        <v>0</v>
      </c>
      <c r="AJ39" s="221">
        <f>'ADJ DETAIL INPUT'!AL38</f>
        <v>31</v>
      </c>
      <c r="AK39" s="221">
        <f>'ADJ DETAIL INPUT'!AM38</f>
        <v>0</v>
      </c>
    </row>
    <row r="40" spans="1:37">
      <c r="A40" s="200">
        <v>18</v>
      </c>
      <c r="B40" s="176" t="s">
        <v>49</v>
      </c>
      <c r="C40" s="202"/>
      <c r="D40" s="202"/>
      <c r="E40" s="221">
        <f>'ADJ DETAIL INPUT'!E39</f>
        <v>8093</v>
      </c>
      <c r="F40" s="221">
        <f>'ADJ DETAIL INPUT'!F39</f>
        <v>0</v>
      </c>
      <c r="G40" s="221">
        <f>'ADJ DETAIL INPUT'!G39</f>
        <v>0</v>
      </c>
      <c r="H40" s="221">
        <f>'ADJ DETAIL INPUT'!H39</f>
        <v>0</v>
      </c>
      <c r="I40" s="221">
        <f>'ADJ DETAIL INPUT'!I39</f>
        <v>0</v>
      </c>
      <c r="J40" s="221">
        <f>'ADJ DETAIL INPUT'!J39</f>
        <v>0</v>
      </c>
      <c r="K40" s="221">
        <f>'ADJ DETAIL INPUT'!K39</f>
        <v>0</v>
      </c>
      <c r="L40" s="221">
        <f>'ADJ DETAIL INPUT'!L39</f>
        <v>0</v>
      </c>
      <c r="M40" s="221">
        <f>'ADJ DETAIL INPUT'!M39</f>
        <v>0</v>
      </c>
      <c r="N40" s="221">
        <f>'ADJ DETAIL INPUT'!N39</f>
        <v>0</v>
      </c>
      <c r="O40" s="221">
        <f>'ADJ DETAIL INPUT'!O39</f>
        <v>0</v>
      </c>
      <c r="P40" s="221">
        <f>'ADJ DETAIL INPUT'!P39</f>
        <v>0</v>
      </c>
      <c r="Q40" s="221">
        <f>'ADJ DETAIL INPUT'!Q39</f>
        <v>0</v>
      </c>
      <c r="R40" s="221">
        <f>'ADJ DETAIL INPUT'!R39</f>
        <v>0</v>
      </c>
      <c r="S40" s="221">
        <f>'ADJ DETAIL INPUT'!S39</f>
        <v>0</v>
      </c>
      <c r="T40" s="221">
        <f>'ADJ DETAIL INPUT'!T39</f>
        <v>-6860</v>
      </c>
      <c r="U40" s="221">
        <f>'ADJ DETAIL INPUT'!U39</f>
        <v>-1</v>
      </c>
      <c r="V40" s="221">
        <f>'ADJ DETAIL INPUT'!V39</f>
        <v>0</v>
      </c>
      <c r="W40" s="221">
        <f>'ADJ DETAIL INPUT'!W39</f>
        <v>0</v>
      </c>
      <c r="X40" s="221">
        <f>'ADJ DETAIL INPUT'!X39</f>
        <v>0</v>
      </c>
      <c r="Y40" s="221">
        <f>'ADJ DETAIL INPUT'!AA39</f>
        <v>0</v>
      </c>
      <c r="Z40" s="221">
        <f>'ADJ DETAIL INPUT'!AB39</f>
        <v>0</v>
      </c>
      <c r="AA40" s="221">
        <f>'ADJ DETAIL INPUT'!AC39</f>
        <v>11</v>
      </c>
      <c r="AB40" s="221">
        <f>'ADJ DETAIL INPUT'!AD39</f>
        <v>0</v>
      </c>
      <c r="AC40" s="221">
        <f>'ADJ DETAIL INPUT'!AE39</f>
        <v>6</v>
      </c>
      <c r="AD40" s="221">
        <f>'ADJ DETAIL INPUT'!AF39</f>
        <v>0</v>
      </c>
      <c r="AE40" s="221">
        <f>'ADJ DETAIL INPUT'!AG39</f>
        <v>0</v>
      </c>
      <c r="AF40" s="221">
        <f>'ADJ DETAIL INPUT'!AH39</f>
        <v>0</v>
      </c>
      <c r="AG40" s="221">
        <f>'ADJ DETAIL INPUT'!AI39</f>
        <v>0</v>
      </c>
      <c r="AH40" s="221">
        <f>'ADJ DETAIL INPUT'!AJ39</f>
        <v>0</v>
      </c>
      <c r="AI40" s="221">
        <f>'ADJ DETAIL INPUT'!AK39</f>
        <v>0</v>
      </c>
      <c r="AJ40" s="221">
        <f>'ADJ DETAIL INPUT'!AL39</f>
        <v>0</v>
      </c>
      <c r="AK40" s="221">
        <f>'ADJ DETAIL INPUT'!AM39</f>
        <v>0</v>
      </c>
    </row>
    <row r="41" spans="1:37">
      <c r="A41" s="200">
        <v>19</v>
      </c>
      <c r="B41" s="176" t="s">
        <v>50</v>
      </c>
      <c r="C41" s="202"/>
      <c r="D41" s="202"/>
      <c r="E41" s="221">
        <f>'ADJ DETAIL INPUT'!E40</f>
        <v>0</v>
      </c>
      <c r="F41" s="221">
        <f>'ADJ DETAIL INPUT'!F40</f>
        <v>0</v>
      </c>
      <c r="G41" s="221">
        <f>'ADJ DETAIL INPUT'!G40</f>
        <v>0</v>
      </c>
      <c r="H41" s="221">
        <f>'ADJ DETAIL INPUT'!H40</f>
        <v>0</v>
      </c>
      <c r="I41" s="221">
        <f>'ADJ DETAIL INPUT'!I40</f>
        <v>0</v>
      </c>
      <c r="J41" s="221">
        <f>'ADJ DETAIL INPUT'!J40</f>
        <v>0</v>
      </c>
      <c r="K41" s="221">
        <f>'ADJ DETAIL INPUT'!K40</f>
        <v>0</v>
      </c>
      <c r="L41" s="221">
        <f>'ADJ DETAIL INPUT'!L40</f>
        <v>0</v>
      </c>
      <c r="M41" s="221">
        <f>'ADJ DETAIL INPUT'!M40</f>
        <v>0</v>
      </c>
      <c r="N41" s="221">
        <f>'ADJ DETAIL INPUT'!N40</f>
        <v>0</v>
      </c>
      <c r="O41" s="221">
        <f>'ADJ DETAIL INPUT'!O40</f>
        <v>0</v>
      </c>
      <c r="P41" s="221">
        <f>'ADJ DETAIL INPUT'!P40</f>
        <v>0</v>
      </c>
      <c r="Q41" s="221">
        <f>'ADJ DETAIL INPUT'!Q40</f>
        <v>0</v>
      </c>
      <c r="R41" s="221">
        <f>'ADJ DETAIL INPUT'!R40</f>
        <v>0</v>
      </c>
      <c r="S41" s="221">
        <f>'ADJ DETAIL INPUT'!S40</f>
        <v>0</v>
      </c>
      <c r="T41" s="221">
        <f>'ADJ DETAIL INPUT'!T40</f>
        <v>0</v>
      </c>
      <c r="U41" s="221">
        <f>'ADJ DETAIL INPUT'!U40</f>
        <v>0</v>
      </c>
      <c r="V41" s="221">
        <f>'ADJ DETAIL INPUT'!V40</f>
        <v>0</v>
      </c>
      <c r="W41" s="221">
        <f>'ADJ DETAIL INPUT'!W40</f>
        <v>0</v>
      </c>
      <c r="X41" s="221">
        <f>'ADJ DETAIL INPUT'!X40</f>
        <v>0</v>
      </c>
      <c r="Y41" s="221">
        <f>'ADJ DETAIL INPUT'!AA40</f>
        <v>0</v>
      </c>
      <c r="Z41" s="221">
        <f>'ADJ DETAIL INPUT'!AB40</f>
        <v>0</v>
      </c>
      <c r="AA41" s="221">
        <f>'ADJ DETAIL INPUT'!AC40</f>
        <v>0</v>
      </c>
      <c r="AB41" s="221">
        <f>'ADJ DETAIL INPUT'!AD40</f>
        <v>0</v>
      </c>
      <c r="AC41" s="221">
        <f>'ADJ DETAIL INPUT'!AE40</f>
        <v>0</v>
      </c>
      <c r="AD41" s="221">
        <f>'ADJ DETAIL INPUT'!AF40</f>
        <v>0</v>
      </c>
      <c r="AE41" s="221">
        <f>'ADJ DETAIL INPUT'!AG40</f>
        <v>0</v>
      </c>
      <c r="AF41" s="221">
        <f>'ADJ DETAIL INPUT'!AH40</f>
        <v>0</v>
      </c>
      <c r="AG41" s="221">
        <f>'ADJ DETAIL INPUT'!AI40</f>
        <v>0</v>
      </c>
      <c r="AH41" s="221">
        <f>'ADJ DETAIL INPUT'!AJ40</f>
        <v>0</v>
      </c>
      <c r="AI41" s="221">
        <f>'ADJ DETAIL INPUT'!AK40</f>
        <v>0</v>
      </c>
      <c r="AJ41" s="221">
        <f>'ADJ DETAIL INPUT'!AL40</f>
        <v>0</v>
      </c>
      <c r="AK41" s="221">
        <f>'ADJ DETAIL INPUT'!AM40</f>
        <v>0</v>
      </c>
    </row>
    <row r="42" spans="1:37">
      <c r="C42" s="202"/>
      <c r="D42" s="202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</row>
    <row r="43" spans="1:37">
      <c r="B43" s="176" t="s">
        <v>51</v>
      </c>
      <c r="C43" s="202"/>
      <c r="D43" s="202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</row>
    <row r="44" spans="1:37">
      <c r="A44" s="200">
        <v>20</v>
      </c>
      <c r="C44" s="202" t="s">
        <v>43</v>
      </c>
      <c r="D44" s="202"/>
      <c r="E44" s="221">
        <f>'ADJ DETAIL INPUT'!E43</f>
        <v>15045</v>
      </c>
      <c r="F44" s="221">
        <f>'ADJ DETAIL INPUT'!F43</f>
        <v>0</v>
      </c>
      <c r="G44" s="221">
        <f>'ADJ DETAIL INPUT'!G43</f>
        <v>0</v>
      </c>
      <c r="H44" s="221">
        <f>'ADJ DETAIL INPUT'!H43</f>
        <v>0</v>
      </c>
      <c r="I44" s="221">
        <f>'ADJ DETAIL INPUT'!I43</f>
        <v>0</v>
      </c>
      <c r="J44" s="221">
        <f>'ADJ DETAIL INPUT'!J43</f>
        <v>0</v>
      </c>
      <c r="K44" s="221">
        <f>'ADJ DETAIL INPUT'!K43</f>
        <v>0</v>
      </c>
      <c r="L44" s="221">
        <f>'ADJ DETAIL INPUT'!L43</f>
        <v>0</v>
      </c>
      <c r="M44" s="221">
        <f>'ADJ DETAIL INPUT'!M43</f>
        <v>-50</v>
      </c>
      <c r="N44" s="221">
        <f>'ADJ DETAIL INPUT'!N43</f>
        <v>3</v>
      </c>
      <c r="O44" s="221">
        <f>'ADJ DETAIL INPUT'!O43</f>
        <v>0</v>
      </c>
      <c r="P44" s="221">
        <f>'ADJ DETAIL INPUT'!P43</f>
        <v>-17</v>
      </c>
      <c r="Q44" s="221">
        <f>'ADJ DETAIL INPUT'!Q43</f>
        <v>0</v>
      </c>
      <c r="R44" s="221">
        <f>'ADJ DETAIL INPUT'!R43</f>
        <v>0</v>
      </c>
      <c r="S44" s="221">
        <f>'ADJ DETAIL INPUT'!S43</f>
        <v>13</v>
      </c>
      <c r="T44" s="221">
        <f>'ADJ DETAIL INPUT'!T43</f>
        <v>10</v>
      </c>
      <c r="U44" s="221">
        <f>'ADJ DETAIL INPUT'!U43</f>
        <v>-371</v>
      </c>
      <c r="V44" s="221">
        <f>'ADJ DETAIL INPUT'!V43</f>
        <v>-703</v>
      </c>
      <c r="W44" s="221">
        <f>'ADJ DETAIL INPUT'!W43</f>
        <v>0</v>
      </c>
      <c r="X44" s="221">
        <f>'ADJ DETAIL INPUT'!X43</f>
        <v>0</v>
      </c>
      <c r="Y44" s="221">
        <f>'ADJ DETAIL INPUT'!AA43</f>
        <v>-116</v>
      </c>
      <c r="Z44" s="221">
        <f>'ADJ DETAIL INPUT'!AB43</f>
        <v>0</v>
      </c>
      <c r="AA44" s="221">
        <f>'ADJ DETAIL INPUT'!AC43</f>
        <v>152</v>
      </c>
      <c r="AB44" s="221">
        <f>'ADJ DETAIL INPUT'!AD43</f>
        <v>27</v>
      </c>
      <c r="AC44" s="221">
        <f>'ADJ DETAIL INPUT'!AE43</f>
        <v>103</v>
      </c>
      <c r="AD44" s="221">
        <f>'ADJ DETAIL INPUT'!AF43</f>
        <v>-43</v>
      </c>
      <c r="AE44" s="221">
        <f>'ADJ DETAIL INPUT'!AG43</f>
        <v>241</v>
      </c>
      <c r="AF44" s="221">
        <f>'ADJ DETAIL INPUT'!AH43</f>
        <v>0</v>
      </c>
      <c r="AG44" s="221">
        <f>'ADJ DETAIL INPUT'!AI43</f>
        <v>0</v>
      </c>
      <c r="AH44" s="221">
        <f>'ADJ DETAIL INPUT'!AJ43</f>
        <v>0</v>
      </c>
      <c r="AI44" s="221">
        <f>'ADJ DETAIL INPUT'!AK43</f>
        <v>0</v>
      </c>
      <c r="AJ44" s="221">
        <f>'ADJ DETAIL INPUT'!AL43</f>
        <v>0</v>
      </c>
      <c r="AK44" s="221">
        <f>'ADJ DETAIL INPUT'!AM43</f>
        <v>0</v>
      </c>
    </row>
    <row r="45" spans="1:37">
      <c r="A45" s="200">
        <v>21</v>
      </c>
      <c r="C45" s="202" t="s">
        <v>200</v>
      </c>
      <c r="D45" s="202"/>
      <c r="E45" s="221">
        <f>'ADJ DETAIL INPUT'!E44</f>
        <v>8492</v>
      </c>
      <c r="F45" s="221">
        <f>'ADJ DETAIL INPUT'!F44</f>
        <v>0</v>
      </c>
      <c r="G45" s="221">
        <f>'ADJ DETAIL INPUT'!G44</f>
        <v>0</v>
      </c>
      <c r="H45" s="221">
        <f>'ADJ DETAIL INPUT'!H44</f>
        <v>0</v>
      </c>
      <c r="I45" s="221">
        <f>'ADJ DETAIL INPUT'!I44</f>
        <v>0</v>
      </c>
      <c r="J45" s="221">
        <f>'ADJ DETAIL INPUT'!J44</f>
        <v>0</v>
      </c>
      <c r="K45" s="221">
        <f>'ADJ DETAIL INPUT'!K44</f>
        <v>0</v>
      </c>
      <c r="L45" s="221">
        <f>'ADJ DETAIL INPUT'!L44</f>
        <v>0</v>
      </c>
      <c r="M45" s="221">
        <f>'ADJ DETAIL INPUT'!M44</f>
        <v>0</v>
      </c>
      <c r="N45" s="221">
        <f>'ADJ DETAIL INPUT'!N44</f>
        <v>0</v>
      </c>
      <c r="O45" s="221">
        <f>'ADJ DETAIL INPUT'!O44</f>
        <v>0</v>
      </c>
      <c r="P45" s="221">
        <f>'ADJ DETAIL INPUT'!P44</f>
        <v>0</v>
      </c>
      <c r="Q45" s="221">
        <f>'ADJ DETAIL INPUT'!Q44</f>
        <v>0</v>
      </c>
      <c r="R45" s="221">
        <f>'ADJ DETAIL INPUT'!R44</f>
        <v>0</v>
      </c>
      <c r="S45" s="221">
        <f>'ADJ DETAIL INPUT'!S44</f>
        <v>0</v>
      </c>
      <c r="T45" s="221">
        <f>'ADJ DETAIL INPUT'!T44</f>
        <v>0</v>
      </c>
      <c r="U45" s="221">
        <f>'ADJ DETAIL INPUT'!U44</f>
        <v>0</v>
      </c>
      <c r="V45" s="221">
        <f>'ADJ DETAIL INPUT'!V44</f>
        <v>0</v>
      </c>
      <c r="W45" s="221">
        <f>'ADJ DETAIL INPUT'!W44</f>
        <v>0</v>
      </c>
      <c r="X45" s="221">
        <f>'ADJ DETAIL INPUT'!X44</f>
        <v>961</v>
      </c>
      <c r="Y45" s="221">
        <f>'ADJ DETAIL INPUT'!AA44</f>
        <v>0</v>
      </c>
      <c r="Z45" s="221">
        <f>'ADJ DETAIL INPUT'!AB44</f>
        <v>0</v>
      </c>
      <c r="AA45" s="221">
        <f>'ADJ DETAIL INPUT'!AC44</f>
        <v>0</v>
      </c>
      <c r="AB45" s="221">
        <f>'ADJ DETAIL INPUT'!AD44</f>
        <v>0</v>
      </c>
      <c r="AC45" s="221">
        <f>'ADJ DETAIL INPUT'!AE44</f>
        <v>0</v>
      </c>
      <c r="AD45" s="221">
        <f>'ADJ DETAIL INPUT'!AF44</f>
        <v>0</v>
      </c>
      <c r="AE45" s="221">
        <f>'ADJ DETAIL INPUT'!AG44</f>
        <v>0</v>
      </c>
      <c r="AF45" s="221">
        <f>'ADJ DETAIL INPUT'!AH44</f>
        <v>0</v>
      </c>
      <c r="AG45" s="221">
        <f>'ADJ DETAIL INPUT'!AI44</f>
        <v>-543</v>
      </c>
      <c r="AH45" s="221">
        <f>'ADJ DETAIL INPUT'!AJ44</f>
        <v>0</v>
      </c>
      <c r="AI45" s="221">
        <f>'ADJ DETAIL INPUT'!AK44</f>
        <v>0</v>
      </c>
      <c r="AJ45" s="221">
        <f>'ADJ DETAIL INPUT'!AL44</f>
        <v>0</v>
      </c>
      <c r="AK45" s="221">
        <f>'ADJ DETAIL INPUT'!AM44</f>
        <v>0</v>
      </c>
    </row>
    <row r="46" spans="1:37">
      <c r="A46" s="200">
        <v>22</v>
      </c>
      <c r="C46" s="9" t="s">
        <v>411</v>
      </c>
      <c r="D46" s="202"/>
      <c r="E46" s="221">
        <f>'ADJ DETAIL INPUT'!E45</f>
        <v>-1559</v>
      </c>
      <c r="F46" s="221">
        <f>'ADJ DETAIL INPUT'!F45</f>
        <v>0</v>
      </c>
      <c r="G46" s="221">
        <f>'ADJ DETAIL INPUT'!G45</f>
        <v>0</v>
      </c>
      <c r="H46" s="221">
        <f>'ADJ DETAIL INPUT'!H45</f>
        <v>0</v>
      </c>
      <c r="I46" s="221">
        <f>'ADJ DETAIL INPUT'!I45</f>
        <v>0</v>
      </c>
      <c r="J46" s="221">
        <f>'ADJ DETAIL INPUT'!J45</f>
        <v>0</v>
      </c>
      <c r="K46" s="221">
        <f>'ADJ DETAIL INPUT'!K45</f>
        <v>0</v>
      </c>
      <c r="L46" s="221">
        <f>'ADJ DETAIL INPUT'!L45</f>
        <v>0</v>
      </c>
      <c r="M46" s="221">
        <f>'ADJ DETAIL INPUT'!M45</f>
        <v>0</v>
      </c>
      <c r="N46" s="221">
        <f>'ADJ DETAIL INPUT'!N45</f>
        <v>0</v>
      </c>
      <c r="O46" s="221">
        <f>'ADJ DETAIL INPUT'!O45</f>
        <v>0</v>
      </c>
      <c r="P46" s="221">
        <f>'ADJ DETAIL INPUT'!P45</f>
        <v>0</v>
      </c>
      <c r="Q46" s="221">
        <f>'ADJ DETAIL INPUT'!Q45</f>
        <v>0</v>
      </c>
      <c r="R46" s="221">
        <f>'ADJ DETAIL INPUT'!R45</f>
        <v>0</v>
      </c>
      <c r="S46" s="221">
        <f>'ADJ DETAIL INPUT'!S45</f>
        <v>0</v>
      </c>
      <c r="T46" s="221">
        <f>'ADJ DETAIL INPUT'!T45</f>
        <v>1083</v>
      </c>
      <c r="U46" s="221">
        <f>'ADJ DETAIL INPUT'!U45</f>
        <v>0</v>
      </c>
      <c r="V46" s="221">
        <f>'ADJ DETAIL INPUT'!V45</f>
        <v>0</v>
      </c>
      <c r="W46" s="221">
        <f>'ADJ DETAIL INPUT'!W45</f>
        <v>0</v>
      </c>
      <c r="X46" s="221">
        <f>'ADJ DETAIL INPUT'!X45</f>
        <v>0</v>
      </c>
      <c r="Y46" s="221">
        <f>'ADJ DETAIL INPUT'!AA45</f>
        <v>0</v>
      </c>
      <c r="Z46" s="221">
        <f>'ADJ DETAIL INPUT'!AB45</f>
        <v>1745</v>
      </c>
      <c r="AA46" s="221">
        <f>'ADJ DETAIL INPUT'!AC45</f>
        <v>0</v>
      </c>
      <c r="AB46" s="221">
        <f>'ADJ DETAIL INPUT'!AD45</f>
        <v>0</v>
      </c>
      <c r="AC46" s="221">
        <f>'ADJ DETAIL INPUT'!AE45</f>
        <v>0</v>
      </c>
      <c r="AD46" s="221">
        <f>'ADJ DETAIL INPUT'!AF45</f>
        <v>0</v>
      </c>
      <c r="AE46" s="221">
        <f>'ADJ DETAIL INPUT'!AG45</f>
        <v>0</v>
      </c>
      <c r="AF46" s="221">
        <f>'ADJ DETAIL INPUT'!AH45</f>
        <v>0</v>
      </c>
      <c r="AG46" s="221">
        <f>'ADJ DETAIL INPUT'!AI45</f>
        <v>0</v>
      </c>
      <c r="AH46" s="221">
        <f>'ADJ DETAIL INPUT'!AJ45</f>
        <v>0</v>
      </c>
      <c r="AI46" s="221">
        <f>'ADJ DETAIL INPUT'!AK45</f>
        <v>0</v>
      </c>
      <c r="AJ46" s="221">
        <f>'ADJ DETAIL INPUT'!AL45</f>
        <v>836</v>
      </c>
      <c r="AK46" s="221">
        <f>'ADJ DETAIL INPUT'!AM45</f>
        <v>0</v>
      </c>
    </row>
    <row r="47" spans="1:37">
      <c r="A47" s="200">
        <v>23</v>
      </c>
      <c r="C47" s="202" t="s">
        <v>21</v>
      </c>
      <c r="D47" s="202"/>
      <c r="E47" s="222">
        <f>'ADJ DETAIL INPUT'!E46</f>
        <v>0</v>
      </c>
      <c r="F47" s="222">
        <f>'ADJ DETAIL INPUT'!F46</f>
        <v>0</v>
      </c>
      <c r="G47" s="222">
        <f>'ADJ DETAIL INPUT'!G46</f>
        <v>0</v>
      </c>
      <c r="H47" s="222">
        <f>'ADJ DETAIL INPUT'!H46</f>
        <v>0</v>
      </c>
      <c r="I47" s="222">
        <f>'ADJ DETAIL INPUT'!I46</f>
        <v>0</v>
      </c>
      <c r="J47" s="222">
        <f>'ADJ DETAIL INPUT'!J46</f>
        <v>0</v>
      </c>
      <c r="K47" s="222">
        <f>'ADJ DETAIL INPUT'!K46</f>
        <v>0</v>
      </c>
      <c r="L47" s="222">
        <f>'ADJ DETAIL INPUT'!L46</f>
        <v>0</v>
      </c>
      <c r="M47" s="222">
        <f>'ADJ DETAIL INPUT'!M46</f>
        <v>0</v>
      </c>
      <c r="N47" s="222">
        <f>'ADJ DETAIL INPUT'!N46</f>
        <v>0</v>
      </c>
      <c r="O47" s="222">
        <f>'ADJ DETAIL INPUT'!O46</f>
        <v>0</v>
      </c>
      <c r="P47" s="222">
        <f>'ADJ DETAIL INPUT'!P46</f>
        <v>0</v>
      </c>
      <c r="Q47" s="222">
        <f>'ADJ DETAIL INPUT'!Q46</f>
        <v>0</v>
      </c>
      <c r="R47" s="222">
        <f>'ADJ DETAIL INPUT'!R46</f>
        <v>0</v>
      </c>
      <c r="S47" s="222">
        <f>'ADJ DETAIL INPUT'!S46</f>
        <v>0</v>
      </c>
      <c r="T47" s="222">
        <f>'ADJ DETAIL INPUT'!T46</f>
        <v>0</v>
      </c>
      <c r="U47" s="222">
        <f>'ADJ DETAIL INPUT'!U46</f>
        <v>0</v>
      </c>
      <c r="V47" s="222">
        <f>'ADJ DETAIL INPUT'!V46</f>
        <v>0</v>
      </c>
      <c r="W47" s="222">
        <f>'ADJ DETAIL INPUT'!W46</f>
        <v>0</v>
      </c>
      <c r="X47" s="222">
        <f>'ADJ DETAIL INPUT'!X46</f>
        <v>0</v>
      </c>
      <c r="Y47" s="222">
        <f>'ADJ DETAIL INPUT'!AA46</f>
        <v>0</v>
      </c>
      <c r="Z47" s="222">
        <f>'ADJ DETAIL INPUT'!AB46</f>
        <v>0</v>
      </c>
      <c r="AA47" s="222">
        <f>'ADJ DETAIL INPUT'!AC46</f>
        <v>0</v>
      </c>
      <c r="AB47" s="222">
        <f>'ADJ DETAIL INPUT'!AD46</f>
        <v>0</v>
      </c>
      <c r="AC47" s="222">
        <f>'ADJ DETAIL INPUT'!AE46</f>
        <v>0</v>
      </c>
      <c r="AD47" s="222">
        <f>'ADJ DETAIL INPUT'!AF46</f>
        <v>0</v>
      </c>
      <c r="AE47" s="222">
        <f>'ADJ DETAIL INPUT'!AG46</f>
        <v>0</v>
      </c>
      <c r="AF47" s="222">
        <f>'ADJ DETAIL INPUT'!AH46</f>
        <v>0</v>
      </c>
      <c r="AG47" s="222">
        <f>'ADJ DETAIL INPUT'!AI46</f>
        <v>0</v>
      </c>
      <c r="AH47" s="222">
        <f>'ADJ DETAIL INPUT'!AJ46</f>
        <v>0</v>
      </c>
      <c r="AI47" s="222">
        <f>'ADJ DETAIL INPUT'!AK46</f>
        <v>0</v>
      </c>
      <c r="AJ47" s="222">
        <f>'ADJ DETAIL INPUT'!AL46</f>
        <v>0</v>
      </c>
      <c r="AK47" s="222">
        <f>'ADJ DETAIL INPUT'!AM46</f>
        <v>0</v>
      </c>
    </row>
    <row r="48" spans="1:37">
      <c r="A48" s="200">
        <v>24</v>
      </c>
      <c r="B48" s="202" t="s">
        <v>52</v>
      </c>
      <c r="C48" s="202"/>
      <c r="E48" s="222">
        <f>SUM(E44:E47)</f>
        <v>21978</v>
      </c>
      <c r="F48" s="222">
        <f t="shared" ref="F48:AF48" si="42">SUM(F44:F47)</f>
        <v>0</v>
      </c>
      <c r="G48" s="222">
        <f t="shared" si="42"/>
        <v>0</v>
      </c>
      <c r="H48" s="222">
        <f t="shared" si="42"/>
        <v>0</v>
      </c>
      <c r="I48" s="222">
        <f t="shared" ref="I48" si="43">SUM(I44:I47)</f>
        <v>0</v>
      </c>
      <c r="J48" s="222">
        <f t="shared" si="42"/>
        <v>0</v>
      </c>
      <c r="K48" s="222">
        <f t="shared" si="42"/>
        <v>0</v>
      </c>
      <c r="L48" s="222">
        <f t="shared" si="42"/>
        <v>0</v>
      </c>
      <c r="M48" s="222">
        <f t="shared" si="42"/>
        <v>-50</v>
      </c>
      <c r="N48" s="222">
        <f t="shared" si="42"/>
        <v>3</v>
      </c>
      <c r="O48" s="222">
        <f t="shared" si="42"/>
        <v>0</v>
      </c>
      <c r="P48" s="222">
        <f t="shared" si="42"/>
        <v>-17</v>
      </c>
      <c r="Q48" s="222">
        <f t="shared" si="42"/>
        <v>0</v>
      </c>
      <c r="R48" s="222">
        <f t="shared" si="42"/>
        <v>0</v>
      </c>
      <c r="S48" s="222">
        <f t="shared" si="42"/>
        <v>13</v>
      </c>
      <c r="T48" s="222">
        <f t="shared" ref="T48:U48" si="44">SUM(T44:T47)</f>
        <v>1093</v>
      </c>
      <c r="U48" s="222">
        <f t="shared" si="44"/>
        <v>-371</v>
      </c>
      <c r="V48" s="222">
        <f t="shared" ref="V48" si="45">SUM(V44:V47)</f>
        <v>-703</v>
      </c>
      <c r="W48" s="222">
        <f>SUM(W44:W47)</f>
        <v>0</v>
      </c>
      <c r="X48" s="222">
        <f>SUM(X44:X47)</f>
        <v>961</v>
      </c>
      <c r="Y48" s="222">
        <f>SUM(Y44:Y47)</f>
        <v>-116</v>
      </c>
      <c r="Z48" s="222">
        <f t="shared" ref="Z48" si="46">SUM(Z44:Z47)</f>
        <v>1745</v>
      </c>
      <c r="AA48" s="222">
        <f t="shared" si="42"/>
        <v>152</v>
      </c>
      <c r="AB48" s="222">
        <f t="shared" ref="AB48" si="47">SUM(AB44:AB47)</f>
        <v>27</v>
      </c>
      <c r="AC48" s="222">
        <f t="shared" si="42"/>
        <v>103</v>
      </c>
      <c r="AD48" s="222">
        <f t="shared" ref="AD48" si="48">SUM(AD44:AD47)</f>
        <v>-43</v>
      </c>
      <c r="AE48" s="222">
        <f t="shared" ref="AE48" si="49">SUM(AE44:AE47)</f>
        <v>241</v>
      </c>
      <c r="AF48" s="222">
        <f t="shared" si="42"/>
        <v>0</v>
      </c>
      <c r="AG48" s="222">
        <f>SUM(AG44:AG47)</f>
        <v>-543</v>
      </c>
      <c r="AH48" s="222">
        <f t="shared" ref="AH48:AI48" si="50">SUM(AH44:AH47)</f>
        <v>0</v>
      </c>
      <c r="AI48" s="222">
        <f t="shared" si="50"/>
        <v>0</v>
      </c>
      <c r="AJ48" s="222">
        <f t="shared" ref="AJ48:AK48" si="51">SUM(AJ44:AJ47)</f>
        <v>836</v>
      </c>
      <c r="AK48" s="222">
        <f t="shared" si="51"/>
        <v>0</v>
      </c>
    </row>
    <row r="49" spans="1:37" ht="19.5" customHeight="1">
      <c r="A49" s="200">
        <v>25</v>
      </c>
      <c r="B49" s="176" t="s">
        <v>53</v>
      </c>
      <c r="C49" s="202"/>
      <c r="D49" s="202"/>
      <c r="E49" s="222">
        <f t="shared" ref="E49" si="52">E21+E25+E31+E37+E39+E40+E41+E48</f>
        <v>169184</v>
      </c>
      <c r="F49" s="222">
        <f t="shared" ref="F49:AF49" si="53">F21+F25+F31+F37+F39+F40+F41+F48</f>
        <v>0</v>
      </c>
      <c r="G49" s="222">
        <f t="shared" si="53"/>
        <v>10</v>
      </c>
      <c r="H49" s="222">
        <f t="shared" si="53"/>
        <v>0</v>
      </c>
      <c r="I49" s="222">
        <f t="shared" ref="I49" si="54">I21+I25+I31+I37+I39+I40+I41+I48</f>
        <v>0</v>
      </c>
      <c r="J49" s="222">
        <f t="shared" si="53"/>
        <v>-5184</v>
      </c>
      <c r="K49" s="222">
        <f t="shared" si="53"/>
        <v>2</v>
      </c>
      <c r="L49" s="222">
        <f t="shared" si="53"/>
        <v>-320</v>
      </c>
      <c r="M49" s="222">
        <f t="shared" si="53"/>
        <v>-50</v>
      </c>
      <c r="N49" s="222">
        <f t="shared" si="53"/>
        <v>3</v>
      </c>
      <c r="O49" s="222">
        <f t="shared" si="53"/>
        <v>0</v>
      </c>
      <c r="P49" s="222">
        <f t="shared" si="53"/>
        <v>-17</v>
      </c>
      <c r="Q49" s="222">
        <f t="shared" si="53"/>
        <v>0</v>
      </c>
      <c r="R49" s="222">
        <f t="shared" si="53"/>
        <v>-13</v>
      </c>
      <c r="S49" s="222">
        <f t="shared" si="53"/>
        <v>2932</v>
      </c>
      <c r="T49" s="222">
        <f t="shared" ref="T49:U49" si="55">T21+T25+T31+T37+T39+T40+T41+T48</f>
        <v>-47063</v>
      </c>
      <c r="U49" s="222">
        <f t="shared" si="55"/>
        <v>-380</v>
      </c>
      <c r="V49" s="222">
        <f t="shared" ref="V49" si="56">V21+V25+V31+V37+V39+V40+V41+V48</f>
        <v>-703</v>
      </c>
      <c r="W49" s="222">
        <f>W21+W25+W31+W37+W39+W40+W41+W48</f>
        <v>0</v>
      </c>
      <c r="X49" s="222">
        <f>X21+X25+X31+X37+X39+X40+X41+X48</f>
        <v>1571</v>
      </c>
      <c r="Y49" s="222">
        <f>Y21+Y25+Y31+Y37+Y39+Y40+Y41+Y48</f>
        <v>-54085</v>
      </c>
      <c r="Z49" s="222">
        <f t="shared" ref="Z49" si="57">Z21+Z25+Z31+Z37+Z39+Z40+Z41+Z48</f>
        <v>1745</v>
      </c>
      <c r="AA49" s="222">
        <f t="shared" si="53"/>
        <v>502</v>
      </c>
      <c r="AB49" s="222">
        <f t="shared" ref="AB49" si="58">AB21+AB25+AB31+AB37+AB39+AB40+AB41+AB48</f>
        <v>27</v>
      </c>
      <c r="AC49" s="222">
        <f t="shared" si="53"/>
        <v>322</v>
      </c>
      <c r="AD49" s="222">
        <f t="shared" ref="AD49" si="59">AD21+AD25+AD31+AD37+AD39+AD40+AD41+AD48</f>
        <v>-43</v>
      </c>
      <c r="AE49" s="222">
        <f t="shared" ref="AE49" si="60">AE21+AE25+AE31+AE37+AE39+AE40+AE41+AE48</f>
        <v>241</v>
      </c>
      <c r="AF49" s="222">
        <f t="shared" si="53"/>
        <v>212</v>
      </c>
      <c r="AG49" s="222">
        <f>AG21+AG25+AG31+AG37+AG39+AG40+AG41+AG48</f>
        <v>-1518</v>
      </c>
      <c r="AH49" s="222">
        <f t="shared" ref="AH49:AI49" si="61">AH21+AH25+AH31+AH37+AH39+AH40+AH41+AH48</f>
        <v>0</v>
      </c>
      <c r="AI49" s="222">
        <f t="shared" si="61"/>
        <v>0</v>
      </c>
      <c r="AJ49" s="222">
        <f t="shared" ref="AJ49:AK49" si="62">AJ21+AJ25+AJ31+AJ37+AJ39+AJ40+AJ41+AJ48</f>
        <v>867</v>
      </c>
      <c r="AK49" s="222">
        <f t="shared" si="62"/>
        <v>0</v>
      </c>
    </row>
    <row r="50" spans="1:37">
      <c r="C50" s="202"/>
      <c r="D50" s="202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</row>
    <row r="51" spans="1:37" ht="12.95" customHeight="1">
      <c r="A51" s="200">
        <v>26</v>
      </c>
      <c r="B51" s="176" t="s">
        <v>54</v>
      </c>
      <c r="C51" s="202"/>
      <c r="D51" s="202"/>
      <c r="E51" s="221">
        <f>E18-E49</f>
        <v>27210</v>
      </c>
      <c r="F51" s="221">
        <f t="shared" ref="F51:AF51" si="63">F18-F49</f>
        <v>0</v>
      </c>
      <c r="G51" s="221">
        <f t="shared" si="63"/>
        <v>-10</v>
      </c>
      <c r="H51" s="221">
        <f t="shared" si="63"/>
        <v>0</v>
      </c>
      <c r="I51" s="221">
        <f t="shared" ref="I51" si="64">I18-I49</f>
        <v>0</v>
      </c>
      <c r="J51" s="221">
        <f t="shared" si="63"/>
        <v>-14</v>
      </c>
      <c r="K51" s="221">
        <f t="shared" si="63"/>
        <v>-2</v>
      </c>
      <c r="L51" s="221">
        <f t="shared" si="63"/>
        <v>320</v>
      </c>
      <c r="M51" s="221">
        <f t="shared" si="63"/>
        <v>50</v>
      </c>
      <c r="N51" s="221">
        <f t="shared" si="63"/>
        <v>-3</v>
      </c>
      <c r="O51" s="221">
        <f t="shared" si="63"/>
        <v>0</v>
      </c>
      <c r="P51" s="221">
        <f t="shared" si="63"/>
        <v>17</v>
      </c>
      <c r="Q51" s="221">
        <f t="shared" si="63"/>
        <v>0</v>
      </c>
      <c r="R51" s="221">
        <f t="shared" si="63"/>
        <v>13</v>
      </c>
      <c r="S51" s="221">
        <f t="shared" si="63"/>
        <v>6</v>
      </c>
      <c r="T51" s="221">
        <f t="shared" ref="T51:U51" si="65">T18-T49</f>
        <v>429</v>
      </c>
      <c r="U51" s="221">
        <f t="shared" si="65"/>
        <v>494</v>
      </c>
      <c r="V51" s="221">
        <f t="shared" ref="V51" si="66">V18-V49</f>
        <v>703</v>
      </c>
      <c r="W51" s="221">
        <f>W18-W49</f>
        <v>0</v>
      </c>
      <c r="X51" s="221">
        <f>X18-X49</f>
        <v>-1571</v>
      </c>
      <c r="Y51" s="221">
        <f>Y18-Y49</f>
        <v>511</v>
      </c>
      <c r="Z51" s="221">
        <f t="shared" ref="Z51" si="67">Z18-Z49</f>
        <v>-1745</v>
      </c>
      <c r="AA51" s="221">
        <f t="shared" si="63"/>
        <v>-502</v>
      </c>
      <c r="AB51" s="221">
        <f t="shared" ref="AB51" si="68">AB18-AB49</f>
        <v>-27</v>
      </c>
      <c r="AC51" s="221">
        <f t="shared" si="63"/>
        <v>-322</v>
      </c>
      <c r="AD51" s="221">
        <f t="shared" ref="AD51" si="69">AD18-AD49</f>
        <v>43</v>
      </c>
      <c r="AE51" s="221">
        <f t="shared" ref="AE51" si="70">AE18-AE49</f>
        <v>-241</v>
      </c>
      <c r="AF51" s="221">
        <f t="shared" si="63"/>
        <v>-212</v>
      </c>
      <c r="AG51" s="221">
        <f>AG18-AG49</f>
        <v>1518</v>
      </c>
      <c r="AH51" s="221">
        <f t="shared" ref="AH51:AI51" si="71">AH18-AH49</f>
        <v>0</v>
      </c>
      <c r="AI51" s="221">
        <f t="shared" si="71"/>
        <v>0</v>
      </c>
      <c r="AJ51" s="221">
        <f t="shared" ref="AJ51:AK51" si="72">AJ18-AJ49</f>
        <v>-867</v>
      </c>
      <c r="AK51" s="221">
        <f t="shared" si="72"/>
        <v>0</v>
      </c>
    </row>
    <row r="52" spans="1:37" ht="12.95" customHeight="1">
      <c r="C52" s="202"/>
      <c r="D52" s="202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</row>
    <row r="53" spans="1:37" ht="12.95" customHeight="1">
      <c r="B53" s="176" t="s">
        <v>55</v>
      </c>
      <c r="C53" s="202"/>
      <c r="D53" s="202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</row>
    <row r="54" spans="1:37">
      <c r="A54" s="200">
        <v>27</v>
      </c>
      <c r="B54" s="202" t="s">
        <v>56</v>
      </c>
      <c r="D54" s="202"/>
      <c r="E54" s="221">
        <f>'ADJ DETAIL INPUT'!E53</f>
        <v>2557</v>
      </c>
      <c r="F54" s="221">
        <f>'ADJ DETAIL INPUT'!F53</f>
        <v>0</v>
      </c>
      <c r="G54" s="221">
        <f>'ADJ DETAIL INPUT'!G53</f>
        <v>-2.1</v>
      </c>
      <c r="H54" s="221">
        <f>'ADJ DETAIL INPUT'!H53</f>
        <v>0</v>
      </c>
      <c r="I54" s="221">
        <f>'ADJ DETAIL INPUT'!I53</f>
        <v>0</v>
      </c>
      <c r="J54" s="221">
        <f>'ADJ DETAIL INPUT'!J53</f>
        <v>-2.94</v>
      </c>
      <c r="K54" s="221">
        <f>'ADJ DETAIL INPUT'!K53</f>
        <v>-0.42</v>
      </c>
      <c r="L54" s="221">
        <f>'ADJ DETAIL INPUT'!L53</f>
        <v>67.2</v>
      </c>
      <c r="M54" s="221">
        <f>'ADJ DETAIL INPUT'!M53</f>
        <v>10.5</v>
      </c>
      <c r="N54" s="221">
        <f>'ADJ DETAIL INPUT'!N53</f>
        <v>-0.63</v>
      </c>
      <c r="O54" s="221">
        <f>'ADJ DETAIL INPUT'!O53</f>
        <v>0</v>
      </c>
      <c r="P54" s="221">
        <f>'ADJ DETAIL INPUT'!P53</f>
        <v>3.57</v>
      </c>
      <c r="Q54" s="221">
        <f>'ADJ DETAIL INPUT'!Q53</f>
        <v>0</v>
      </c>
      <c r="R54" s="221">
        <f>'ADJ DETAIL INPUT'!R53</f>
        <v>2.73</v>
      </c>
      <c r="S54" s="221">
        <f>'ADJ DETAIL INPUT'!S53</f>
        <v>1.26</v>
      </c>
      <c r="T54" s="221">
        <f>'ADJ DETAIL INPUT'!T53</f>
        <v>90.09</v>
      </c>
      <c r="U54" s="221">
        <f>'ADJ DETAIL INPUT'!U53</f>
        <v>103.74</v>
      </c>
      <c r="V54" s="221">
        <f>'ADJ DETAIL INPUT'!V53</f>
        <v>147.63</v>
      </c>
      <c r="W54" s="221">
        <f>'ADJ DETAIL INPUT'!W53</f>
        <v>132</v>
      </c>
      <c r="X54" s="221">
        <f>'ADJ DETAIL INPUT'!X53</f>
        <v>-329.90999999999997</v>
      </c>
      <c r="Y54" s="221">
        <f>'ADJ DETAIL INPUT'!AA53</f>
        <v>107.31</v>
      </c>
      <c r="Z54" s="221">
        <f>'ADJ DETAIL INPUT'!AB53</f>
        <v>-366.45</v>
      </c>
      <c r="AA54" s="221">
        <f>'ADJ DETAIL INPUT'!AC53</f>
        <v>-105.42</v>
      </c>
      <c r="AB54" s="221">
        <f>'ADJ DETAIL INPUT'!AD53</f>
        <v>-5.67</v>
      </c>
      <c r="AC54" s="221">
        <f>'ADJ DETAIL INPUT'!AE53</f>
        <v>-67.83</v>
      </c>
      <c r="AD54" s="221">
        <f>'ADJ DETAIL INPUT'!AF53</f>
        <v>9.0299999999999994</v>
      </c>
      <c r="AE54" s="221">
        <f>'ADJ DETAIL INPUT'!AG53</f>
        <v>-50.61</v>
      </c>
      <c r="AF54" s="221">
        <f>'ADJ DETAIL INPUT'!AH53</f>
        <v>-44.519999999999996</v>
      </c>
      <c r="AG54" s="221">
        <f>'ADJ DETAIL INPUT'!AI53</f>
        <v>318.77999999999997</v>
      </c>
      <c r="AH54" s="221">
        <f>'ADJ DETAIL INPUT'!AJ53</f>
        <v>0</v>
      </c>
      <c r="AI54" s="221">
        <f>'ADJ DETAIL INPUT'!AK53</f>
        <v>0</v>
      </c>
      <c r="AJ54" s="221">
        <f>'ADJ DETAIL INPUT'!AL53</f>
        <v>-182.07</v>
      </c>
      <c r="AK54" s="221">
        <f>'ADJ DETAIL INPUT'!AM53</f>
        <v>0</v>
      </c>
    </row>
    <row r="55" spans="1:37">
      <c r="A55" s="200">
        <v>28</v>
      </c>
      <c r="B55" s="202" t="s">
        <v>181</v>
      </c>
      <c r="D55" s="202"/>
      <c r="E55" s="221">
        <f>'ADJ DETAIL INPUT'!E54</f>
        <v>0</v>
      </c>
      <c r="F55" s="221">
        <f>'ADJ DETAIL INPUT'!F54</f>
        <v>7.149051</v>
      </c>
      <c r="G55" s="221">
        <f>'ADJ DETAIL INPUT'!G54</f>
        <v>4.0131E-2</v>
      </c>
      <c r="H55" s="221">
        <f>'ADJ DETAIL INPUT'!H54</f>
        <v>0</v>
      </c>
      <c r="I55" s="221">
        <f>'ADJ DETAIL INPUT'!I54</f>
        <v>34.615853999999999</v>
      </c>
      <c r="J55" s="221">
        <f>'ADJ DETAIL INPUT'!J54</f>
        <v>0</v>
      </c>
      <c r="K55" s="221">
        <f>'ADJ DETAIL INPUT'!K54</f>
        <v>0</v>
      </c>
      <c r="L55" s="221">
        <f>'ADJ DETAIL INPUT'!L54</f>
        <v>0</v>
      </c>
      <c r="M55" s="221">
        <f>'ADJ DETAIL INPUT'!M54</f>
        <v>0</v>
      </c>
      <c r="N55" s="221">
        <f>'ADJ DETAIL INPUT'!N54</f>
        <v>0</v>
      </c>
      <c r="O55" s="221">
        <f>'ADJ DETAIL INPUT'!O54</f>
        <v>0</v>
      </c>
      <c r="P55" s="221">
        <f>'ADJ DETAIL INPUT'!P54</f>
        <v>0</v>
      </c>
      <c r="Q55" s="221">
        <f>'ADJ DETAIL INPUT'!Q54</f>
        <v>0</v>
      </c>
      <c r="R55" s="221">
        <f>'ADJ DETAIL INPUT'!R54</f>
        <v>0</v>
      </c>
      <c r="S55" s="221">
        <f>'ADJ DETAIL INPUT'!S54</f>
        <v>0</v>
      </c>
      <c r="T55" s="221">
        <f>'ADJ DETAIL INPUT'!T54</f>
        <v>0</v>
      </c>
      <c r="U55" s="221">
        <f>'ADJ DETAIL INPUT'!U54</f>
        <v>0</v>
      </c>
      <c r="V55" s="221">
        <f>'ADJ DETAIL INPUT'!V54</f>
        <v>0</v>
      </c>
      <c r="W55" s="221">
        <f>'ADJ DETAIL INPUT'!W54</f>
        <v>0</v>
      </c>
      <c r="X55" s="221">
        <f>'ADJ DETAIL INPUT'!X54</f>
        <v>-185.00964300000001</v>
      </c>
      <c r="Y55" s="221">
        <f>'ADJ DETAIL INPUT'!AA54</f>
        <v>0</v>
      </c>
      <c r="Z55" s="221">
        <f>'ADJ DETAIL INPUT'!AB54</f>
        <v>-0.54463499999999998</v>
      </c>
      <c r="AA55" s="221">
        <f>'ADJ DETAIL INPUT'!AC54</f>
        <v>0</v>
      </c>
      <c r="AB55" s="221">
        <f>'ADJ DETAIL INPUT'!AD54</f>
        <v>0</v>
      </c>
      <c r="AC55" s="221">
        <f>'ADJ DETAIL INPUT'!AE54</f>
        <v>0</v>
      </c>
      <c r="AD55" s="221">
        <f>'ADJ DETAIL INPUT'!AF54</f>
        <v>0</v>
      </c>
      <c r="AE55" s="221">
        <f>'ADJ DETAIL INPUT'!AG54</f>
        <v>0</v>
      </c>
      <c r="AF55" s="221">
        <f>'ADJ DETAIL INPUT'!AH54</f>
        <v>0</v>
      </c>
      <c r="AG55" s="221">
        <f>'ADJ DETAIL INPUT'!AI54</f>
        <v>0</v>
      </c>
      <c r="AH55" s="221">
        <f>'ADJ DETAIL INPUT'!AJ54</f>
        <v>0</v>
      </c>
      <c r="AI55" s="221">
        <f>'ADJ DETAIL INPUT'!AK54</f>
        <v>0</v>
      </c>
      <c r="AJ55" s="221">
        <f>'ADJ DETAIL INPUT'!AL54</f>
        <v>0</v>
      </c>
      <c r="AK55" s="221">
        <f>'ADJ DETAIL INPUT'!AM54</f>
        <v>0</v>
      </c>
    </row>
    <row r="56" spans="1:37">
      <c r="A56" s="200">
        <v>29</v>
      </c>
      <c r="B56" s="202" t="s">
        <v>57</v>
      </c>
      <c r="D56" s="202"/>
      <c r="E56" s="221">
        <f>'ADJ DETAIL INPUT'!E55</f>
        <v>54</v>
      </c>
      <c r="F56" s="221">
        <f>'ADJ DETAIL INPUT'!F55</f>
        <v>0</v>
      </c>
      <c r="G56" s="221">
        <f>'ADJ DETAIL INPUT'!G55</f>
        <v>0</v>
      </c>
      <c r="H56" s="221">
        <f>'ADJ DETAIL INPUT'!H55</f>
        <v>0</v>
      </c>
      <c r="I56" s="221">
        <f>'ADJ DETAIL INPUT'!I55</f>
        <v>0</v>
      </c>
      <c r="J56" s="221">
        <f>'ADJ DETAIL INPUT'!J55</f>
        <v>0</v>
      </c>
      <c r="K56" s="221">
        <f>'ADJ DETAIL INPUT'!K55</f>
        <v>0</v>
      </c>
      <c r="L56" s="221">
        <f>'ADJ DETAIL INPUT'!L55</f>
        <v>0</v>
      </c>
      <c r="M56" s="221">
        <f>'ADJ DETAIL INPUT'!M55</f>
        <v>0</v>
      </c>
      <c r="N56" s="221">
        <f>'ADJ DETAIL INPUT'!N55</f>
        <v>0</v>
      </c>
      <c r="O56" s="221">
        <f>'ADJ DETAIL INPUT'!O55</f>
        <v>0</v>
      </c>
      <c r="P56" s="221">
        <f>'ADJ DETAIL INPUT'!P55</f>
        <v>0</v>
      </c>
      <c r="Q56" s="221">
        <f>'ADJ DETAIL INPUT'!Q55</f>
        <v>0</v>
      </c>
      <c r="R56" s="221">
        <f>'ADJ DETAIL INPUT'!R55</f>
        <v>0</v>
      </c>
      <c r="S56" s="221">
        <f>'ADJ DETAIL INPUT'!S55</f>
        <v>0</v>
      </c>
      <c r="T56" s="221">
        <f>'ADJ DETAIL INPUT'!T55</f>
        <v>339</v>
      </c>
      <c r="U56" s="221">
        <f>'ADJ DETAIL INPUT'!U55</f>
        <v>0</v>
      </c>
      <c r="V56" s="221">
        <f>'ADJ DETAIL INPUT'!V55</f>
        <v>0</v>
      </c>
      <c r="W56" s="221">
        <f>'ADJ DETAIL INPUT'!W55</f>
        <v>0</v>
      </c>
      <c r="X56" s="221">
        <f>'ADJ DETAIL INPUT'!X55</f>
        <v>0</v>
      </c>
      <c r="Y56" s="221">
        <f>'ADJ DETAIL INPUT'!AA55</f>
        <v>0</v>
      </c>
      <c r="Z56" s="221">
        <f>'ADJ DETAIL INPUT'!AB55</f>
        <v>0</v>
      </c>
      <c r="AA56" s="221">
        <f>'ADJ DETAIL INPUT'!AC55</f>
        <v>0</v>
      </c>
      <c r="AB56" s="221">
        <f>'ADJ DETAIL INPUT'!AD55</f>
        <v>0</v>
      </c>
      <c r="AC56" s="221">
        <f>'ADJ DETAIL INPUT'!AE55</f>
        <v>0</v>
      </c>
      <c r="AD56" s="221">
        <f>'ADJ DETAIL INPUT'!AF55</f>
        <v>0</v>
      </c>
      <c r="AE56" s="221">
        <f>'ADJ DETAIL INPUT'!AG55</f>
        <v>0</v>
      </c>
      <c r="AF56" s="221">
        <f>'ADJ DETAIL INPUT'!AH55</f>
        <v>0</v>
      </c>
      <c r="AG56" s="221">
        <f>'ADJ DETAIL INPUT'!AI55</f>
        <v>0</v>
      </c>
      <c r="AH56" s="221">
        <f>'ADJ DETAIL INPUT'!AJ55</f>
        <v>0</v>
      </c>
      <c r="AI56" s="221">
        <f>'ADJ DETAIL INPUT'!AK55</f>
        <v>0</v>
      </c>
      <c r="AJ56" s="221">
        <f>'ADJ DETAIL INPUT'!AL55</f>
        <v>0</v>
      </c>
      <c r="AK56" s="221">
        <f>'ADJ DETAIL INPUT'!AM55</f>
        <v>0</v>
      </c>
    </row>
    <row r="57" spans="1:37">
      <c r="A57" s="200">
        <v>30</v>
      </c>
      <c r="B57" s="202" t="s">
        <v>58</v>
      </c>
      <c r="D57" s="202"/>
      <c r="E57" s="222">
        <f>'ADJ DETAIL INPUT'!E56</f>
        <v>-15</v>
      </c>
      <c r="F57" s="222">
        <f>'ADJ DETAIL INPUT'!F56</f>
        <v>0</v>
      </c>
      <c r="G57" s="222">
        <f>'ADJ DETAIL INPUT'!G56</f>
        <v>0</v>
      </c>
      <c r="H57" s="222">
        <f>'ADJ DETAIL INPUT'!H56</f>
        <v>0</v>
      </c>
      <c r="I57" s="222">
        <f>'ADJ DETAIL INPUT'!I56</f>
        <v>0</v>
      </c>
      <c r="J57" s="222">
        <f>'ADJ DETAIL INPUT'!J56</f>
        <v>0</v>
      </c>
      <c r="K57" s="222">
        <f>'ADJ DETAIL INPUT'!K56</f>
        <v>0</v>
      </c>
      <c r="L57" s="222">
        <f>'ADJ DETAIL INPUT'!L56</f>
        <v>0</v>
      </c>
      <c r="M57" s="222">
        <f>'ADJ DETAIL INPUT'!M56</f>
        <v>0</v>
      </c>
      <c r="N57" s="222">
        <f>'ADJ DETAIL INPUT'!N56</f>
        <v>0</v>
      </c>
      <c r="O57" s="222">
        <f>'ADJ DETAIL INPUT'!O56</f>
        <v>0</v>
      </c>
      <c r="P57" s="222">
        <f>'ADJ DETAIL INPUT'!P56</f>
        <v>0</v>
      </c>
      <c r="Q57" s="222">
        <f>'ADJ DETAIL INPUT'!Q56</f>
        <v>0</v>
      </c>
      <c r="R57" s="222">
        <f>'ADJ DETAIL INPUT'!R56</f>
        <v>0</v>
      </c>
      <c r="S57" s="222">
        <f>'ADJ DETAIL INPUT'!S56</f>
        <v>0</v>
      </c>
      <c r="T57" s="222">
        <f>'ADJ DETAIL INPUT'!T56</f>
        <v>0</v>
      </c>
      <c r="U57" s="222">
        <f>'ADJ DETAIL INPUT'!U56</f>
        <v>0</v>
      </c>
      <c r="V57" s="222">
        <f>'ADJ DETAIL INPUT'!V56</f>
        <v>0</v>
      </c>
      <c r="W57" s="222">
        <f>'ADJ DETAIL INPUT'!W56</f>
        <v>0</v>
      </c>
      <c r="X57" s="222">
        <f>'ADJ DETAIL INPUT'!X56</f>
        <v>0</v>
      </c>
      <c r="Y57" s="222">
        <f>'ADJ DETAIL INPUT'!AA56</f>
        <v>0</v>
      </c>
      <c r="Z57" s="222">
        <f>'ADJ DETAIL INPUT'!AB56</f>
        <v>0</v>
      </c>
      <c r="AA57" s="222">
        <f>'ADJ DETAIL INPUT'!AC56</f>
        <v>0</v>
      </c>
      <c r="AB57" s="222">
        <f>'ADJ DETAIL INPUT'!AD56</f>
        <v>0</v>
      </c>
      <c r="AC57" s="222">
        <f>'ADJ DETAIL INPUT'!AE56</f>
        <v>0</v>
      </c>
      <c r="AD57" s="222">
        <f>'ADJ DETAIL INPUT'!AF56</f>
        <v>0</v>
      </c>
      <c r="AE57" s="222">
        <f>'ADJ DETAIL INPUT'!AG56</f>
        <v>0</v>
      </c>
      <c r="AF57" s="222">
        <f>'ADJ DETAIL INPUT'!AH56</f>
        <v>0</v>
      </c>
      <c r="AG57" s="222">
        <f>'ADJ DETAIL INPUT'!AI56</f>
        <v>0</v>
      </c>
      <c r="AH57" s="222">
        <f>'ADJ DETAIL INPUT'!AJ56</f>
        <v>0</v>
      </c>
      <c r="AI57" s="222">
        <f>'ADJ DETAIL INPUT'!AK56</f>
        <v>0</v>
      </c>
      <c r="AJ57" s="222">
        <f>'ADJ DETAIL INPUT'!AL56</f>
        <v>0</v>
      </c>
      <c r="AK57" s="222">
        <f>'ADJ DETAIL INPUT'!AM56</f>
        <v>0</v>
      </c>
    </row>
    <row r="58" spans="1:37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</row>
    <row r="59" spans="1:37" s="201" customFormat="1" ht="12.75" thickBot="1">
      <c r="A59" s="200">
        <v>31</v>
      </c>
      <c r="B59" s="201" t="s">
        <v>59</v>
      </c>
      <c r="E59" s="344">
        <f>E51-SUM(E54:E57)</f>
        <v>24614</v>
      </c>
      <c r="F59" s="344">
        <f t="shared" ref="F59:AF59" si="73">F51-SUM(F54:F57)</f>
        <v>-7.149051</v>
      </c>
      <c r="G59" s="344">
        <f t="shared" si="73"/>
        <v>-7.940131</v>
      </c>
      <c r="H59" s="344">
        <f t="shared" si="73"/>
        <v>0</v>
      </c>
      <c r="I59" s="344">
        <f t="shared" ref="I59" si="74">I51-SUM(I54:I57)</f>
        <v>-34.615853999999999</v>
      </c>
      <c r="J59" s="344">
        <f t="shared" si="73"/>
        <v>-11.06</v>
      </c>
      <c r="K59" s="344">
        <f t="shared" si="73"/>
        <v>-1.58</v>
      </c>
      <c r="L59" s="344">
        <f t="shared" si="73"/>
        <v>252.8</v>
      </c>
      <c r="M59" s="344">
        <f t="shared" si="73"/>
        <v>39.5</v>
      </c>
      <c r="N59" s="344">
        <f t="shared" si="73"/>
        <v>-2.37</v>
      </c>
      <c r="O59" s="344">
        <f t="shared" si="73"/>
        <v>0</v>
      </c>
      <c r="P59" s="344">
        <f t="shared" si="73"/>
        <v>13.43</v>
      </c>
      <c r="Q59" s="344">
        <f t="shared" si="73"/>
        <v>0</v>
      </c>
      <c r="R59" s="344">
        <f t="shared" si="73"/>
        <v>10.27</v>
      </c>
      <c r="S59" s="344">
        <f t="shared" si="73"/>
        <v>4.74</v>
      </c>
      <c r="T59" s="344">
        <f t="shared" ref="T59:U59" si="75">T51-SUM(T54:T57)</f>
        <v>-9.0000000000031832E-2</v>
      </c>
      <c r="U59" s="344">
        <f t="shared" si="75"/>
        <v>390.26</v>
      </c>
      <c r="V59" s="344">
        <f t="shared" ref="V59" si="76">V51-SUM(V54:V57)</f>
        <v>555.37</v>
      </c>
      <c r="W59" s="344">
        <f>W51-SUM(W54:W57)</f>
        <v>-132</v>
      </c>
      <c r="X59" s="344">
        <f>X51-SUM(X54:X57)</f>
        <v>-1056.080357</v>
      </c>
      <c r="Y59" s="344">
        <f>Y51-SUM(Y54:Y57)</f>
        <v>403.69</v>
      </c>
      <c r="Z59" s="344">
        <f t="shared" ref="Z59" si="77">Z51-SUM(Z54:Z57)</f>
        <v>-1378.005365</v>
      </c>
      <c r="AA59" s="344">
        <f t="shared" si="73"/>
        <v>-396.58</v>
      </c>
      <c r="AB59" s="344">
        <f t="shared" ref="AB59" si="78">AB51-SUM(AB54:AB57)</f>
        <v>-21.33</v>
      </c>
      <c r="AC59" s="344">
        <f t="shared" si="73"/>
        <v>-254.17000000000002</v>
      </c>
      <c r="AD59" s="344">
        <f t="shared" ref="AD59" si="79">AD51-SUM(AD54:AD57)</f>
        <v>33.97</v>
      </c>
      <c r="AE59" s="344">
        <f t="shared" ref="AE59" si="80">AE51-SUM(AE54:AE57)</f>
        <v>-190.39</v>
      </c>
      <c r="AF59" s="344">
        <f t="shared" si="73"/>
        <v>-167.48000000000002</v>
      </c>
      <c r="AG59" s="344">
        <f>AG51-SUM(AG54:AG57)</f>
        <v>1199.22</v>
      </c>
      <c r="AH59" s="344">
        <f t="shared" ref="AH59:AI59" si="81">AH51-SUM(AH54:AH57)</f>
        <v>0</v>
      </c>
      <c r="AI59" s="344">
        <f t="shared" si="81"/>
        <v>0</v>
      </c>
      <c r="AJ59" s="344">
        <f t="shared" ref="AJ59:AK59" si="82">AJ51-SUM(AJ54:AJ57)</f>
        <v>-684.93000000000006</v>
      </c>
      <c r="AK59" s="344">
        <f t="shared" si="82"/>
        <v>0</v>
      </c>
    </row>
    <row r="60" spans="1:37" ht="12.75" thickTop="1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</row>
    <row r="61" spans="1:37">
      <c r="B61" s="176" t="s">
        <v>104</v>
      </c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</row>
    <row r="62" spans="1:37">
      <c r="B62" s="176" t="s">
        <v>105</v>
      </c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</row>
    <row r="63" spans="1:37">
      <c r="A63" s="200">
        <v>32</v>
      </c>
      <c r="B63" s="202"/>
      <c r="C63" s="202" t="s">
        <v>42</v>
      </c>
      <c r="D63" s="202"/>
      <c r="E63" s="301">
        <f>'ADJ DETAIL INPUT'!E62</f>
        <v>28442</v>
      </c>
      <c r="F63" s="301">
        <f>'ADJ DETAIL INPUT'!F62</f>
        <v>0</v>
      </c>
      <c r="G63" s="301">
        <f>'ADJ DETAIL INPUT'!G62</f>
        <v>0</v>
      </c>
      <c r="H63" s="301">
        <f>'ADJ DETAIL INPUT'!H62</f>
        <v>0</v>
      </c>
      <c r="I63" s="301">
        <f>'ADJ DETAIL INPUT'!I62</f>
        <v>0</v>
      </c>
      <c r="J63" s="301">
        <f>'ADJ DETAIL INPUT'!J62</f>
        <v>0</v>
      </c>
      <c r="K63" s="301">
        <f>'ADJ DETAIL INPUT'!K62</f>
        <v>0</v>
      </c>
      <c r="L63" s="301">
        <f>'ADJ DETAIL INPUT'!L62</f>
        <v>0</v>
      </c>
      <c r="M63" s="301">
        <f>'ADJ DETAIL INPUT'!M62</f>
        <v>0</v>
      </c>
      <c r="N63" s="301">
        <f>'ADJ DETAIL INPUT'!N62</f>
        <v>0</v>
      </c>
      <c r="O63" s="301">
        <f>'ADJ DETAIL INPUT'!O62</f>
        <v>0</v>
      </c>
      <c r="P63" s="301">
        <f>'ADJ DETAIL INPUT'!P62</f>
        <v>0</v>
      </c>
      <c r="Q63" s="301">
        <f>'ADJ DETAIL INPUT'!Q62</f>
        <v>0</v>
      </c>
      <c r="R63" s="301">
        <f>'ADJ DETAIL INPUT'!R62</f>
        <v>0</v>
      </c>
      <c r="S63" s="301">
        <f>'ADJ DETAIL INPUT'!S62</f>
        <v>0</v>
      </c>
      <c r="T63" s="301">
        <f>'ADJ DETAIL INPUT'!T62</f>
        <v>0</v>
      </c>
      <c r="U63" s="301">
        <f>'ADJ DETAIL INPUT'!U62</f>
        <v>0</v>
      </c>
      <c r="V63" s="301">
        <f>'ADJ DETAIL INPUT'!V62</f>
        <v>0</v>
      </c>
      <c r="W63" s="301">
        <f>'ADJ DETAIL INPUT'!W62</f>
        <v>0</v>
      </c>
      <c r="X63" s="301">
        <f>'ADJ DETAIL INPUT'!X62</f>
        <v>600</v>
      </c>
      <c r="Y63" s="301">
        <f>'ADJ DETAIL INPUT'!AA62</f>
        <v>0</v>
      </c>
      <c r="Z63" s="301">
        <f>'ADJ DETAIL INPUT'!AB62</f>
        <v>0</v>
      </c>
      <c r="AA63" s="301">
        <f>'ADJ DETAIL INPUT'!AC62</f>
        <v>0</v>
      </c>
      <c r="AB63" s="301">
        <f>'ADJ DETAIL INPUT'!AD62</f>
        <v>0</v>
      </c>
      <c r="AC63" s="301">
        <f>'ADJ DETAIL INPUT'!AE62</f>
        <v>0</v>
      </c>
      <c r="AD63" s="301">
        <f>'ADJ DETAIL INPUT'!AF62</f>
        <v>0</v>
      </c>
      <c r="AE63" s="301">
        <f>'ADJ DETAIL INPUT'!AG62</f>
        <v>0</v>
      </c>
      <c r="AF63" s="301">
        <f>'ADJ DETAIL INPUT'!AH62</f>
        <v>0</v>
      </c>
      <c r="AG63" s="301">
        <f>'ADJ DETAIL INPUT'!AI62</f>
        <v>0</v>
      </c>
      <c r="AH63" s="301">
        <f>'ADJ DETAIL INPUT'!AJ62</f>
        <v>0</v>
      </c>
      <c r="AI63" s="301">
        <f>'ADJ DETAIL INPUT'!AK62</f>
        <v>0</v>
      </c>
      <c r="AJ63" s="301">
        <f>'ADJ DETAIL INPUT'!AL62</f>
        <v>0</v>
      </c>
      <c r="AK63" s="301">
        <f>'ADJ DETAIL INPUT'!AM62</f>
        <v>0</v>
      </c>
    </row>
    <row r="64" spans="1:37">
      <c r="A64" s="200">
        <v>33</v>
      </c>
      <c r="B64" s="202"/>
      <c r="C64" s="202" t="s">
        <v>61</v>
      </c>
      <c r="D64" s="202"/>
      <c r="E64" s="221">
        <f>'ADJ DETAIL INPUT'!E63</f>
        <v>462636</v>
      </c>
      <c r="F64" s="221">
        <f>'ADJ DETAIL INPUT'!F63</f>
        <v>0</v>
      </c>
      <c r="G64" s="221">
        <f>'ADJ DETAIL INPUT'!G63</f>
        <v>0</v>
      </c>
      <c r="H64" s="221">
        <f>'ADJ DETAIL INPUT'!H63</f>
        <v>0</v>
      </c>
      <c r="I64" s="221">
        <f>'ADJ DETAIL INPUT'!I63</f>
        <v>-7041</v>
      </c>
      <c r="J64" s="221">
        <f>'ADJ DETAIL INPUT'!J63</f>
        <v>0</v>
      </c>
      <c r="K64" s="221">
        <f>'ADJ DETAIL INPUT'!K63</f>
        <v>0</v>
      </c>
      <c r="L64" s="221">
        <f>'ADJ DETAIL INPUT'!L63</f>
        <v>0</v>
      </c>
      <c r="M64" s="221">
        <f>'ADJ DETAIL INPUT'!M63</f>
        <v>0</v>
      </c>
      <c r="N64" s="221">
        <f>'ADJ DETAIL INPUT'!N63</f>
        <v>0</v>
      </c>
      <c r="O64" s="221">
        <f>'ADJ DETAIL INPUT'!O63</f>
        <v>0</v>
      </c>
      <c r="P64" s="221">
        <f>'ADJ DETAIL INPUT'!P63</f>
        <v>0</v>
      </c>
      <c r="Q64" s="221">
        <f>'ADJ DETAIL INPUT'!Q63</f>
        <v>0</v>
      </c>
      <c r="R64" s="221">
        <f>'ADJ DETAIL INPUT'!R63</f>
        <v>0</v>
      </c>
      <c r="S64" s="221">
        <f>'ADJ DETAIL INPUT'!S63</f>
        <v>0</v>
      </c>
      <c r="T64" s="221">
        <f>'ADJ DETAIL INPUT'!T63</f>
        <v>0</v>
      </c>
      <c r="U64" s="221">
        <f>'ADJ DETAIL INPUT'!U63</f>
        <v>0</v>
      </c>
      <c r="V64" s="221">
        <f>'ADJ DETAIL INPUT'!V63</f>
        <v>0</v>
      </c>
      <c r="W64" s="221">
        <f>'ADJ DETAIL INPUT'!W63</f>
        <v>0</v>
      </c>
      <c r="X64" s="221">
        <f>'ADJ DETAIL INPUT'!X63</f>
        <v>24409</v>
      </c>
      <c r="Y64" s="221">
        <f>'ADJ DETAIL INPUT'!AA63</f>
        <v>0</v>
      </c>
      <c r="Z64" s="221">
        <f>'ADJ DETAIL INPUT'!AB63</f>
        <v>0</v>
      </c>
      <c r="AA64" s="221">
        <f>'ADJ DETAIL INPUT'!AC63</f>
        <v>0</v>
      </c>
      <c r="AB64" s="221">
        <f>'ADJ DETAIL INPUT'!AD63</f>
        <v>0</v>
      </c>
      <c r="AC64" s="221">
        <f>'ADJ DETAIL INPUT'!AE63</f>
        <v>0</v>
      </c>
      <c r="AD64" s="221">
        <f>'ADJ DETAIL INPUT'!AF63</f>
        <v>0</v>
      </c>
      <c r="AE64" s="221">
        <f>'ADJ DETAIL INPUT'!AG63</f>
        <v>0</v>
      </c>
      <c r="AF64" s="221">
        <f>'ADJ DETAIL INPUT'!AH63</f>
        <v>0</v>
      </c>
      <c r="AG64" s="221">
        <f>'ADJ DETAIL INPUT'!AI63</f>
        <v>0</v>
      </c>
      <c r="AH64" s="221">
        <f>'ADJ DETAIL INPUT'!AJ63</f>
        <v>0</v>
      </c>
      <c r="AI64" s="221">
        <f>'ADJ DETAIL INPUT'!AK63</f>
        <v>0</v>
      </c>
      <c r="AJ64" s="221">
        <f>'ADJ DETAIL INPUT'!AL63</f>
        <v>0</v>
      </c>
      <c r="AK64" s="221">
        <f>'ADJ DETAIL INPUT'!AM63</f>
        <v>0</v>
      </c>
    </row>
    <row r="65" spans="1:37">
      <c r="A65" s="200">
        <v>34</v>
      </c>
      <c r="B65" s="202"/>
      <c r="C65" s="202" t="s">
        <v>62</v>
      </c>
      <c r="D65" s="202"/>
      <c r="E65" s="222">
        <f>'ADJ DETAIL INPUT'!E64</f>
        <v>114053</v>
      </c>
      <c r="F65" s="222">
        <f>'ADJ DETAIL INPUT'!F64</f>
        <v>0</v>
      </c>
      <c r="G65" s="222">
        <f>'ADJ DETAIL INPUT'!G64</f>
        <v>0</v>
      </c>
      <c r="H65" s="222">
        <f>'ADJ DETAIL INPUT'!H64</f>
        <v>0</v>
      </c>
      <c r="I65" s="222">
        <f>'ADJ DETAIL INPUT'!I64</f>
        <v>0</v>
      </c>
      <c r="J65" s="222">
        <f>'ADJ DETAIL INPUT'!J64</f>
        <v>0</v>
      </c>
      <c r="K65" s="222">
        <f>'ADJ DETAIL INPUT'!K64</f>
        <v>0</v>
      </c>
      <c r="L65" s="222">
        <f>'ADJ DETAIL INPUT'!L64</f>
        <v>0</v>
      </c>
      <c r="M65" s="222">
        <f>'ADJ DETAIL INPUT'!M64</f>
        <v>0</v>
      </c>
      <c r="N65" s="222">
        <f>'ADJ DETAIL INPUT'!N64</f>
        <v>0</v>
      </c>
      <c r="O65" s="222">
        <f>'ADJ DETAIL INPUT'!O64</f>
        <v>0</v>
      </c>
      <c r="P65" s="222">
        <f>'ADJ DETAIL INPUT'!P64</f>
        <v>0</v>
      </c>
      <c r="Q65" s="222">
        <f>'ADJ DETAIL INPUT'!Q64</f>
        <v>0</v>
      </c>
      <c r="R65" s="222">
        <f>'ADJ DETAIL INPUT'!R64</f>
        <v>0</v>
      </c>
      <c r="S65" s="222">
        <f>'ADJ DETAIL INPUT'!S64</f>
        <v>0</v>
      </c>
      <c r="T65" s="222">
        <f>'ADJ DETAIL INPUT'!T64</f>
        <v>0</v>
      </c>
      <c r="U65" s="222">
        <f>'ADJ DETAIL INPUT'!U64</f>
        <v>0</v>
      </c>
      <c r="V65" s="222">
        <f>'ADJ DETAIL INPUT'!V64</f>
        <v>0</v>
      </c>
      <c r="W65" s="222">
        <f>'ADJ DETAIL INPUT'!W64</f>
        <v>0</v>
      </c>
      <c r="X65" s="222">
        <f>'ADJ DETAIL INPUT'!X64</f>
        <v>12935</v>
      </c>
      <c r="Y65" s="222">
        <f>'ADJ DETAIL INPUT'!AA64</f>
        <v>0</v>
      </c>
      <c r="Z65" s="222">
        <f>'ADJ DETAIL INPUT'!AB64</f>
        <v>0</v>
      </c>
      <c r="AA65" s="222">
        <f>'ADJ DETAIL INPUT'!AC64</f>
        <v>0</v>
      </c>
      <c r="AB65" s="222">
        <f>'ADJ DETAIL INPUT'!AD64</f>
        <v>0</v>
      </c>
      <c r="AC65" s="222">
        <f>'ADJ DETAIL INPUT'!AE64</f>
        <v>0</v>
      </c>
      <c r="AD65" s="222">
        <f>'ADJ DETAIL INPUT'!AF64</f>
        <v>0</v>
      </c>
      <c r="AE65" s="222">
        <f>'ADJ DETAIL INPUT'!AG64</f>
        <v>0</v>
      </c>
      <c r="AF65" s="222">
        <f>'ADJ DETAIL INPUT'!AH64</f>
        <v>0</v>
      </c>
      <c r="AG65" s="222">
        <f>'ADJ DETAIL INPUT'!AI64</f>
        <v>0</v>
      </c>
      <c r="AH65" s="222">
        <f>'ADJ DETAIL INPUT'!AJ64</f>
        <v>0</v>
      </c>
      <c r="AI65" s="222">
        <f>'ADJ DETAIL INPUT'!AK64</f>
        <v>0</v>
      </c>
      <c r="AJ65" s="222">
        <f>'ADJ DETAIL INPUT'!AL64</f>
        <v>0</v>
      </c>
      <c r="AK65" s="222">
        <f>'ADJ DETAIL INPUT'!AM64</f>
        <v>0</v>
      </c>
    </row>
    <row r="66" spans="1:37" ht="18" customHeight="1">
      <c r="A66" s="200">
        <v>35</v>
      </c>
      <c r="B66" s="202" t="s">
        <v>63</v>
      </c>
      <c r="C66" s="202"/>
      <c r="E66" s="221">
        <f>SUM(E63:E65)</f>
        <v>605131</v>
      </c>
      <c r="F66" s="221">
        <f t="shared" ref="F66:AF66" si="83">SUM(F63:F65)</f>
        <v>0</v>
      </c>
      <c r="G66" s="221">
        <f t="shared" si="83"/>
        <v>0</v>
      </c>
      <c r="H66" s="221">
        <f t="shared" si="83"/>
        <v>0</v>
      </c>
      <c r="I66" s="221">
        <f t="shared" ref="I66" si="84">SUM(I63:I65)</f>
        <v>-7041</v>
      </c>
      <c r="J66" s="221">
        <f t="shared" si="83"/>
        <v>0</v>
      </c>
      <c r="K66" s="221">
        <f t="shared" si="83"/>
        <v>0</v>
      </c>
      <c r="L66" s="221">
        <f t="shared" si="83"/>
        <v>0</v>
      </c>
      <c r="M66" s="221">
        <f t="shared" si="83"/>
        <v>0</v>
      </c>
      <c r="N66" s="221">
        <f t="shared" si="83"/>
        <v>0</v>
      </c>
      <c r="O66" s="221">
        <f t="shared" si="83"/>
        <v>0</v>
      </c>
      <c r="P66" s="221">
        <f t="shared" si="83"/>
        <v>0</v>
      </c>
      <c r="Q66" s="221">
        <f t="shared" si="83"/>
        <v>0</v>
      </c>
      <c r="R66" s="221">
        <f t="shared" si="83"/>
        <v>0</v>
      </c>
      <c r="S66" s="221">
        <f t="shared" si="83"/>
        <v>0</v>
      </c>
      <c r="T66" s="221">
        <f t="shared" ref="T66:U66" si="85">SUM(T63:T65)</f>
        <v>0</v>
      </c>
      <c r="U66" s="221">
        <f t="shared" si="85"/>
        <v>0</v>
      </c>
      <c r="V66" s="221">
        <f t="shared" ref="V66" si="86">SUM(V63:V65)</f>
        <v>0</v>
      </c>
      <c r="W66" s="221">
        <f>SUM(W63:W65)</f>
        <v>0</v>
      </c>
      <c r="X66" s="221">
        <f>SUM(X63:X65)</f>
        <v>37944</v>
      </c>
      <c r="Y66" s="221">
        <f>SUM(Y63:Y65)</f>
        <v>0</v>
      </c>
      <c r="Z66" s="221">
        <f t="shared" ref="Z66" si="87">SUM(Z63:Z65)</f>
        <v>0</v>
      </c>
      <c r="AA66" s="221">
        <f t="shared" si="83"/>
        <v>0</v>
      </c>
      <c r="AB66" s="221">
        <f t="shared" ref="AB66" si="88">SUM(AB63:AB65)</f>
        <v>0</v>
      </c>
      <c r="AC66" s="221">
        <f t="shared" si="83"/>
        <v>0</v>
      </c>
      <c r="AD66" s="221">
        <f t="shared" ref="AD66" si="89">SUM(AD63:AD65)</f>
        <v>0</v>
      </c>
      <c r="AE66" s="221">
        <f t="shared" ref="AE66" si="90">SUM(AE63:AE65)</f>
        <v>0</v>
      </c>
      <c r="AF66" s="221">
        <f t="shared" si="83"/>
        <v>0</v>
      </c>
      <c r="AG66" s="221">
        <f>SUM(AG63:AG65)</f>
        <v>0</v>
      </c>
      <c r="AH66" s="221">
        <f t="shared" ref="AH66:AI66" si="91">SUM(AH63:AH65)</f>
        <v>0</v>
      </c>
      <c r="AI66" s="221">
        <f t="shared" si="91"/>
        <v>0</v>
      </c>
      <c r="AJ66" s="221">
        <f t="shared" ref="AJ66:AK66" si="92">SUM(AJ63:AJ65)</f>
        <v>0</v>
      </c>
      <c r="AK66" s="221">
        <f t="shared" si="92"/>
        <v>0</v>
      </c>
    </row>
    <row r="67" spans="1:37" ht="12.75" customHeight="1">
      <c r="B67" s="202"/>
      <c r="C67" s="202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</row>
    <row r="68" spans="1:37">
      <c r="B68" s="202" t="s">
        <v>202</v>
      </c>
      <c r="C68" s="202"/>
      <c r="D68" s="20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</row>
    <row r="69" spans="1:37">
      <c r="A69" s="200">
        <v>36</v>
      </c>
      <c r="B69" s="202"/>
      <c r="C69" s="202" t="s">
        <v>42</v>
      </c>
      <c r="D69" s="202"/>
      <c r="E69" s="221">
        <f>'ADJ DETAIL INPUT'!E68</f>
        <v>-11051</v>
      </c>
      <c r="F69" s="221">
        <f>'ADJ DETAIL INPUT'!F68</f>
        <v>0</v>
      </c>
      <c r="G69" s="221">
        <f>'ADJ DETAIL INPUT'!G68</f>
        <v>0</v>
      </c>
      <c r="H69" s="221">
        <f>'ADJ DETAIL INPUT'!H68</f>
        <v>0</v>
      </c>
      <c r="I69" s="221">
        <f>'ADJ DETAIL INPUT'!I68</f>
        <v>0</v>
      </c>
      <c r="J69" s="221">
        <f>'ADJ DETAIL INPUT'!J68</f>
        <v>0</v>
      </c>
      <c r="K69" s="221">
        <f>'ADJ DETAIL INPUT'!K68</f>
        <v>0</v>
      </c>
      <c r="L69" s="221">
        <f>'ADJ DETAIL INPUT'!L68</f>
        <v>0</v>
      </c>
      <c r="M69" s="221">
        <f>'ADJ DETAIL INPUT'!M68</f>
        <v>0</v>
      </c>
      <c r="N69" s="221">
        <f>'ADJ DETAIL INPUT'!N68</f>
        <v>0</v>
      </c>
      <c r="O69" s="221">
        <f>'ADJ DETAIL INPUT'!O68</f>
        <v>0</v>
      </c>
      <c r="P69" s="221">
        <f>'ADJ DETAIL INPUT'!P68</f>
        <v>0</v>
      </c>
      <c r="Q69" s="221">
        <f>'ADJ DETAIL INPUT'!Q68</f>
        <v>0</v>
      </c>
      <c r="R69" s="221">
        <f>'ADJ DETAIL INPUT'!R68</f>
        <v>0</v>
      </c>
      <c r="S69" s="221">
        <f>'ADJ DETAIL INPUT'!S68</f>
        <v>0</v>
      </c>
      <c r="T69" s="221">
        <f>'ADJ DETAIL INPUT'!T68</f>
        <v>0</v>
      </c>
      <c r="U69" s="221">
        <f>'ADJ DETAIL INPUT'!U68</f>
        <v>0</v>
      </c>
      <c r="V69" s="221">
        <f>'ADJ DETAIL INPUT'!V68</f>
        <v>0</v>
      </c>
      <c r="W69" s="221">
        <f>'ADJ DETAIL INPUT'!W68</f>
        <v>0</v>
      </c>
      <c r="X69" s="221">
        <f>'ADJ DETAIL INPUT'!X68</f>
        <v>-431</v>
      </c>
      <c r="Y69" s="221">
        <f>'ADJ DETAIL INPUT'!AA68</f>
        <v>0</v>
      </c>
      <c r="Z69" s="221">
        <f>'ADJ DETAIL INPUT'!AB68</f>
        <v>0</v>
      </c>
      <c r="AA69" s="221">
        <f>'ADJ DETAIL INPUT'!AC68</f>
        <v>0</v>
      </c>
      <c r="AB69" s="221">
        <f>'ADJ DETAIL INPUT'!AD68</f>
        <v>0</v>
      </c>
      <c r="AC69" s="221">
        <f>'ADJ DETAIL INPUT'!AE68</f>
        <v>0</v>
      </c>
      <c r="AD69" s="221">
        <f>'ADJ DETAIL INPUT'!AF68</f>
        <v>0</v>
      </c>
      <c r="AE69" s="221">
        <f>'ADJ DETAIL INPUT'!AG68</f>
        <v>0</v>
      </c>
      <c r="AF69" s="221">
        <f>'ADJ DETAIL INPUT'!AH68</f>
        <v>0</v>
      </c>
      <c r="AG69" s="221">
        <f>'ADJ DETAIL INPUT'!AI68</f>
        <v>0</v>
      </c>
      <c r="AH69" s="221">
        <f>'ADJ DETAIL INPUT'!AJ68</f>
        <v>0</v>
      </c>
      <c r="AI69" s="221">
        <f>'ADJ DETAIL INPUT'!AK68</f>
        <v>0</v>
      </c>
      <c r="AJ69" s="221">
        <f>'ADJ DETAIL INPUT'!AL68</f>
        <v>0</v>
      </c>
      <c r="AK69" s="221">
        <f>'ADJ DETAIL INPUT'!AM68</f>
        <v>0</v>
      </c>
    </row>
    <row r="70" spans="1:37">
      <c r="A70" s="200">
        <v>37</v>
      </c>
      <c r="B70" s="202"/>
      <c r="C70" s="202" t="s">
        <v>61</v>
      </c>
      <c r="D70" s="202"/>
      <c r="E70" s="221">
        <f>'ADJ DETAIL INPUT'!E69</f>
        <v>-145402</v>
      </c>
      <c r="F70" s="221">
        <f>'ADJ DETAIL INPUT'!F69</f>
        <v>0</v>
      </c>
      <c r="G70" s="221">
        <f>'ADJ DETAIL INPUT'!G69</f>
        <v>0</v>
      </c>
      <c r="H70" s="221">
        <f>'ADJ DETAIL INPUT'!H69</f>
        <v>0</v>
      </c>
      <c r="I70" s="221">
        <f>'ADJ DETAIL INPUT'!I69</f>
        <v>433</v>
      </c>
      <c r="J70" s="221">
        <f>'ADJ DETAIL INPUT'!J69</f>
        <v>0</v>
      </c>
      <c r="K70" s="221">
        <f>'ADJ DETAIL INPUT'!K69</f>
        <v>0</v>
      </c>
      <c r="L70" s="221">
        <f>'ADJ DETAIL INPUT'!L69</f>
        <v>0</v>
      </c>
      <c r="M70" s="221">
        <f>'ADJ DETAIL INPUT'!M69</f>
        <v>0</v>
      </c>
      <c r="N70" s="221">
        <f>'ADJ DETAIL INPUT'!N69</f>
        <v>0</v>
      </c>
      <c r="O70" s="221">
        <f>'ADJ DETAIL INPUT'!O69</f>
        <v>0</v>
      </c>
      <c r="P70" s="221">
        <f>'ADJ DETAIL INPUT'!P69</f>
        <v>0</v>
      </c>
      <c r="Q70" s="221">
        <f>'ADJ DETAIL INPUT'!Q69</f>
        <v>0</v>
      </c>
      <c r="R70" s="221">
        <f>'ADJ DETAIL INPUT'!R69</f>
        <v>0</v>
      </c>
      <c r="S70" s="221">
        <f>'ADJ DETAIL INPUT'!S69</f>
        <v>0</v>
      </c>
      <c r="T70" s="221">
        <f>'ADJ DETAIL INPUT'!T69</f>
        <v>0</v>
      </c>
      <c r="U70" s="221">
        <f>'ADJ DETAIL INPUT'!U69</f>
        <v>0</v>
      </c>
      <c r="V70" s="221">
        <f>'ADJ DETAIL INPUT'!V69</f>
        <v>0</v>
      </c>
      <c r="W70" s="221">
        <f>'ADJ DETAIL INPUT'!W69</f>
        <v>0</v>
      </c>
      <c r="X70" s="221">
        <f>'ADJ DETAIL INPUT'!X69</f>
        <v>-3208</v>
      </c>
      <c r="Y70" s="221">
        <f>'ADJ DETAIL INPUT'!AA69</f>
        <v>0</v>
      </c>
      <c r="Z70" s="221">
        <f>'ADJ DETAIL INPUT'!AB69</f>
        <v>0</v>
      </c>
      <c r="AA70" s="221">
        <f>'ADJ DETAIL INPUT'!AC69</f>
        <v>0</v>
      </c>
      <c r="AB70" s="221">
        <f>'ADJ DETAIL INPUT'!AD69</f>
        <v>0</v>
      </c>
      <c r="AC70" s="221">
        <f>'ADJ DETAIL INPUT'!AE69</f>
        <v>0</v>
      </c>
      <c r="AD70" s="221">
        <f>'ADJ DETAIL INPUT'!AF69</f>
        <v>0</v>
      </c>
      <c r="AE70" s="221">
        <f>'ADJ DETAIL INPUT'!AG69</f>
        <v>0</v>
      </c>
      <c r="AF70" s="221">
        <f>'ADJ DETAIL INPUT'!AH69</f>
        <v>0</v>
      </c>
      <c r="AG70" s="221">
        <f>'ADJ DETAIL INPUT'!AI69</f>
        <v>0</v>
      </c>
      <c r="AH70" s="221">
        <f>'ADJ DETAIL INPUT'!AJ69</f>
        <v>0</v>
      </c>
      <c r="AI70" s="221">
        <f>'ADJ DETAIL INPUT'!AK69</f>
        <v>0</v>
      </c>
      <c r="AJ70" s="221">
        <f>'ADJ DETAIL INPUT'!AL69</f>
        <v>0</v>
      </c>
      <c r="AK70" s="221">
        <f>'ADJ DETAIL INPUT'!AM69</f>
        <v>0</v>
      </c>
    </row>
    <row r="71" spans="1:37">
      <c r="A71" s="200">
        <v>38</v>
      </c>
      <c r="B71" s="202"/>
      <c r="C71" s="202" t="s">
        <v>62</v>
      </c>
      <c r="D71" s="202"/>
      <c r="E71" s="222">
        <f>'ADJ DETAIL INPUT'!E70</f>
        <v>-32354</v>
      </c>
      <c r="F71" s="222">
        <f>'ADJ DETAIL INPUT'!F70</f>
        <v>0</v>
      </c>
      <c r="G71" s="222">
        <f>'ADJ DETAIL INPUT'!G70</f>
        <v>0</v>
      </c>
      <c r="H71" s="222">
        <f>'ADJ DETAIL INPUT'!H70</f>
        <v>0</v>
      </c>
      <c r="I71" s="222">
        <f>'ADJ DETAIL INPUT'!I70</f>
        <v>0</v>
      </c>
      <c r="J71" s="222">
        <f>'ADJ DETAIL INPUT'!J70</f>
        <v>0</v>
      </c>
      <c r="K71" s="222">
        <f>'ADJ DETAIL INPUT'!K70</f>
        <v>0</v>
      </c>
      <c r="L71" s="222">
        <f>'ADJ DETAIL INPUT'!L70</f>
        <v>0</v>
      </c>
      <c r="M71" s="222">
        <f>'ADJ DETAIL INPUT'!M70</f>
        <v>0</v>
      </c>
      <c r="N71" s="222">
        <f>'ADJ DETAIL INPUT'!N70</f>
        <v>0</v>
      </c>
      <c r="O71" s="222">
        <f>'ADJ DETAIL INPUT'!O70</f>
        <v>0</v>
      </c>
      <c r="P71" s="222">
        <f>'ADJ DETAIL INPUT'!P70</f>
        <v>0</v>
      </c>
      <c r="Q71" s="222">
        <f>'ADJ DETAIL INPUT'!Q70</f>
        <v>0</v>
      </c>
      <c r="R71" s="222">
        <f>'ADJ DETAIL INPUT'!R70</f>
        <v>0</v>
      </c>
      <c r="S71" s="222">
        <f>'ADJ DETAIL INPUT'!S70</f>
        <v>0</v>
      </c>
      <c r="T71" s="222">
        <f>'ADJ DETAIL INPUT'!T70</f>
        <v>0</v>
      </c>
      <c r="U71" s="222">
        <f>'ADJ DETAIL INPUT'!U70</f>
        <v>0</v>
      </c>
      <c r="V71" s="222">
        <f>'ADJ DETAIL INPUT'!V70</f>
        <v>0</v>
      </c>
      <c r="W71" s="222">
        <f>'ADJ DETAIL INPUT'!W70</f>
        <v>0</v>
      </c>
      <c r="X71" s="222">
        <f>'ADJ DETAIL INPUT'!X70</f>
        <v>-2338</v>
      </c>
      <c r="Y71" s="222">
        <f>'ADJ DETAIL INPUT'!AA70</f>
        <v>0</v>
      </c>
      <c r="Z71" s="222">
        <f>'ADJ DETAIL INPUT'!AB70</f>
        <v>0</v>
      </c>
      <c r="AA71" s="222">
        <f>'ADJ DETAIL INPUT'!AC70</f>
        <v>0</v>
      </c>
      <c r="AB71" s="222">
        <f>'ADJ DETAIL INPUT'!AD70</f>
        <v>0</v>
      </c>
      <c r="AC71" s="222">
        <f>'ADJ DETAIL INPUT'!AE70</f>
        <v>0</v>
      </c>
      <c r="AD71" s="222">
        <f>'ADJ DETAIL INPUT'!AF70</f>
        <v>0</v>
      </c>
      <c r="AE71" s="222">
        <f>'ADJ DETAIL INPUT'!AG70</f>
        <v>0</v>
      </c>
      <c r="AF71" s="222">
        <f>'ADJ DETAIL INPUT'!AH70</f>
        <v>0</v>
      </c>
      <c r="AG71" s="222">
        <f>'ADJ DETAIL INPUT'!AI70</f>
        <v>0</v>
      </c>
      <c r="AH71" s="222">
        <f>'ADJ DETAIL INPUT'!AJ70</f>
        <v>0</v>
      </c>
      <c r="AI71" s="222">
        <f>'ADJ DETAIL INPUT'!AK70</f>
        <v>0</v>
      </c>
      <c r="AJ71" s="222">
        <f>'ADJ DETAIL INPUT'!AL70</f>
        <v>0</v>
      </c>
      <c r="AK71" s="222">
        <f>'ADJ DETAIL INPUT'!AM70</f>
        <v>0</v>
      </c>
    </row>
    <row r="72" spans="1:37">
      <c r="A72" s="200">
        <v>39</v>
      </c>
      <c r="B72" s="202" t="s">
        <v>415</v>
      </c>
      <c r="C72" s="202"/>
      <c r="E72" s="224">
        <f>SUM(E69:E71)</f>
        <v>-188807</v>
      </c>
      <c r="F72" s="224">
        <f t="shared" ref="F72:AF72" si="93">SUM(F69:F71)</f>
        <v>0</v>
      </c>
      <c r="G72" s="224">
        <f t="shared" si="93"/>
        <v>0</v>
      </c>
      <c r="H72" s="224">
        <f t="shared" si="93"/>
        <v>0</v>
      </c>
      <c r="I72" s="224">
        <f t="shared" ref="I72" si="94">SUM(I69:I71)</f>
        <v>433</v>
      </c>
      <c r="J72" s="224">
        <f t="shared" si="93"/>
        <v>0</v>
      </c>
      <c r="K72" s="224">
        <f t="shared" si="93"/>
        <v>0</v>
      </c>
      <c r="L72" s="224">
        <f t="shared" si="93"/>
        <v>0</v>
      </c>
      <c r="M72" s="224">
        <f t="shared" si="93"/>
        <v>0</v>
      </c>
      <c r="N72" s="224">
        <f t="shared" si="93"/>
        <v>0</v>
      </c>
      <c r="O72" s="224">
        <f t="shared" si="93"/>
        <v>0</v>
      </c>
      <c r="P72" s="224">
        <f t="shared" si="93"/>
        <v>0</v>
      </c>
      <c r="Q72" s="224">
        <f t="shared" si="93"/>
        <v>0</v>
      </c>
      <c r="R72" s="224">
        <f t="shared" si="93"/>
        <v>0</v>
      </c>
      <c r="S72" s="224">
        <f t="shared" si="93"/>
        <v>0</v>
      </c>
      <c r="T72" s="224">
        <f t="shared" ref="T72:U72" si="95">SUM(T69:T71)</f>
        <v>0</v>
      </c>
      <c r="U72" s="224">
        <f t="shared" si="95"/>
        <v>0</v>
      </c>
      <c r="V72" s="224">
        <f t="shared" ref="V72" si="96">SUM(V69:V71)</f>
        <v>0</v>
      </c>
      <c r="W72" s="224">
        <f>SUM(W69:W71)</f>
        <v>0</v>
      </c>
      <c r="X72" s="224">
        <f>SUM(X69:X71)</f>
        <v>-5977</v>
      </c>
      <c r="Y72" s="224">
        <f>SUM(Y69:Y71)</f>
        <v>0</v>
      </c>
      <c r="Z72" s="224">
        <f t="shared" ref="Z72" si="97">SUM(Z69:Z71)</f>
        <v>0</v>
      </c>
      <c r="AA72" s="224">
        <f t="shared" si="93"/>
        <v>0</v>
      </c>
      <c r="AB72" s="224">
        <f t="shared" ref="AB72" si="98">SUM(AB69:AB71)</f>
        <v>0</v>
      </c>
      <c r="AC72" s="224">
        <f t="shared" si="93"/>
        <v>0</v>
      </c>
      <c r="AD72" s="224">
        <f t="shared" ref="AD72" si="99">SUM(AD69:AD71)</f>
        <v>0</v>
      </c>
      <c r="AE72" s="224">
        <f t="shared" ref="AE72" si="100">SUM(AE69:AE71)</f>
        <v>0</v>
      </c>
      <c r="AF72" s="224">
        <f t="shared" si="93"/>
        <v>0</v>
      </c>
      <c r="AG72" s="224">
        <f>SUM(AG69:AG71)</f>
        <v>0</v>
      </c>
      <c r="AH72" s="224">
        <f t="shared" ref="AH72:AI72" si="101">SUM(AH69:AH71)</f>
        <v>0</v>
      </c>
      <c r="AI72" s="224">
        <f t="shared" si="101"/>
        <v>0</v>
      </c>
      <c r="AJ72" s="224">
        <f t="shared" ref="AJ72:AK72" si="102">SUM(AJ69:AJ71)</f>
        <v>0</v>
      </c>
      <c r="AK72" s="224">
        <f t="shared" si="102"/>
        <v>0</v>
      </c>
    </row>
    <row r="73" spans="1:37">
      <c r="A73" s="200">
        <v>40</v>
      </c>
      <c r="B73" s="202" t="s">
        <v>173</v>
      </c>
      <c r="C73" s="202"/>
      <c r="D73" s="202"/>
      <c r="E73" s="225">
        <f>E66+E72</f>
        <v>416324</v>
      </c>
      <c r="F73" s="225">
        <f t="shared" ref="F73:AF73" si="103">F66+F72</f>
        <v>0</v>
      </c>
      <c r="G73" s="225">
        <f t="shared" si="103"/>
        <v>0</v>
      </c>
      <c r="H73" s="225">
        <f t="shared" si="103"/>
        <v>0</v>
      </c>
      <c r="I73" s="225">
        <f t="shared" ref="I73" si="104">I66+I72</f>
        <v>-6608</v>
      </c>
      <c r="J73" s="225">
        <f t="shared" si="103"/>
        <v>0</v>
      </c>
      <c r="K73" s="225">
        <f t="shared" si="103"/>
        <v>0</v>
      </c>
      <c r="L73" s="225">
        <f t="shared" si="103"/>
        <v>0</v>
      </c>
      <c r="M73" s="225">
        <f t="shared" si="103"/>
        <v>0</v>
      </c>
      <c r="N73" s="225">
        <f t="shared" si="103"/>
        <v>0</v>
      </c>
      <c r="O73" s="225">
        <f t="shared" si="103"/>
        <v>0</v>
      </c>
      <c r="P73" s="225">
        <f t="shared" si="103"/>
        <v>0</v>
      </c>
      <c r="Q73" s="225">
        <f t="shared" si="103"/>
        <v>0</v>
      </c>
      <c r="R73" s="225">
        <f t="shared" si="103"/>
        <v>0</v>
      </c>
      <c r="S73" s="225">
        <f t="shared" si="103"/>
        <v>0</v>
      </c>
      <c r="T73" s="225">
        <f t="shared" ref="T73:U73" si="105">T66+T72</f>
        <v>0</v>
      </c>
      <c r="U73" s="225">
        <f t="shared" si="105"/>
        <v>0</v>
      </c>
      <c r="V73" s="225">
        <f t="shared" ref="V73" si="106">V66+V72</f>
        <v>0</v>
      </c>
      <c r="W73" s="225">
        <f>W66+W72</f>
        <v>0</v>
      </c>
      <c r="X73" s="225">
        <f>X66+X72</f>
        <v>31967</v>
      </c>
      <c r="Y73" s="225">
        <f>Y66+Y72</f>
        <v>0</v>
      </c>
      <c r="Z73" s="225">
        <f t="shared" ref="Z73" si="107">Z66+Z72</f>
        <v>0</v>
      </c>
      <c r="AA73" s="225">
        <f t="shared" si="103"/>
        <v>0</v>
      </c>
      <c r="AB73" s="225">
        <f t="shared" ref="AB73" si="108">AB66+AB72</f>
        <v>0</v>
      </c>
      <c r="AC73" s="225">
        <f t="shared" si="103"/>
        <v>0</v>
      </c>
      <c r="AD73" s="225">
        <f t="shared" ref="AD73" si="109">AD66+AD72</f>
        <v>0</v>
      </c>
      <c r="AE73" s="225">
        <f t="shared" ref="AE73" si="110">AE66+AE72</f>
        <v>0</v>
      </c>
      <c r="AF73" s="225">
        <f t="shared" si="103"/>
        <v>0</v>
      </c>
      <c r="AG73" s="225">
        <f>AG66+AG72</f>
        <v>0</v>
      </c>
      <c r="AH73" s="225">
        <f t="shared" ref="AH73:AI73" si="111">AH66+AH72</f>
        <v>0</v>
      </c>
      <c r="AI73" s="225">
        <f t="shared" si="111"/>
        <v>0</v>
      </c>
      <c r="AJ73" s="225">
        <f t="shared" ref="AJ73:AK73" si="112">AJ66+AJ72</f>
        <v>0</v>
      </c>
      <c r="AK73" s="225">
        <f t="shared" si="112"/>
        <v>0</v>
      </c>
    </row>
    <row r="74" spans="1:37" s="205" customFormat="1" ht="18.95" customHeight="1">
      <c r="A74" s="203">
        <v>41</v>
      </c>
      <c r="B74" s="204" t="s">
        <v>205</v>
      </c>
      <c r="C74" s="204"/>
      <c r="D74" s="204"/>
      <c r="E74" s="222">
        <f>'ADJ DETAIL INPUT'!E73</f>
        <v>-88908</v>
      </c>
      <c r="F74" s="222">
        <f>'ADJ DETAIL INPUT'!F73</f>
        <v>-1247</v>
      </c>
      <c r="G74" s="222">
        <f>'ADJ DETAIL INPUT'!G73</f>
        <v>0</v>
      </c>
      <c r="H74" s="222">
        <f>'ADJ DETAIL INPUT'!H73</f>
        <v>0</v>
      </c>
      <c r="I74" s="222">
        <f>'ADJ DETAIL INPUT'!I73</f>
        <v>570</v>
      </c>
      <c r="J74" s="222">
        <f>'ADJ DETAIL INPUT'!J73</f>
        <v>0</v>
      </c>
      <c r="K74" s="222">
        <f>'ADJ DETAIL INPUT'!K73</f>
        <v>0</v>
      </c>
      <c r="L74" s="222">
        <f>'ADJ DETAIL INPUT'!L73</f>
        <v>0</v>
      </c>
      <c r="M74" s="222">
        <f>'ADJ DETAIL INPUT'!M73</f>
        <v>0</v>
      </c>
      <c r="N74" s="222">
        <f>'ADJ DETAIL INPUT'!N73</f>
        <v>0</v>
      </c>
      <c r="O74" s="222">
        <f>'ADJ DETAIL INPUT'!O73</f>
        <v>0</v>
      </c>
      <c r="P74" s="222">
        <f>'ADJ DETAIL INPUT'!P73</f>
        <v>0</v>
      </c>
      <c r="Q74" s="222">
        <f>'ADJ DETAIL INPUT'!Q73</f>
        <v>0</v>
      </c>
      <c r="R74" s="222">
        <f>'ADJ DETAIL INPUT'!R73</f>
        <v>0</v>
      </c>
      <c r="S74" s="222">
        <f>'ADJ DETAIL INPUT'!S73</f>
        <v>0</v>
      </c>
      <c r="T74" s="222">
        <f>'ADJ DETAIL INPUT'!T73</f>
        <v>0</v>
      </c>
      <c r="U74" s="222">
        <f>'ADJ DETAIL INPUT'!U73</f>
        <v>0</v>
      </c>
      <c r="V74" s="222">
        <f>'ADJ DETAIL INPUT'!V73</f>
        <v>0</v>
      </c>
      <c r="W74" s="222">
        <f>'ADJ DETAIL INPUT'!W73</f>
        <v>0</v>
      </c>
      <c r="X74" s="222">
        <f>'ADJ DETAIL INPUT'!X73</f>
        <v>304</v>
      </c>
      <c r="Y74" s="222">
        <f>'ADJ DETAIL INPUT'!AA73</f>
        <v>0</v>
      </c>
      <c r="Z74" s="222">
        <f>'ADJ DETAIL INPUT'!AB73</f>
        <v>0</v>
      </c>
      <c r="AA74" s="222">
        <f>'ADJ DETAIL INPUT'!AC73</f>
        <v>0</v>
      </c>
      <c r="AB74" s="222">
        <f>'ADJ DETAIL INPUT'!AD73</f>
        <v>0</v>
      </c>
      <c r="AC74" s="222">
        <f>'ADJ DETAIL INPUT'!AE73</f>
        <v>0</v>
      </c>
      <c r="AD74" s="222">
        <f>'ADJ DETAIL INPUT'!AF73</f>
        <v>0</v>
      </c>
      <c r="AE74" s="222">
        <f>'ADJ DETAIL INPUT'!AG73</f>
        <v>0</v>
      </c>
      <c r="AF74" s="222">
        <f>'ADJ DETAIL INPUT'!AH73</f>
        <v>0</v>
      </c>
      <c r="AG74" s="222">
        <f>'ADJ DETAIL INPUT'!AI73</f>
        <v>0</v>
      </c>
      <c r="AH74" s="222">
        <f>'ADJ DETAIL INPUT'!AJ73</f>
        <v>0</v>
      </c>
      <c r="AI74" s="222">
        <f>'ADJ DETAIL INPUT'!AK73</f>
        <v>0</v>
      </c>
      <c r="AJ74" s="222">
        <f>'ADJ DETAIL INPUT'!AL73</f>
        <v>0</v>
      </c>
      <c r="AK74" s="222">
        <f>'ADJ DETAIL INPUT'!AM73</f>
        <v>0</v>
      </c>
    </row>
    <row r="75" spans="1:37" s="205" customFormat="1" ht="18.95" customHeight="1">
      <c r="A75" s="203">
        <v>42</v>
      </c>
      <c r="B75" s="204" t="s">
        <v>203</v>
      </c>
      <c r="C75" s="204"/>
      <c r="D75" s="204"/>
      <c r="E75" s="225">
        <f>E73+E74</f>
        <v>327416</v>
      </c>
      <c r="F75" s="225">
        <f t="shared" ref="F75:AF75" si="113">F73+F74</f>
        <v>-1247</v>
      </c>
      <c r="G75" s="225">
        <f t="shared" si="113"/>
        <v>0</v>
      </c>
      <c r="H75" s="225">
        <f t="shared" si="113"/>
        <v>0</v>
      </c>
      <c r="I75" s="225">
        <f t="shared" ref="I75" si="114">I73+I74</f>
        <v>-6038</v>
      </c>
      <c r="J75" s="225">
        <f t="shared" si="113"/>
        <v>0</v>
      </c>
      <c r="K75" s="225">
        <f t="shared" si="113"/>
        <v>0</v>
      </c>
      <c r="L75" s="225">
        <f t="shared" si="113"/>
        <v>0</v>
      </c>
      <c r="M75" s="225">
        <f t="shared" si="113"/>
        <v>0</v>
      </c>
      <c r="N75" s="225">
        <f t="shared" si="113"/>
        <v>0</v>
      </c>
      <c r="O75" s="225">
        <f t="shared" si="113"/>
        <v>0</v>
      </c>
      <c r="P75" s="225">
        <f t="shared" si="113"/>
        <v>0</v>
      </c>
      <c r="Q75" s="225">
        <f t="shared" si="113"/>
        <v>0</v>
      </c>
      <c r="R75" s="225">
        <f t="shared" si="113"/>
        <v>0</v>
      </c>
      <c r="S75" s="225">
        <f t="shared" si="113"/>
        <v>0</v>
      </c>
      <c r="T75" s="225">
        <f t="shared" ref="T75:U75" si="115">T73+T74</f>
        <v>0</v>
      </c>
      <c r="U75" s="225">
        <f t="shared" si="115"/>
        <v>0</v>
      </c>
      <c r="V75" s="225">
        <f t="shared" ref="V75" si="116">V73+V74</f>
        <v>0</v>
      </c>
      <c r="W75" s="225">
        <f>W73+W74</f>
        <v>0</v>
      </c>
      <c r="X75" s="225">
        <f>X73+X74</f>
        <v>32271</v>
      </c>
      <c r="Y75" s="225">
        <f>Y73+Y74</f>
        <v>0</v>
      </c>
      <c r="Z75" s="225">
        <f t="shared" ref="Z75" si="117">Z73+Z74</f>
        <v>0</v>
      </c>
      <c r="AA75" s="225">
        <f t="shared" si="113"/>
        <v>0</v>
      </c>
      <c r="AB75" s="225">
        <f t="shared" ref="AB75" si="118">AB73+AB74</f>
        <v>0</v>
      </c>
      <c r="AC75" s="225">
        <f t="shared" si="113"/>
        <v>0</v>
      </c>
      <c r="AD75" s="225">
        <f t="shared" ref="AD75" si="119">AD73+AD74</f>
        <v>0</v>
      </c>
      <c r="AE75" s="225">
        <f t="shared" ref="AE75" si="120">AE73+AE74</f>
        <v>0</v>
      </c>
      <c r="AF75" s="225">
        <f t="shared" si="113"/>
        <v>0</v>
      </c>
      <c r="AG75" s="225">
        <f>AG73+AG74</f>
        <v>0</v>
      </c>
      <c r="AH75" s="225">
        <f t="shared" ref="AH75:AI75" si="121">AH73+AH74</f>
        <v>0</v>
      </c>
      <c r="AI75" s="225">
        <f t="shared" si="121"/>
        <v>0</v>
      </c>
      <c r="AJ75" s="225">
        <f t="shared" ref="AJ75:AK75" si="122">AJ73+AJ74</f>
        <v>0</v>
      </c>
      <c r="AK75" s="225">
        <f t="shared" si="122"/>
        <v>0</v>
      </c>
    </row>
    <row r="76" spans="1:37">
      <c r="A76" s="200">
        <v>43</v>
      </c>
      <c r="B76" s="202" t="s">
        <v>66</v>
      </c>
      <c r="C76" s="202"/>
      <c r="D76" s="202"/>
      <c r="E76" s="221">
        <f>'ADJ DETAIL INPUT'!E75</f>
        <v>8355</v>
      </c>
      <c r="F76" s="221">
        <f>'ADJ DETAIL INPUT'!F75</f>
        <v>0</v>
      </c>
      <c r="G76" s="221">
        <f>'ADJ DETAIL INPUT'!G75</f>
        <v>0</v>
      </c>
      <c r="H76" s="221">
        <f>'ADJ DETAIL INPUT'!H75</f>
        <v>0</v>
      </c>
      <c r="I76" s="221">
        <f>'ADJ DETAIL INPUT'!I75</f>
        <v>0</v>
      </c>
      <c r="J76" s="221">
        <f>'ADJ DETAIL INPUT'!J75</f>
        <v>0</v>
      </c>
      <c r="K76" s="221">
        <f>'ADJ DETAIL INPUT'!K75</f>
        <v>0</v>
      </c>
      <c r="L76" s="221">
        <f>'ADJ DETAIL INPUT'!L75</f>
        <v>0</v>
      </c>
      <c r="M76" s="221">
        <f>'ADJ DETAIL INPUT'!M75</f>
        <v>0</v>
      </c>
      <c r="N76" s="221">
        <f>'ADJ DETAIL INPUT'!N75</f>
        <v>0</v>
      </c>
      <c r="O76" s="221">
        <f>'ADJ DETAIL INPUT'!O75</f>
        <v>0</v>
      </c>
      <c r="P76" s="221">
        <f>'ADJ DETAIL INPUT'!P75</f>
        <v>0</v>
      </c>
      <c r="Q76" s="221">
        <f>'ADJ DETAIL INPUT'!Q75</f>
        <v>0</v>
      </c>
      <c r="R76" s="221">
        <f>'ADJ DETAIL INPUT'!R75</f>
        <v>0</v>
      </c>
      <c r="S76" s="221">
        <f>'ADJ DETAIL INPUT'!S75</f>
        <v>0</v>
      </c>
      <c r="T76" s="221">
        <f>'ADJ DETAIL INPUT'!T75</f>
        <v>0</v>
      </c>
      <c r="U76" s="221">
        <f>'ADJ DETAIL INPUT'!U75</f>
        <v>0</v>
      </c>
      <c r="V76" s="221">
        <f>'ADJ DETAIL INPUT'!V75</f>
        <v>0</v>
      </c>
      <c r="W76" s="221">
        <f>'ADJ DETAIL INPUT'!W75</f>
        <v>0</v>
      </c>
      <c r="X76" s="221">
        <f>'ADJ DETAIL INPUT'!X75</f>
        <v>0</v>
      </c>
      <c r="Y76" s="221">
        <f>'ADJ DETAIL INPUT'!AA75</f>
        <v>0</v>
      </c>
      <c r="Z76" s="221">
        <f>'ADJ DETAIL INPUT'!AB75</f>
        <v>0</v>
      </c>
      <c r="AA76" s="221">
        <f>'ADJ DETAIL INPUT'!AC75</f>
        <v>0</v>
      </c>
      <c r="AB76" s="221">
        <f>'ADJ DETAIL INPUT'!AD75</f>
        <v>0</v>
      </c>
      <c r="AC76" s="221">
        <f>'ADJ DETAIL INPUT'!AE75</f>
        <v>0</v>
      </c>
      <c r="AD76" s="221">
        <f>'ADJ DETAIL INPUT'!AF75</f>
        <v>0</v>
      </c>
      <c r="AE76" s="221">
        <f>'ADJ DETAIL INPUT'!AG75</f>
        <v>0</v>
      </c>
      <c r="AF76" s="221">
        <f>'ADJ DETAIL INPUT'!AH75</f>
        <v>0</v>
      </c>
      <c r="AG76" s="221">
        <f>'ADJ DETAIL INPUT'!AI75</f>
        <v>0</v>
      </c>
      <c r="AH76" s="221">
        <f>'ADJ DETAIL INPUT'!AJ75</f>
        <v>0</v>
      </c>
      <c r="AI76" s="221">
        <f>'ADJ DETAIL INPUT'!AK75</f>
        <v>0</v>
      </c>
      <c r="AJ76" s="221">
        <f>'ADJ DETAIL INPUT'!AL75</f>
        <v>0</v>
      </c>
      <c r="AK76" s="221">
        <f>'ADJ DETAIL INPUT'!AM75</f>
        <v>0</v>
      </c>
    </row>
    <row r="77" spans="1:37" s="205" customFormat="1">
      <c r="A77" s="203">
        <v>44</v>
      </c>
      <c r="B77" s="204" t="s">
        <v>67</v>
      </c>
      <c r="C77" s="204"/>
      <c r="D77" s="204"/>
      <c r="E77" s="221">
        <f>'ADJ DETAIL INPUT'!E76</f>
        <v>0</v>
      </c>
      <c r="F77" s="221">
        <f>'ADJ DETAIL INPUT'!F76</f>
        <v>0</v>
      </c>
      <c r="G77" s="221">
        <f>'ADJ DETAIL INPUT'!G76</f>
        <v>0</v>
      </c>
      <c r="H77" s="221">
        <f>'ADJ DETAIL INPUT'!H76</f>
        <v>0</v>
      </c>
      <c r="I77" s="221">
        <f>'ADJ DETAIL INPUT'!I76</f>
        <v>0</v>
      </c>
      <c r="J77" s="221">
        <f>'ADJ DETAIL INPUT'!J76</f>
        <v>0</v>
      </c>
      <c r="K77" s="221">
        <f>'ADJ DETAIL INPUT'!K76</f>
        <v>0</v>
      </c>
      <c r="L77" s="221">
        <f>'ADJ DETAIL INPUT'!L76</f>
        <v>0</v>
      </c>
      <c r="M77" s="221">
        <f>'ADJ DETAIL INPUT'!M76</f>
        <v>0</v>
      </c>
      <c r="N77" s="221">
        <f>'ADJ DETAIL INPUT'!N76</f>
        <v>0</v>
      </c>
      <c r="O77" s="221">
        <f>'ADJ DETAIL INPUT'!O76</f>
        <v>0</v>
      </c>
      <c r="P77" s="221">
        <f>'ADJ DETAIL INPUT'!P76</f>
        <v>0</v>
      </c>
      <c r="Q77" s="221">
        <f>'ADJ DETAIL INPUT'!Q76</f>
        <v>0</v>
      </c>
      <c r="R77" s="221">
        <f>'ADJ DETAIL INPUT'!R76</f>
        <v>0</v>
      </c>
      <c r="S77" s="221">
        <f>'ADJ DETAIL INPUT'!S76</f>
        <v>0</v>
      </c>
      <c r="T77" s="221">
        <f>'ADJ DETAIL INPUT'!T76</f>
        <v>0</v>
      </c>
      <c r="U77" s="221">
        <f>'ADJ DETAIL INPUT'!U76</f>
        <v>0</v>
      </c>
      <c r="V77" s="221">
        <f>'ADJ DETAIL INPUT'!V76</f>
        <v>0</v>
      </c>
      <c r="W77" s="221">
        <f>'ADJ DETAIL INPUT'!W76</f>
        <v>0</v>
      </c>
      <c r="X77" s="221">
        <f>'ADJ DETAIL INPUT'!X76</f>
        <v>0</v>
      </c>
      <c r="Y77" s="221">
        <f>'ADJ DETAIL INPUT'!AA76</f>
        <v>0</v>
      </c>
      <c r="Z77" s="221">
        <f>'ADJ DETAIL INPUT'!AB76</f>
        <v>0</v>
      </c>
      <c r="AA77" s="221">
        <f>'ADJ DETAIL INPUT'!AC76</f>
        <v>0</v>
      </c>
      <c r="AB77" s="221">
        <f>'ADJ DETAIL INPUT'!AD76</f>
        <v>0</v>
      </c>
      <c r="AC77" s="221">
        <f>'ADJ DETAIL INPUT'!AE76</f>
        <v>0</v>
      </c>
      <c r="AD77" s="221">
        <f>'ADJ DETAIL INPUT'!AF76</f>
        <v>0</v>
      </c>
      <c r="AE77" s="221">
        <f>'ADJ DETAIL INPUT'!AG76</f>
        <v>0</v>
      </c>
      <c r="AF77" s="221">
        <f>'ADJ DETAIL INPUT'!AH76</f>
        <v>0</v>
      </c>
      <c r="AG77" s="221">
        <f>'ADJ DETAIL INPUT'!AI76</f>
        <v>0</v>
      </c>
      <c r="AH77" s="221">
        <f>'ADJ DETAIL INPUT'!AJ76</f>
        <v>0</v>
      </c>
      <c r="AI77" s="221">
        <f>'ADJ DETAIL INPUT'!AK76</f>
        <v>0</v>
      </c>
      <c r="AJ77" s="221">
        <f>'ADJ DETAIL INPUT'!AL76</f>
        <v>0</v>
      </c>
      <c r="AK77" s="221">
        <f>'ADJ DETAIL INPUT'!AM76</f>
        <v>0</v>
      </c>
    </row>
    <row r="78" spans="1:37" s="205" customFormat="1">
      <c r="A78" s="203">
        <v>45</v>
      </c>
      <c r="B78" s="204" t="s">
        <v>418</v>
      </c>
      <c r="C78" s="204"/>
      <c r="D78" s="204"/>
      <c r="E78" s="221">
        <f>'ADJ DETAIL INPUT'!E77</f>
        <v>5338</v>
      </c>
      <c r="F78" s="221">
        <f>'ADJ DETAIL INPUT'!F77</f>
        <v>0</v>
      </c>
      <c r="G78" s="221">
        <f>'ADJ DETAIL INPUT'!G77</f>
        <v>-7</v>
      </c>
      <c r="H78" s="221">
        <f>'ADJ DETAIL INPUT'!H77</f>
        <v>0</v>
      </c>
      <c r="I78" s="221">
        <f>'ADJ DETAIL INPUT'!I77</f>
        <v>0</v>
      </c>
      <c r="J78" s="221">
        <f>'ADJ DETAIL INPUT'!J77</f>
        <v>0</v>
      </c>
      <c r="K78" s="221">
        <f>'ADJ DETAIL INPUT'!K77</f>
        <v>0</v>
      </c>
      <c r="L78" s="221">
        <f>'ADJ DETAIL INPUT'!L77</f>
        <v>0</v>
      </c>
      <c r="M78" s="221">
        <f>'ADJ DETAIL INPUT'!M77</f>
        <v>0</v>
      </c>
      <c r="N78" s="221">
        <f>'ADJ DETAIL INPUT'!N77</f>
        <v>0</v>
      </c>
      <c r="O78" s="221">
        <f>'ADJ DETAIL INPUT'!O77</f>
        <v>0</v>
      </c>
      <c r="P78" s="221">
        <f>'ADJ DETAIL INPUT'!P77</f>
        <v>0</v>
      </c>
      <c r="Q78" s="221">
        <f>'ADJ DETAIL INPUT'!Q77</f>
        <v>0</v>
      </c>
      <c r="R78" s="221">
        <f>'ADJ DETAIL INPUT'!R77</f>
        <v>0</v>
      </c>
      <c r="S78" s="221">
        <f>'ADJ DETAIL INPUT'!S77</f>
        <v>0</v>
      </c>
      <c r="T78" s="221">
        <f>'ADJ DETAIL INPUT'!T77</f>
        <v>0</v>
      </c>
      <c r="U78" s="221">
        <f>'ADJ DETAIL INPUT'!U77</f>
        <v>0</v>
      </c>
      <c r="V78" s="221">
        <f>'ADJ DETAIL INPUT'!V77</f>
        <v>0</v>
      </c>
      <c r="W78" s="221">
        <f>'ADJ DETAIL INPUT'!W77</f>
        <v>0</v>
      </c>
      <c r="X78" s="221">
        <f>'ADJ DETAIL INPUT'!X77</f>
        <v>0</v>
      </c>
      <c r="Y78" s="221">
        <f>'ADJ DETAIL INPUT'!AA77</f>
        <v>0</v>
      </c>
      <c r="Z78" s="221">
        <f>'ADJ DETAIL INPUT'!AB77</f>
        <v>95</v>
      </c>
      <c r="AA78" s="221">
        <f>'ADJ DETAIL INPUT'!AC77</f>
        <v>0</v>
      </c>
      <c r="AB78" s="221">
        <f>'ADJ DETAIL INPUT'!AD77</f>
        <v>0</v>
      </c>
      <c r="AC78" s="221">
        <f>'ADJ DETAIL INPUT'!AE77</f>
        <v>0</v>
      </c>
      <c r="AD78" s="221">
        <f>'ADJ DETAIL INPUT'!AF77</f>
        <v>0</v>
      </c>
      <c r="AE78" s="221">
        <f>'ADJ DETAIL INPUT'!AG77</f>
        <v>0</v>
      </c>
      <c r="AF78" s="221">
        <f>'ADJ DETAIL INPUT'!AH77</f>
        <v>0</v>
      </c>
      <c r="AG78" s="221">
        <f>'ADJ DETAIL INPUT'!AI77</f>
        <v>0</v>
      </c>
      <c r="AH78" s="221">
        <f>'ADJ DETAIL INPUT'!AJ77</f>
        <v>0</v>
      </c>
      <c r="AI78" s="221">
        <f>'ADJ DETAIL INPUT'!AK77</f>
        <v>0</v>
      </c>
      <c r="AJ78" s="221">
        <f>'ADJ DETAIL INPUT'!AL77</f>
        <v>0</v>
      </c>
      <c r="AK78" s="221">
        <f>'ADJ DETAIL INPUT'!AM77</f>
        <v>0</v>
      </c>
    </row>
    <row r="79" spans="1:37">
      <c r="A79" s="200">
        <v>46</v>
      </c>
      <c r="B79" s="202" t="s">
        <v>174</v>
      </c>
      <c r="C79" s="202"/>
      <c r="D79" s="202"/>
      <c r="E79" s="222">
        <f>'ADJ DETAIL INPUT'!E78</f>
        <v>7549</v>
      </c>
      <c r="F79" s="222">
        <f>'ADJ DETAIL INPUT'!F78</f>
        <v>0</v>
      </c>
      <c r="G79" s="222">
        <f>'ADJ DETAIL INPUT'!G78</f>
        <v>0</v>
      </c>
      <c r="H79" s="222">
        <f>'ADJ DETAIL INPUT'!H78</f>
        <v>0</v>
      </c>
      <c r="I79" s="222">
        <f>'ADJ DETAIL INPUT'!I78</f>
        <v>0</v>
      </c>
      <c r="J79" s="222">
        <f>'ADJ DETAIL INPUT'!J78</f>
        <v>0</v>
      </c>
      <c r="K79" s="222">
        <f>'ADJ DETAIL INPUT'!K78</f>
        <v>0</v>
      </c>
      <c r="L79" s="222">
        <f>'ADJ DETAIL INPUT'!L78</f>
        <v>0</v>
      </c>
      <c r="M79" s="222">
        <f>'ADJ DETAIL INPUT'!M78</f>
        <v>0</v>
      </c>
      <c r="N79" s="222">
        <f>'ADJ DETAIL INPUT'!N78</f>
        <v>0</v>
      </c>
      <c r="O79" s="222">
        <f>'ADJ DETAIL INPUT'!O78</f>
        <v>0</v>
      </c>
      <c r="P79" s="222">
        <f>'ADJ DETAIL INPUT'!P78</f>
        <v>0</v>
      </c>
      <c r="Q79" s="222">
        <f>'ADJ DETAIL INPUT'!Q78</f>
        <v>0</v>
      </c>
      <c r="R79" s="222">
        <f>'ADJ DETAIL INPUT'!R78</f>
        <v>0</v>
      </c>
      <c r="S79" s="222">
        <f>'ADJ DETAIL INPUT'!S78</f>
        <v>0</v>
      </c>
      <c r="T79" s="222">
        <f>'ADJ DETAIL INPUT'!T78</f>
        <v>0</v>
      </c>
      <c r="U79" s="222">
        <f>'ADJ DETAIL INPUT'!U78</f>
        <v>0</v>
      </c>
      <c r="V79" s="222">
        <f>'ADJ DETAIL INPUT'!V78</f>
        <v>0</v>
      </c>
      <c r="W79" s="222">
        <f>'ADJ DETAIL INPUT'!W78</f>
        <v>0</v>
      </c>
      <c r="X79" s="222">
        <f>'ADJ DETAIL INPUT'!X78</f>
        <v>0</v>
      </c>
      <c r="Y79" s="222">
        <f>'ADJ DETAIL INPUT'!AA78</f>
        <v>0</v>
      </c>
      <c r="Z79" s="222">
        <f>'ADJ DETAIL INPUT'!AB78</f>
        <v>0</v>
      </c>
      <c r="AA79" s="222">
        <f>'ADJ DETAIL INPUT'!AC78</f>
        <v>0</v>
      </c>
      <c r="AB79" s="222">
        <f>'ADJ DETAIL INPUT'!AD78</f>
        <v>0</v>
      </c>
      <c r="AC79" s="222">
        <f>'ADJ DETAIL INPUT'!AE78</f>
        <v>0</v>
      </c>
      <c r="AD79" s="222">
        <f>'ADJ DETAIL INPUT'!AF78</f>
        <v>0</v>
      </c>
      <c r="AE79" s="222">
        <f>'ADJ DETAIL INPUT'!AG78</f>
        <v>0</v>
      </c>
      <c r="AF79" s="222">
        <f>'ADJ DETAIL INPUT'!AH78</f>
        <v>0</v>
      </c>
      <c r="AG79" s="222">
        <f>'ADJ DETAIL INPUT'!AI78</f>
        <v>0</v>
      </c>
      <c r="AH79" s="222">
        <f>'ADJ DETAIL INPUT'!AJ78</f>
        <v>0</v>
      </c>
      <c r="AI79" s="222">
        <f>'ADJ DETAIL INPUT'!AK78</f>
        <v>0</v>
      </c>
      <c r="AJ79" s="222">
        <f>'ADJ DETAIL INPUT'!AL78</f>
        <v>0</v>
      </c>
      <c r="AK79" s="222">
        <f>'ADJ DETAIL INPUT'!AM78</f>
        <v>0</v>
      </c>
    </row>
    <row r="81" spans="1:37"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</row>
    <row r="82" spans="1:37" s="343" customFormat="1" ht="12.75" thickBot="1">
      <c r="A82" s="182">
        <v>47</v>
      </c>
      <c r="B82" s="343" t="s">
        <v>68</v>
      </c>
      <c r="E82" s="345">
        <f>E75+E76+E77+E79+E78</f>
        <v>348658</v>
      </c>
      <c r="F82" s="345">
        <f t="shared" ref="F82:AF82" si="123">F75+F76+F77+F79+F78</f>
        <v>-1247</v>
      </c>
      <c r="G82" s="345">
        <f t="shared" si="123"/>
        <v>-7</v>
      </c>
      <c r="H82" s="345">
        <f t="shared" si="123"/>
        <v>0</v>
      </c>
      <c r="I82" s="345">
        <f t="shared" ref="I82" si="124">I75+I76+I77+I79+I78</f>
        <v>-6038</v>
      </c>
      <c r="J82" s="345">
        <f t="shared" si="123"/>
        <v>0</v>
      </c>
      <c r="K82" s="345">
        <f t="shared" si="123"/>
        <v>0</v>
      </c>
      <c r="L82" s="345">
        <f t="shared" si="123"/>
        <v>0</v>
      </c>
      <c r="M82" s="345">
        <f t="shared" si="123"/>
        <v>0</v>
      </c>
      <c r="N82" s="345">
        <f t="shared" si="123"/>
        <v>0</v>
      </c>
      <c r="O82" s="345">
        <f t="shared" si="123"/>
        <v>0</v>
      </c>
      <c r="P82" s="345">
        <f t="shared" si="123"/>
        <v>0</v>
      </c>
      <c r="Q82" s="345">
        <f t="shared" si="123"/>
        <v>0</v>
      </c>
      <c r="R82" s="345">
        <f t="shared" si="123"/>
        <v>0</v>
      </c>
      <c r="S82" s="345">
        <f t="shared" si="123"/>
        <v>0</v>
      </c>
      <c r="T82" s="345">
        <f t="shared" ref="T82:U82" si="125">T75+T76+T77+T79+T78</f>
        <v>0</v>
      </c>
      <c r="U82" s="345">
        <f t="shared" si="125"/>
        <v>0</v>
      </c>
      <c r="V82" s="345">
        <f t="shared" ref="V82" si="126">V75+V76+V77+V79+V78</f>
        <v>0</v>
      </c>
      <c r="W82" s="345">
        <f>W75+W76+W77+W79+W78</f>
        <v>0</v>
      </c>
      <c r="X82" s="345">
        <f>X75+X76+X77+X79+X78</f>
        <v>32271</v>
      </c>
      <c r="Y82" s="345">
        <f>Y75+Y76+Y77+Y79+Y78</f>
        <v>0</v>
      </c>
      <c r="Z82" s="345">
        <f t="shared" ref="Z82" si="127">Z75+Z76+Z77+Z79+Z78</f>
        <v>95</v>
      </c>
      <c r="AA82" s="345">
        <f t="shared" si="123"/>
        <v>0</v>
      </c>
      <c r="AB82" s="345">
        <f t="shared" ref="AB82" si="128">AB75+AB76+AB77+AB79+AB78</f>
        <v>0</v>
      </c>
      <c r="AC82" s="345">
        <f t="shared" si="123"/>
        <v>0</v>
      </c>
      <c r="AD82" s="345">
        <f t="shared" ref="AD82" si="129">AD75+AD76+AD77+AD79+AD78</f>
        <v>0</v>
      </c>
      <c r="AE82" s="345">
        <f t="shared" ref="AE82" si="130">AE75+AE76+AE77+AE79+AE78</f>
        <v>0</v>
      </c>
      <c r="AF82" s="345">
        <f t="shared" si="123"/>
        <v>0</v>
      </c>
      <c r="AG82" s="345">
        <f>AG75+AG76+AG77+AG79+AG78</f>
        <v>0</v>
      </c>
      <c r="AH82" s="345">
        <f t="shared" ref="AH82:AI82" si="131">AH75+AH76+AH77+AH79+AH78</f>
        <v>0</v>
      </c>
      <c r="AI82" s="345">
        <f t="shared" si="131"/>
        <v>0</v>
      </c>
      <c r="AJ82" s="345">
        <f t="shared" ref="AJ82:AK82" si="132">AJ75+AJ76+AJ77+AJ79+AJ78</f>
        <v>0</v>
      </c>
      <c r="AK82" s="345">
        <f t="shared" si="132"/>
        <v>0</v>
      </c>
    </row>
    <row r="83" spans="1:37" ht="18" customHeight="1" thickTop="1">
      <c r="E83" s="30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</row>
    <row r="84" spans="1:37"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</row>
    <row r="85" spans="1:37"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</row>
    <row r="86" spans="1:37" s="207" customFormat="1">
      <c r="A86" s="206"/>
      <c r="D86" s="208"/>
      <c r="E86" s="351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</row>
    <row r="87" spans="1:37" s="207" customFormat="1">
      <c r="A87" s="210"/>
      <c r="D87" s="208"/>
      <c r="E87" s="350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</row>
    <row r="88" spans="1:37" s="207" customFormat="1">
      <c r="A88" s="210"/>
      <c r="D88" s="208"/>
      <c r="E88" s="226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</row>
    <row r="89" spans="1:37" s="207" customFormat="1">
      <c r="A89" s="210"/>
      <c r="D89" s="208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</row>
    <row r="90" spans="1:37" s="207" customFormat="1">
      <c r="A90" s="210"/>
      <c r="D90" s="208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</row>
    <row r="91" spans="1:37" s="207" customFormat="1">
      <c r="A91" s="210"/>
      <c r="D91" s="208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</row>
    <row r="92" spans="1:37" s="207" customFormat="1">
      <c r="A92" s="206"/>
      <c r="D92" s="208"/>
      <c r="E92" s="209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</row>
    <row r="93" spans="1:37" s="207" customFormat="1">
      <c r="A93" s="210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</row>
    <row r="94" spans="1:37" s="207" customFormat="1">
      <c r="A94" s="210"/>
      <c r="D94" s="208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</row>
    <row r="95" spans="1:37" s="207" customFormat="1">
      <c r="A95" s="210"/>
      <c r="D95" s="208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</row>
    <row r="96" spans="1:37" s="207" customFormat="1">
      <c r="A96" s="210"/>
      <c r="D96" s="211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</row>
    <row r="97" spans="1:37" s="207" customFormat="1">
      <c r="A97" s="210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</row>
    <row r="98" spans="1:37" s="207" customFormat="1">
      <c r="A98" s="210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2019-10-07T07:00:00+00:00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5E7A258-E8AC-4136-AAF7-E269A404CC84}"/>
</file>

<file path=customXml/itemProps2.xml><?xml version="1.0" encoding="utf-8"?>
<ds:datastoreItem xmlns:ds="http://schemas.openxmlformats.org/officeDocument/2006/customXml" ds:itemID="{2B51E0A9-0C96-4B17-9637-B6D899E1F235}"/>
</file>

<file path=customXml/itemProps3.xml><?xml version="1.0" encoding="utf-8"?>
<ds:datastoreItem xmlns:ds="http://schemas.openxmlformats.org/officeDocument/2006/customXml" ds:itemID="{648E7E69-4669-472F-9372-372A9B798071}"/>
</file>

<file path=customXml/itemProps4.xml><?xml version="1.0" encoding="utf-8"?>
<ds:datastoreItem xmlns:ds="http://schemas.openxmlformats.org/officeDocument/2006/customXml" ds:itemID="{2864F9D4-1A22-4A87-BDC8-7C2B4E1CF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</vt:lpstr>
      <vt:lpstr>RR SUMMARY</vt:lpstr>
      <vt:lpstr>CF</vt:lpstr>
      <vt:lpstr>ADJ DETAIL INPUT</vt:lpstr>
      <vt:lpstr>ADJ SUMMARY</vt:lpstr>
      <vt:lpstr>DEBT CALC</vt:lpstr>
      <vt:lpstr>ROO INPUT</vt:lpstr>
      <vt:lpstr>LEAD SHEETS-DO NOT ENTER</vt:lpstr>
      <vt:lpstr>Recap Summary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'PROP0SED RATES'!Print_Area</vt:lpstr>
      <vt:lpstr>'Recap Summary'!Print_Area</vt:lpstr>
      <vt:lpstr>'ROO INPUT'!Print_Area</vt:lpstr>
      <vt:lpstr>'RR SUMMARY'!Print_Area</vt:lpstr>
      <vt:lpstr>'Recap Summary'!Print_for_CBReport</vt:lpstr>
      <vt:lpstr>'Recap Summary'!Print_for_Checking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2019-09-24T00:22:59Z</cp:lastPrinted>
  <dcterms:created xsi:type="dcterms:W3CDTF">1997-05-15T21:41:44Z</dcterms:created>
  <dcterms:modified xsi:type="dcterms:W3CDTF">2019-09-28T23:56:54Z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