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Washington\Crane Workpapers\"/>
    </mc:Choice>
  </mc:AlternateContent>
  <xr:revisionPtr revIDLastSave="0" documentId="13_ncr:1_{283E91AC-2E1A-4EDD-9C84-DB66C5772DFF}" xr6:coauthVersionLast="44" xr6:coauthVersionMax="44" xr10:uidLastSave="{00000000-0000-0000-0000-000000000000}"/>
  <bookViews>
    <workbookView xWindow="-120" yWindow="-120" windowWidth="20730" windowHeight="11160" tabRatio="757" activeTab="1" xr2:uid="{00000000-000D-0000-FFFF-FFFF00000000}"/>
  </bookViews>
  <sheets>
    <sheet name="IA-1" sheetId="52" r:id="rId1"/>
    <sheet name="IA-2" sheetId="44" r:id="rId2"/>
    <sheet name="Prop worksheet for calndr yr" sheetId="38" r:id="rId3"/>
    <sheet name="Est Prop 12 2019" sheetId="46" r:id="rId4"/>
    <sheet name="Prop 12 2018 Invoice" sheetId="35" r:id="rId5"/>
    <sheet name="Prop 12 2017 Invoice" sheetId="36" r:id="rId6"/>
    <sheet name="Est Prop 12 2020" sheetId="47" r:id="rId7"/>
    <sheet name="2018 GL Actual" sheetId="41" r:id="rId8"/>
    <sheet name="2019 GL Est" sheetId="32" r:id="rId9"/>
    <sheet name="2020 GL Est" sheetId="45" r:id="rId10"/>
    <sheet name="Acerno_Cache_XXXXX" sheetId="51" state="veryHidden" r:id="rId11"/>
    <sheet name="2018 D O actual" sheetId="48" r:id="rId12"/>
    <sheet name="2019 D O actual" sheetId="49" r:id="rId13"/>
    <sheet name="2020 D O est" sheetId="50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44" l="1"/>
  <c r="K36" i="50" l="1"/>
  <c r="M36" i="50" s="1"/>
  <c r="N36" i="50" s="1"/>
  <c r="O36" i="50" s="1"/>
  <c r="F36" i="50"/>
  <c r="H36" i="50" s="1"/>
  <c r="K35" i="50"/>
  <c r="M35" i="50" s="1"/>
  <c r="N35" i="50" s="1"/>
  <c r="O35" i="50" s="1"/>
  <c r="F35" i="50"/>
  <c r="H35" i="50" s="1"/>
  <c r="K34" i="50"/>
  <c r="M34" i="50" s="1"/>
  <c r="N34" i="50" s="1"/>
  <c r="O34" i="50" s="1"/>
  <c r="F34" i="50"/>
  <c r="H34" i="50" s="1"/>
  <c r="K33" i="50"/>
  <c r="M33" i="50" s="1"/>
  <c r="N33" i="50" s="1"/>
  <c r="O33" i="50" s="1"/>
  <c r="H33" i="50"/>
  <c r="F33" i="50"/>
  <c r="K32" i="50"/>
  <c r="M32" i="50" s="1"/>
  <c r="N32" i="50" s="1"/>
  <c r="O32" i="50" s="1"/>
  <c r="F32" i="50"/>
  <c r="H32" i="50" s="1"/>
  <c r="K31" i="50"/>
  <c r="M31" i="50" s="1"/>
  <c r="N31" i="50" s="1"/>
  <c r="O31" i="50" s="1"/>
  <c r="F31" i="50"/>
  <c r="H31" i="50" s="1"/>
  <c r="K30" i="50"/>
  <c r="M30" i="50" s="1"/>
  <c r="N30" i="50" s="1"/>
  <c r="O30" i="50" s="1"/>
  <c r="F30" i="50"/>
  <c r="H30" i="50" s="1"/>
  <c r="K29" i="50"/>
  <c r="M29" i="50" s="1"/>
  <c r="N29" i="50" s="1"/>
  <c r="O29" i="50" s="1"/>
  <c r="F29" i="50"/>
  <c r="H29" i="50" s="1"/>
  <c r="K28" i="50"/>
  <c r="M28" i="50" s="1"/>
  <c r="N28" i="50" s="1"/>
  <c r="O28" i="50" s="1"/>
  <c r="F28" i="50"/>
  <c r="H28" i="50" s="1"/>
  <c r="K27" i="50"/>
  <c r="M27" i="50" s="1"/>
  <c r="N27" i="50" s="1"/>
  <c r="O27" i="50" s="1"/>
  <c r="F27" i="50"/>
  <c r="I27" i="50" s="1"/>
  <c r="F17" i="50"/>
  <c r="H17" i="50" s="1"/>
  <c r="F16" i="50"/>
  <c r="H16" i="50" s="1"/>
  <c r="F15" i="50"/>
  <c r="H15" i="50" s="1"/>
  <c r="F14" i="50"/>
  <c r="H14" i="50" s="1"/>
  <c r="F13" i="50"/>
  <c r="H13" i="50" s="1"/>
  <c r="F12" i="50"/>
  <c r="K12" i="50" s="1"/>
  <c r="M12" i="50" s="1"/>
  <c r="N12" i="50" s="1"/>
  <c r="O12" i="50" s="1"/>
  <c r="F11" i="50"/>
  <c r="K11" i="50" s="1"/>
  <c r="M11" i="50" s="1"/>
  <c r="N11" i="50" s="1"/>
  <c r="O11" i="50" s="1"/>
  <c r="F10" i="50"/>
  <c r="I10" i="50" s="1"/>
  <c r="F9" i="50"/>
  <c r="I9" i="50" s="1"/>
  <c r="F8" i="50"/>
  <c r="I8" i="50" s="1"/>
  <c r="K17" i="50"/>
  <c r="M17" i="50" s="1"/>
  <c r="N17" i="50" s="1"/>
  <c r="O17" i="50" s="1"/>
  <c r="K16" i="50"/>
  <c r="M16" i="50" s="1"/>
  <c r="N16" i="50" s="1"/>
  <c r="O16" i="50" s="1"/>
  <c r="K15" i="50"/>
  <c r="M15" i="50" s="1"/>
  <c r="N15" i="50" s="1"/>
  <c r="O15" i="50" s="1"/>
  <c r="K14" i="50"/>
  <c r="M14" i="50" s="1"/>
  <c r="N14" i="50" s="1"/>
  <c r="O14" i="50" s="1"/>
  <c r="K13" i="50"/>
  <c r="M13" i="50" s="1"/>
  <c r="N13" i="50" s="1"/>
  <c r="O13" i="50" s="1"/>
  <c r="K9" i="50"/>
  <c r="M9" i="50" s="1"/>
  <c r="N9" i="50" s="1"/>
  <c r="O9" i="50" s="1"/>
  <c r="K8" i="50"/>
  <c r="M8" i="50" s="1"/>
  <c r="N8" i="50" s="1"/>
  <c r="O8" i="50" s="1"/>
  <c r="J40" i="49"/>
  <c r="K40" i="49" s="1"/>
  <c r="M40" i="49" s="1"/>
  <c r="N40" i="49" s="1"/>
  <c r="H40" i="49"/>
  <c r="O40" i="49" s="1"/>
  <c r="J39" i="49"/>
  <c r="K39" i="49" s="1"/>
  <c r="M39" i="49" s="1"/>
  <c r="N39" i="49" s="1"/>
  <c r="H39" i="49"/>
  <c r="K38" i="49"/>
  <c r="M38" i="49" s="1"/>
  <c r="N38" i="49" s="1"/>
  <c r="J38" i="49"/>
  <c r="H38" i="49"/>
  <c r="J37" i="49"/>
  <c r="K37" i="49" s="1"/>
  <c r="M37" i="49" s="1"/>
  <c r="N37" i="49" s="1"/>
  <c r="H37" i="49"/>
  <c r="J36" i="49"/>
  <c r="K36" i="49" s="1"/>
  <c r="M36" i="49" s="1"/>
  <c r="N36" i="49" s="1"/>
  <c r="H36" i="49"/>
  <c r="H35" i="49"/>
  <c r="E35" i="49"/>
  <c r="J35" i="49" s="1"/>
  <c r="K35" i="49" s="1"/>
  <c r="M35" i="49" s="1"/>
  <c r="N35" i="49" s="1"/>
  <c r="J34" i="49"/>
  <c r="K34" i="49" s="1"/>
  <c r="M34" i="49" s="1"/>
  <c r="N34" i="49" s="1"/>
  <c r="O34" i="49" s="1"/>
  <c r="H34" i="49"/>
  <c r="J33" i="49"/>
  <c r="M33" i="49" s="1"/>
  <c r="N33" i="49" s="1"/>
  <c r="H33" i="49"/>
  <c r="I33" i="49" s="1"/>
  <c r="I32" i="49"/>
  <c r="H32" i="49"/>
  <c r="E32" i="49"/>
  <c r="J32" i="49" s="1"/>
  <c r="K32" i="49" s="1"/>
  <c r="M32" i="49" s="1"/>
  <c r="N32" i="49" s="1"/>
  <c r="J31" i="49"/>
  <c r="K31" i="49" s="1"/>
  <c r="M31" i="49" s="1"/>
  <c r="N31" i="49" s="1"/>
  <c r="H31" i="49"/>
  <c r="I31" i="49" s="1"/>
  <c r="K11" i="49"/>
  <c r="M11" i="49" s="1"/>
  <c r="N11" i="49" s="1"/>
  <c r="O11" i="49" s="1"/>
  <c r="H17" i="49"/>
  <c r="J17" i="49"/>
  <c r="K17" i="49" s="1"/>
  <c r="M17" i="49" s="1"/>
  <c r="N17" i="49" s="1"/>
  <c r="O17" i="49" s="1"/>
  <c r="H16" i="49"/>
  <c r="J16" i="49"/>
  <c r="K16" i="49" s="1"/>
  <c r="M16" i="49" s="1"/>
  <c r="N16" i="49" s="1"/>
  <c r="H15" i="49"/>
  <c r="J15" i="49"/>
  <c r="K15" i="49" s="1"/>
  <c r="M15" i="49" s="1"/>
  <c r="N15" i="49" s="1"/>
  <c r="H14" i="49"/>
  <c r="J14" i="49"/>
  <c r="K14" i="49" s="1"/>
  <c r="M14" i="49" s="1"/>
  <c r="N14" i="49" s="1"/>
  <c r="H13" i="49"/>
  <c r="J13" i="49"/>
  <c r="K13" i="49" s="1"/>
  <c r="M13" i="49" s="1"/>
  <c r="N13" i="49" s="1"/>
  <c r="O13" i="49" s="1"/>
  <c r="H12" i="49"/>
  <c r="E12" i="49"/>
  <c r="J12" i="49" s="1"/>
  <c r="K12" i="49" s="1"/>
  <c r="M12" i="49" s="1"/>
  <c r="N12" i="49" s="1"/>
  <c r="H11" i="49"/>
  <c r="J11" i="49"/>
  <c r="F10" i="49"/>
  <c r="E10" i="49"/>
  <c r="H9" i="49"/>
  <c r="I9" i="49" s="1"/>
  <c r="E9" i="49"/>
  <c r="J9" i="49" s="1"/>
  <c r="K9" i="49" s="1"/>
  <c r="M9" i="49" s="1"/>
  <c r="N9" i="49" s="1"/>
  <c r="O9" i="49" s="1"/>
  <c r="H8" i="49"/>
  <c r="J8" i="49"/>
  <c r="K8" i="49" s="1"/>
  <c r="M8" i="49" s="1"/>
  <c r="N8" i="49" s="1"/>
  <c r="B37" i="48"/>
  <c r="F35" i="48"/>
  <c r="C35" i="48"/>
  <c r="F34" i="48"/>
  <c r="C34" i="48"/>
  <c r="F33" i="48"/>
  <c r="C33" i="48"/>
  <c r="F32" i="48"/>
  <c r="C32" i="48"/>
  <c r="F31" i="48"/>
  <c r="C31" i="48"/>
  <c r="D30" i="48"/>
  <c r="C30" i="48" s="1"/>
  <c r="F29" i="48"/>
  <c r="C29" i="48"/>
  <c r="F28" i="48"/>
  <c r="G28" i="48" s="1"/>
  <c r="D27" i="48"/>
  <c r="C27" i="48" s="1"/>
  <c r="F26" i="48"/>
  <c r="C26" i="48"/>
  <c r="B15" i="48"/>
  <c r="F13" i="48"/>
  <c r="C13" i="48"/>
  <c r="F12" i="48"/>
  <c r="C12" i="48"/>
  <c r="F11" i="48"/>
  <c r="C11" i="48"/>
  <c r="F10" i="48"/>
  <c r="C10" i="48"/>
  <c r="F9" i="48"/>
  <c r="C9" i="48"/>
  <c r="D8" i="48"/>
  <c r="C8" i="48" s="1"/>
  <c r="F7" i="48"/>
  <c r="C7" i="48"/>
  <c r="F6" i="48"/>
  <c r="G6" i="48" s="1"/>
  <c r="C6" i="48"/>
  <c r="F5" i="48"/>
  <c r="G5" i="48" s="1"/>
  <c r="D5" i="48"/>
  <c r="C5" i="48" s="1"/>
  <c r="F4" i="48"/>
  <c r="C4" i="48"/>
  <c r="O36" i="49" l="1"/>
  <c r="O39" i="49"/>
  <c r="O38" i="49"/>
  <c r="F27" i="48"/>
  <c r="G27" i="48" s="1"/>
  <c r="O15" i="49"/>
  <c r="I29" i="50"/>
  <c r="I28" i="50"/>
  <c r="O37" i="50"/>
  <c r="I13" i="44" s="1"/>
  <c r="H27" i="50"/>
  <c r="H37" i="50" s="1"/>
  <c r="H10" i="50"/>
  <c r="H8" i="50"/>
  <c r="H11" i="50"/>
  <c r="H9" i="50"/>
  <c r="H12" i="50"/>
  <c r="K10" i="50"/>
  <c r="M10" i="50" s="1"/>
  <c r="N10" i="50" s="1"/>
  <c r="O10" i="50" s="1"/>
  <c r="O32" i="49"/>
  <c r="O35" i="49"/>
  <c r="O31" i="49"/>
  <c r="O33" i="49"/>
  <c r="O37" i="49"/>
  <c r="O8" i="49"/>
  <c r="O16" i="49"/>
  <c r="O14" i="49"/>
  <c r="O12" i="49"/>
  <c r="J10" i="49"/>
  <c r="K10" i="49" s="1"/>
  <c r="M10" i="49" s="1"/>
  <c r="N10" i="49" s="1"/>
  <c r="I8" i="49"/>
  <c r="H10" i="49"/>
  <c r="I10" i="49"/>
  <c r="F30" i="48"/>
  <c r="D38" i="48"/>
  <c r="G26" i="48"/>
  <c r="F18" i="48"/>
  <c r="B13" i="44" s="1"/>
  <c r="G4" i="48"/>
  <c r="H18" i="48" s="1"/>
  <c r="D16" i="48"/>
  <c r="F8" i="48"/>
  <c r="H40" i="48" l="1"/>
  <c r="F40" i="48"/>
  <c r="C13" i="44" s="1"/>
  <c r="H18" i="50"/>
  <c r="O18" i="50"/>
  <c r="H13" i="44" s="1"/>
  <c r="H21" i="44" s="1"/>
  <c r="O41" i="49"/>
  <c r="F13" i="44" s="1"/>
  <c r="O10" i="49"/>
  <c r="O18" i="49" s="1"/>
  <c r="E13" i="44" s="1"/>
  <c r="F37" i="45" l="1"/>
  <c r="F36" i="45"/>
  <c r="J36" i="45" s="1"/>
  <c r="F35" i="45"/>
  <c r="H35" i="45" s="1"/>
  <c r="F34" i="45"/>
  <c r="L34" i="45" s="1"/>
  <c r="F33" i="45"/>
  <c r="H33" i="45" s="1"/>
  <c r="F32" i="45"/>
  <c r="H32" i="45" s="1"/>
  <c r="F31" i="45"/>
  <c r="F30" i="45"/>
  <c r="H30" i="45" s="1"/>
  <c r="F18" i="45"/>
  <c r="F14" i="45"/>
  <c r="F11" i="45"/>
  <c r="L37" i="45"/>
  <c r="J37" i="45"/>
  <c r="H37" i="45"/>
  <c r="K36" i="45"/>
  <c r="K35" i="45"/>
  <c r="J35" i="45"/>
  <c r="L33" i="45"/>
  <c r="J33" i="45"/>
  <c r="K32" i="45"/>
  <c r="I32" i="45"/>
  <c r="K31" i="45"/>
  <c r="J31" i="45"/>
  <c r="H31" i="45"/>
  <c r="K30" i="45"/>
  <c r="I30" i="45"/>
  <c r="K17" i="45"/>
  <c r="K16" i="45"/>
  <c r="K13" i="45"/>
  <c r="I13" i="45"/>
  <c r="K12" i="45"/>
  <c r="J12" i="45"/>
  <c r="H12" i="45"/>
  <c r="L11" i="45"/>
  <c r="K11" i="45"/>
  <c r="I11" i="45"/>
  <c r="J11" i="45" s="1"/>
  <c r="H11" i="45"/>
  <c r="L37" i="32"/>
  <c r="J37" i="32"/>
  <c r="H37" i="32"/>
  <c r="E37" i="32"/>
  <c r="K36" i="32"/>
  <c r="L36" i="32" s="1"/>
  <c r="J36" i="32"/>
  <c r="H36" i="32"/>
  <c r="E36" i="32"/>
  <c r="K35" i="32"/>
  <c r="L35" i="32" s="1"/>
  <c r="J35" i="32"/>
  <c r="H35" i="32"/>
  <c r="E35" i="32"/>
  <c r="J34" i="32"/>
  <c r="F34" i="32"/>
  <c r="H34" i="32" s="1"/>
  <c r="D34" i="32"/>
  <c r="L33" i="32"/>
  <c r="J33" i="32"/>
  <c r="H33" i="32"/>
  <c r="E33" i="32"/>
  <c r="K32" i="32"/>
  <c r="L32" i="32" s="1"/>
  <c r="I32" i="32"/>
  <c r="F32" i="32"/>
  <c r="J32" i="32" s="1"/>
  <c r="D32" i="32"/>
  <c r="L31" i="32"/>
  <c r="K31" i="32"/>
  <c r="J31" i="32"/>
  <c r="H31" i="32"/>
  <c r="E31" i="32"/>
  <c r="K30" i="32"/>
  <c r="L30" i="32" s="1"/>
  <c r="I30" i="32"/>
  <c r="J30" i="32" s="1"/>
  <c r="J38" i="32" s="1"/>
  <c r="H30" i="32"/>
  <c r="E30" i="32"/>
  <c r="D30" i="32"/>
  <c r="L18" i="32"/>
  <c r="J18" i="32"/>
  <c r="H18" i="32"/>
  <c r="E18" i="32"/>
  <c r="L17" i="32"/>
  <c r="K17" i="32"/>
  <c r="J17" i="32"/>
  <c r="H17" i="32"/>
  <c r="E17" i="32"/>
  <c r="K16" i="32"/>
  <c r="L16" i="32" s="1"/>
  <c r="J16" i="32"/>
  <c r="H16" i="32"/>
  <c r="E16" i="32"/>
  <c r="H15" i="32"/>
  <c r="F15" i="32"/>
  <c r="L15" i="32" s="1"/>
  <c r="D15" i="32"/>
  <c r="E15" i="32" s="1"/>
  <c r="L14" i="32"/>
  <c r="J14" i="32"/>
  <c r="H14" i="32"/>
  <c r="E14" i="32"/>
  <c r="K13" i="32"/>
  <c r="I13" i="32"/>
  <c r="F13" i="32"/>
  <c r="E13" i="32" s="1"/>
  <c r="D13" i="32"/>
  <c r="K12" i="32"/>
  <c r="L12" i="32" s="1"/>
  <c r="J12" i="32"/>
  <c r="H12" i="32"/>
  <c r="E12" i="32"/>
  <c r="K11" i="32"/>
  <c r="L11" i="32" s="1"/>
  <c r="I11" i="32"/>
  <c r="J11" i="32" s="1"/>
  <c r="H11" i="32"/>
  <c r="D11" i="32"/>
  <c r="E11" i="32" s="1"/>
  <c r="H13" i="32" l="1"/>
  <c r="L38" i="32"/>
  <c r="F11" i="44" s="1"/>
  <c r="E34" i="32"/>
  <c r="L34" i="32"/>
  <c r="J13" i="32"/>
  <c r="J19" i="32" s="1"/>
  <c r="H19" i="32"/>
  <c r="J15" i="32"/>
  <c r="E32" i="32"/>
  <c r="L35" i="45"/>
  <c r="L36" i="45"/>
  <c r="H36" i="45"/>
  <c r="J32" i="45"/>
  <c r="L30" i="45"/>
  <c r="J30" i="45"/>
  <c r="J38" i="45" s="1"/>
  <c r="L32" i="45"/>
  <c r="L31" i="45"/>
  <c r="H34" i="45"/>
  <c r="H38" i="45" s="1"/>
  <c r="J34" i="45"/>
  <c r="H32" i="32"/>
  <c r="H38" i="32" s="1"/>
  <c r="L13" i="32"/>
  <c r="L19" i="32" s="1"/>
  <c r="E11" i="44" s="1"/>
  <c r="L38" i="45" l="1"/>
  <c r="I11" i="44" s="1"/>
  <c r="D13" i="38" l="1"/>
  <c r="E13" i="38" s="1"/>
  <c r="B8" i="47"/>
  <c r="E8" i="47"/>
  <c r="F13" i="38" s="1"/>
  <c r="G13" i="38" s="1"/>
  <c r="G10" i="46"/>
  <c r="K10" i="46" s="1"/>
  <c r="G9" i="46"/>
  <c r="G8" i="46"/>
  <c r="F10" i="38" s="1"/>
  <c r="G10" i="38" s="1"/>
  <c r="G7" i="46"/>
  <c r="B7" i="47" s="1"/>
  <c r="E9" i="46"/>
  <c r="C10" i="46"/>
  <c r="E8" i="46" s="1"/>
  <c r="D9" i="46"/>
  <c r="D8" i="46"/>
  <c r="D7" i="46"/>
  <c r="B55" i="36"/>
  <c r="C55" i="36" s="1"/>
  <c r="C54" i="36"/>
  <c r="B53" i="36"/>
  <c r="C53" i="36" s="1"/>
  <c r="C52" i="36"/>
  <c r="B51" i="36"/>
  <c r="C51" i="36" s="1"/>
  <c r="C50" i="36"/>
  <c r="B49" i="36"/>
  <c r="C49" i="36" s="1"/>
  <c r="C48" i="36"/>
  <c r="B47" i="36"/>
  <c r="C47" i="36" s="1"/>
  <c r="C46" i="36"/>
  <c r="C45" i="36"/>
  <c r="B45" i="36"/>
  <c r="C44" i="36"/>
  <c r="C43" i="36"/>
  <c r="C42" i="36"/>
  <c r="B41" i="36"/>
  <c r="C40" i="36"/>
  <c r="C39" i="36"/>
  <c r="B53" i="35"/>
  <c r="C53" i="35" s="1"/>
  <c r="C52" i="35"/>
  <c r="C51" i="35"/>
  <c r="B51" i="35"/>
  <c r="C50" i="35"/>
  <c r="B49" i="35"/>
  <c r="C49" i="35" s="1"/>
  <c r="C48" i="35"/>
  <c r="B47" i="35"/>
  <c r="C47" i="35" s="1"/>
  <c r="C46" i="35"/>
  <c r="B45" i="35"/>
  <c r="C45" i="35" s="1"/>
  <c r="C44" i="35"/>
  <c r="C43" i="35"/>
  <c r="C42" i="35"/>
  <c r="B41" i="35"/>
  <c r="B56" i="35" s="1"/>
  <c r="C40" i="35"/>
  <c r="C39" i="35"/>
  <c r="J27" i="41"/>
  <c r="H27" i="41"/>
  <c r="F27" i="41"/>
  <c r="H26" i="41"/>
  <c r="E26" i="41"/>
  <c r="I26" i="41" s="1"/>
  <c r="J26" i="41" s="1"/>
  <c r="H25" i="41"/>
  <c r="E25" i="41"/>
  <c r="F25" i="41" s="1"/>
  <c r="D24" i="41"/>
  <c r="J24" i="41" s="1"/>
  <c r="J23" i="41"/>
  <c r="H23" i="41"/>
  <c r="F23" i="41"/>
  <c r="I22" i="41"/>
  <c r="J22" i="41" s="1"/>
  <c r="G22" i="41"/>
  <c r="D22" i="41"/>
  <c r="I21" i="41"/>
  <c r="J21" i="41" s="1"/>
  <c r="H21" i="41"/>
  <c r="F21" i="41"/>
  <c r="I20" i="41"/>
  <c r="G20" i="41"/>
  <c r="D20" i="41"/>
  <c r="J20" i="41" s="1"/>
  <c r="K15" i="44"/>
  <c r="K13" i="44"/>
  <c r="K11" i="44"/>
  <c r="E7" i="47" l="1"/>
  <c r="H9" i="46"/>
  <c r="I9" i="46" s="1"/>
  <c r="J9" i="46" s="1"/>
  <c r="B58" i="36"/>
  <c r="B9" i="47"/>
  <c r="E9" i="47" s="1"/>
  <c r="C41" i="36"/>
  <c r="D56" i="36" s="1"/>
  <c r="D60" i="36" s="1"/>
  <c r="F27" i="38" s="1"/>
  <c r="G27" i="38" s="1"/>
  <c r="E7" i="46"/>
  <c r="H7" i="46"/>
  <c r="I7" i="46" s="1"/>
  <c r="J7" i="46" s="1"/>
  <c r="H8" i="46"/>
  <c r="I8" i="46" s="1"/>
  <c r="J8" i="46" s="1"/>
  <c r="E10" i="47"/>
  <c r="C41" i="35"/>
  <c r="D54" i="35" s="1"/>
  <c r="D58" i="35" s="1"/>
  <c r="F26" i="41"/>
  <c r="H22" i="41"/>
  <c r="F20" i="41"/>
  <c r="I25" i="41"/>
  <c r="J25" i="41" s="1"/>
  <c r="J28" i="41" s="1"/>
  <c r="C11" i="44" s="1"/>
  <c r="H20" i="41"/>
  <c r="F22" i="41"/>
  <c r="F24" i="41"/>
  <c r="H24" i="41"/>
  <c r="H7" i="41"/>
  <c r="F7" i="41"/>
  <c r="J13" i="41"/>
  <c r="H13" i="41"/>
  <c r="F13" i="41"/>
  <c r="H12" i="41"/>
  <c r="E12" i="41"/>
  <c r="F12" i="41" s="1"/>
  <c r="H11" i="41"/>
  <c r="E11" i="41"/>
  <c r="I11" i="41" s="1"/>
  <c r="J11" i="41" s="1"/>
  <c r="D10" i="41"/>
  <c r="J10" i="41" s="1"/>
  <c r="J9" i="41"/>
  <c r="H9" i="41"/>
  <c r="F9" i="41"/>
  <c r="I8" i="41"/>
  <c r="G8" i="41"/>
  <c r="D8" i="41"/>
  <c r="I7" i="41"/>
  <c r="J7" i="41" s="1"/>
  <c r="I6" i="41"/>
  <c r="G6" i="41"/>
  <c r="D6" i="41"/>
  <c r="H6" i="41" s="1"/>
  <c r="D30" i="38" l="1"/>
  <c r="E30" i="38" s="1"/>
  <c r="D27" i="38"/>
  <c r="E27" i="38" s="1"/>
  <c r="H27" i="38" s="1"/>
  <c r="C15" i="44" s="1"/>
  <c r="C18" i="44" s="1"/>
  <c r="D33" i="38"/>
  <c r="E33" i="38" s="1"/>
  <c r="F30" i="38"/>
  <c r="G30" i="38" s="1"/>
  <c r="B10" i="47"/>
  <c r="I10" i="47"/>
  <c r="F9" i="47"/>
  <c r="F7" i="47"/>
  <c r="F8" i="47"/>
  <c r="F28" i="41"/>
  <c r="H28" i="41"/>
  <c r="J6" i="41"/>
  <c r="J8" i="41"/>
  <c r="I12" i="41"/>
  <c r="J12" i="41" s="1"/>
  <c r="F11" i="41"/>
  <c r="H8" i="41"/>
  <c r="F10" i="41"/>
  <c r="F6" i="41"/>
  <c r="H10" i="41"/>
  <c r="F8" i="41"/>
  <c r="C9" i="47" l="1"/>
  <c r="C8" i="47"/>
  <c r="C7" i="47"/>
  <c r="H30" i="38"/>
  <c r="F15" i="44" s="1"/>
  <c r="F18" i="44" s="1"/>
  <c r="H14" i="41"/>
  <c r="G9" i="47"/>
  <c r="H9" i="47" s="1"/>
  <c r="G7" i="47"/>
  <c r="H7" i="47" s="1"/>
  <c r="G8" i="47"/>
  <c r="H8" i="47" s="1"/>
  <c r="F33" i="38" s="1"/>
  <c r="J14" i="41"/>
  <c r="F14" i="41"/>
  <c r="G33" i="38" l="1"/>
  <c r="H33" i="38" s="1"/>
  <c r="I15" i="44" s="1"/>
  <c r="I18" i="44" s="1"/>
  <c r="B11" i="44"/>
  <c r="H13" i="38"/>
  <c r="H15" i="44" s="1"/>
  <c r="C22" i="35"/>
  <c r="C21" i="35"/>
  <c r="C19" i="35"/>
  <c r="C18" i="35"/>
  <c r="C17" i="35"/>
  <c r="C15" i="35"/>
  <c r="C14" i="35"/>
  <c r="C13" i="35"/>
  <c r="C12" i="35"/>
  <c r="C11" i="35"/>
  <c r="C9" i="35"/>
  <c r="C8" i="35"/>
  <c r="B22" i="35"/>
  <c r="B20" i="35"/>
  <c r="C20" i="35" s="1"/>
  <c r="B18" i="35"/>
  <c r="B16" i="35"/>
  <c r="C16" i="35" s="1"/>
  <c r="B14" i="35"/>
  <c r="B10" i="35"/>
  <c r="B25" i="35" s="1"/>
  <c r="C23" i="36"/>
  <c r="C21" i="36"/>
  <c r="C19" i="36"/>
  <c r="C18" i="36"/>
  <c r="C17" i="36"/>
  <c r="C15" i="36"/>
  <c r="C13" i="36"/>
  <c r="C12" i="36"/>
  <c r="C11" i="36"/>
  <c r="C9" i="36"/>
  <c r="C8" i="36"/>
  <c r="B24" i="36"/>
  <c r="C24" i="36" s="1"/>
  <c r="B22" i="36"/>
  <c r="C22" i="36" s="1"/>
  <c r="B20" i="36"/>
  <c r="C20" i="36" s="1"/>
  <c r="B18" i="36"/>
  <c r="B16" i="36"/>
  <c r="C16" i="36" s="1"/>
  <c r="B14" i="36"/>
  <c r="C14" i="36" s="1"/>
  <c r="B10" i="36"/>
  <c r="C10" i="36" s="1"/>
  <c r="C10" i="35" l="1"/>
  <c r="B29" i="35"/>
  <c r="D23" i="35"/>
  <c r="D27" i="35" s="1"/>
  <c r="D7" i="38" s="1"/>
  <c r="B27" i="36"/>
  <c r="B31" i="36" s="1"/>
  <c r="D25" i="36"/>
  <c r="D29" i="36" s="1"/>
  <c r="F7" i="38" s="1"/>
  <c r="G7" i="38" s="1"/>
  <c r="D10" i="38" l="1"/>
  <c r="E10" i="38" s="1"/>
  <c r="H10" i="38" s="1"/>
  <c r="E15" i="44" s="1"/>
  <c r="E18" i="44" s="1"/>
  <c r="E22" i="44" s="1"/>
  <c r="F8" i="52" s="1"/>
  <c r="E7" i="38"/>
  <c r="H7" i="38" s="1"/>
  <c r="B15" i="44" s="1"/>
  <c r="B18" i="44" s="1"/>
  <c r="B22" i="44" s="1"/>
  <c r="F6" i="52" s="1"/>
  <c r="H14" i="45"/>
  <c r="F10" i="52" l="1"/>
  <c r="F13" i="52" s="1"/>
  <c r="J14" i="45"/>
  <c r="L14" i="45"/>
  <c r="J18" i="45"/>
  <c r="L18" i="45"/>
  <c r="H18" i="45"/>
  <c r="F16" i="45"/>
  <c r="J16" i="45" s="1"/>
  <c r="F17" i="52" l="1"/>
  <c r="F21" i="52"/>
  <c r="F25" i="52"/>
  <c r="F32" i="52"/>
  <c r="F29" i="52"/>
  <c r="L16" i="45"/>
  <c r="H16" i="45"/>
  <c r="F17" i="45"/>
  <c r="H17" i="45" s="1"/>
  <c r="F42" i="52" l="1"/>
  <c r="F43" i="52"/>
  <c r="F38" i="52"/>
  <c r="F37" i="52"/>
  <c r="F39" i="52" s="1"/>
  <c r="F34" i="52"/>
  <c r="J17" i="45"/>
  <c r="L17" i="45"/>
  <c r="F12" i="45"/>
  <c r="L12" i="45" s="1"/>
  <c r="F13" i="45"/>
  <c r="J13" i="45" s="1"/>
  <c r="F44" i="52" l="1"/>
  <c r="H13" i="45"/>
  <c r="L13" i="45"/>
  <c r="F15" i="45"/>
  <c r="H15" i="45" s="1"/>
  <c r="H19" i="45" s="1"/>
  <c r="J15" i="45" l="1"/>
  <c r="J19" i="45" s="1"/>
  <c r="L15" i="45"/>
  <c r="L19" i="45" s="1"/>
  <c r="H11" i="44" s="1"/>
  <c r="H18" i="44" s="1"/>
  <c r="H22" i="44" s="1"/>
  <c r="E37" i="50"/>
  <c r="D18" i="49"/>
  <c r="E18" i="50"/>
  <c r="D41" i="49"/>
</calcChain>
</file>

<file path=xl/sharedStrings.xml><?xml version="1.0" encoding="utf-8"?>
<sst xmlns="http://schemas.openxmlformats.org/spreadsheetml/2006/main" count="493" uniqueCount="182">
  <si>
    <t>Carrier</t>
  </si>
  <si>
    <t>Amount</t>
  </si>
  <si>
    <t>Utility Allocated Amount</t>
  </si>
  <si>
    <t>Comments</t>
  </si>
  <si>
    <t>AEGIS ($35M)</t>
  </si>
  <si>
    <t>AEGIS ($35M) taxes</t>
  </si>
  <si>
    <t>EIM ($100M xs $35M)</t>
  </si>
  <si>
    <t>EIM ($100M xs $35M) taxes</t>
  </si>
  <si>
    <t>Lloyd's of London ($50M xs $135M)</t>
  </si>
  <si>
    <t>Insurance Company/Coverage Amount</t>
  </si>
  <si>
    <t>AEGIS Continuity Credit</t>
  </si>
  <si>
    <t>EIM</t>
  </si>
  <si>
    <t>EIM taxes</t>
  </si>
  <si>
    <t>American Alternative Ins Corp</t>
  </si>
  <si>
    <t>AEGIS taxes</t>
  </si>
  <si>
    <t xml:space="preserve">ACE </t>
  </si>
  <si>
    <t>Total</t>
  </si>
  <si>
    <t>Difference s/b $0.00</t>
  </si>
  <si>
    <t>Lloyds Taxes</t>
  </si>
  <si>
    <t xml:space="preserve">Lloyds of London </t>
  </si>
  <si>
    <t>Lloyd's  taxes</t>
  </si>
  <si>
    <t xml:space="preserve">Lloyd's/Other </t>
  </si>
  <si>
    <t>Lloyd's/Other  taxes</t>
  </si>
  <si>
    <t>Lloyd's of London</t>
  </si>
  <si>
    <t>Lloyd's/Other</t>
  </si>
  <si>
    <t>AELP $ Allocation</t>
  </si>
  <si>
    <t>Avista Capital Allocation %</t>
  </si>
  <si>
    <t>Avista Capital Allocation $</t>
  </si>
  <si>
    <t>Avista Corp Allocation %</t>
  </si>
  <si>
    <t>Avista Corp Allocation $</t>
  </si>
  <si>
    <t>AELP Allocation %</t>
  </si>
  <si>
    <t xml:space="preserve">AEGIS </t>
  </si>
  <si>
    <t>EIM Distribution Credit</t>
  </si>
  <si>
    <t>2017 Property Premium Reconcilliation to Invoices (12/1/17 - 12/1/18)</t>
  </si>
  <si>
    <t>2018 Property Premium Reconcilliation to Invoices (12/1/18 - 12/1/19)</t>
  </si>
  <si>
    <t>rounding</t>
  </si>
  <si>
    <t>Less:  2017-18 AEGIS London Credit</t>
  </si>
  <si>
    <t>Avista Allocation (79.6%)</t>
  </si>
  <si>
    <t>Avista Allocation (80.4%)</t>
  </si>
  <si>
    <t>12/18 Invoice</t>
  </si>
  <si>
    <t>12/18 portion</t>
  </si>
  <si>
    <t>1/18-11/18 portion</t>
  </si>
  <si>
    <t>Total 2018 Property Premium</t>
  </si>
  <si>
    <t>Less:  2018-19 AEGIS London Credit</t>
  </si>
  <si>
    <t xml:space="preserve">2018-19 Net Avista Prop Premium </t>
  </si>
  <si>
    <t xml:space="preserve">2017-18 Net Avista Prop Premium </t>
  </si>
  <si>
    <t>12/17 Invoice</t>
  </si>
  <si>
    <t>12/17Iinvoice</t>
  </si>
  <si>
    <t>Actual 2017 Premiums</t>
  </si>
  <si>
    <t>2018 Premiums</t>
  </si>
  <si>
    <t>EIM Distribution Credit (Special)</t>
  </si>
  <si>
    <t>Avista Utilities</t>
  </si>
  <si>
    <t>Washington Jurisdiction</t>
  </si>
  <si>
    <t>Estimated Insurance Costs for GL, D&amp;O,and Property Lines 2018-19</t>
  </si>
  <si>
    <t>TOTAL COSTS</t>
  </si>
  <si>
    <t>as of</t>
  </si>
  <si>
    <t>basis</t>
  </si>
  <si>
    <t>General Liability</t>
  </si>
  <si>
    <t>estimated</t>
  </si>
  <si>
    <t>FERC 925</t>
  </si>
  <si>
    <t>Directors &amp; Officers Liability</t>
  </si>
  <si>
    <t>actual</t>
  </si>
  <si>
    <t>Property</t>
  </si>
  <si>
    <t>FERC 924</t>
  </si>
  <si>
    <t>TOTAL INSURANCE COSTS</t>
  </si>
  <si>
    <t>G-IA-1</t>
  </si>
  <si>
    <t>Notes:</t>
  </si>
  <si>
    <t>For the Twelve Months ended December 31, 2018</t>
  </si>
  <si>
    <t>premium with cc</t>
  </si>
  <si>
    <t>premium without cc</t>
  </si>
  <si>
    <t>2018 GL Premium With Continuity Credits</t>
  </si>
  <si>
    <t>2018 GL Premium Without  Continuity Credits</t>
  </si>
  <si>
    <t>Worksheet to Calculate Calendar Year Property Premiums (With Continuity Credits)</t>
  </si>
  <si>
    <t>Worksheet to Calculate Calendar Year Property Premiums (Without Continuity Credits)</t>
  </si>
  <si>
    <t>Continuity Credit Included</t>
  </si>
  <si>
    <t>Continuity Credit Excluded</t>
  </si>
  <si>
    <t>With Continuity Credit</t>
  </si>
  <si>
    <t>With Continuity Credit Excluded</t>
  </si>
  <si>
    <t>Total 2019 Property Premium</t>
  </si>
  <si>
    <t>Total 2020 Property Premium</t>
  </si>
  <si>
    <t>12/1/18 Premium</t>
  </si>
  <si>
    <t>Avista Capital</t>
  </si>
  <si>
    <t>AEL&amp;P</t>
  </si>
  <si>
    <t>% Increase premium at 12/1/19</t>
  </si>
  <si>
    <t>12/1/17 Premium</t>
  </si>
  <si>
    <t>% increase 12/1/17 to 12/1/18</t>
  </si>
  <si>
    <t>12/1/18 Allocation</t>
  </si>
  <si>
    <t>Expected 12/1/19 Premium</t>
  </si>
  <si>
    <t>12/1/19 Allocation</t>
  </si>
  <si>
    <t>Add back allocated portion on expected of $4,000 continuity credit</t>
  </si>
  <si>
    <t>Blended premium increase 12/1/18 to 12/1/19</t>
  </si>
  <si>
    <t>Allocated portion with continuity credit excluded</t>
  </si>
  <si>
    <t>12/1/19 Estimated Premium Calculations (With and Without Continuity Credit)</t>
  </si>
  <si>
    <t>12/1/19 Premium</t>
  </si>
  <si>
    <t>% Increase premium at 12/1/20</t>
  </si>
  <si>
    <t>Expected 12/1/20 Premium</t>
  </si>
  <si>
    <t>12/1/20 Allocation</t>
  </si>
  <si>
    <t>Add back allocated portion on expected of $5,000 continuity credit</t>
  </si>
  <si>
    <t>Blended premium increase 12/1/19 to 12/1/20</t>
  </si>
  <si>
    <t>12/20 Invoice</t>
  </si>
  <si>
    <t>12/19 Invoice</t>
  </si>
  <si>
    <t>2018 portion (12/1/18-12/31/18)</t>
  </si>
  <si>
    <t>2018 portion (1/18-11/18)</t>
  </si>
  <si>
    <t>2019 portion (12/1/19-12/31/19)</t>
  </si>
  <si>
    <t>2019 portion (1/1/19-12/1/19)</t>
  </si>
  <si>
    <t>2020 portion (1/1/20 - 11/1/2020)</t>
  </si>
  <si>
    <t>2020 portion (12/1/20 -12/31/20)</t>
  </si>
  <si>
    <t>2019 Liability Premiums (Est)</t>
  </si>
  <si>
    <t>Actual 2018 Premiums</t>
  </si>
  <si>
    <t>Rate Increase for 2019</t>
  </si>
  <si>
    <t>2019 Premiums</t>
  </si>
  <si>
    <t>With Continuity Credits</t>
  </si>
  <si>
    <t>Excluding Continuity Credits from EIM</t>
  </si>
  <si>
    <t>2020 Liability Premiums (Est)</t>
  </si>
  <si>
    <t>Actual 2019 Premiums</t>
  </si>
  <si>
    <t>Rate Increase for 2020</t>
  </si>
  <si>
    <t>2020 Premiums</t>
  </si>
  <si>
    <t>2018 Premiums (Invoiced)</t>
  </si>
  <si>
    <t>Projected Increase/Decrease</t>
  </si>
  <si>
    <t>2018 Actual/Estimated Premium</t>
  </si>
  <si>
    <t xml:space="preserve"> 2018 Utility Allocated %</t>
  </si>
  <si>
    <t>Amount Allocated to AELP</t>
  </si>
  <si>
    <t>AEGIS -Continuity Credit (1)</t>
  </si>
  <si>
    <t>EIM ($30M xs $35M)</t>
  </si>
  <si>
    <t>EIM ($30M xs $35M) taxes</t>
  </si>
  <si>
    <t xml:space="preserve"> XL Specialty($15M xs $65M)</t>
  </si>
  <si>
    <t>Twin City($15M xs $80M)</t>
  </si>
  <si>
    <t>Zurich($15M xs $95M)</t>
  </si>
  <si>
    <t>XL Speciality ($15M xs $100) Side A/DIC</t>
  </si>
  <si>
    <t>HCC ($15M xs $125M) Side A/DIC</t>
  </si>
  <si>
    <t>2018 D &amp; O Premium Total Allocated to Avista</t>
  </si>
  <si>
    <t>With Continuity Credit Applied</t>
  </si>
  <si>
    <t>Increase/Decrease</t>
  </si>
  <si>
    <t>2018 Actual Premium</t>
  </si>
  <si>
    <t>premium with cc (1)</t>
  </si>
  <si>
    <t>Line of Insurance</t>
  </si>
  <si>
    <t>Prorated for 1Q 2019</t>
  </si>
  <si>
    <t xml:space="preserve"> 2019 Utility Allocated %</t>
  </si>
  <si>
    <t>XL Speciality ($15M xs $110) Side A/DIC</t>
  </si>
  <si>
    <t>(1)  Announced 12 month continuity credit for 2019 is 328,654</t>
  </si>
  <si>
    <t>2019 Actual/Estimated Premium Pro Rated for 1Q 2019 (2)</t>
  </si>
  <si>
    <t>(2)  New 12 month policy period will begin 3/31/19 due to prior 90 day extension of policy.</t>
  </si>
  <si>
    <t>Projected Increase/Decrease for 12 month policy beginning 3/31/19</t>
  </si>
  <si>
    <t>2019 Premiums beginning 3/31/19</t>
  </si>
  <si>
    <t>2019 Portion (3/31/19 to 12/31/19</t>
  </si>
  <si>
    <t>Combined 2019 premium</t>
  </si>
  <si>
    <t>Calculation of Estimated 2019 D &amp; O Premium Based on New Renewal Date of 3/31/19</t>
  </si>
  <si>
    <t>Includes Continuity Credit</t>
  </si>
  <si>
    <t>2020 Portion 1/1/20 - 3/31/20</t>
  </si>
  <si>
    <t>Estimated 2019 Premiums (3/31/19 - 3/31/20</t>
  </si>
  <si>
    <t>Projected Increase/Decrease for 12 month policy beginning 3/31/20</t>
  </si>
  <si>
    <t>2019 Premiums beginning 3/31/20</t>
  </si>
  <si>
    <t>2020 Portion (3/31/20 to 12/31/20</t>
  </si>
  <si>
    <t>1Q 2019 Prorated Premiums allocated to Avista Utilities due to ext from 12/31/18 to 3/31/19</t>
  </si>
  <si>
    <t>Combined 2020 premium</t>
  </si>
  <si>
    <t>Calculation of Estimated 2020 D &amp; O Premium Based on New Renewal Date of 3/31</t>
  </si>
  <si>
    <t>Excludes Continuity Credit</t>
  </si>
  <si>
    <t>?</t>
  </si>
  <si>
    <t>Proforma Insurance Adjustment</t>
  </si>
  <si>
    <t>2018 Amount</t>
  </si>
  <si>
    <t>12 ME 12.31.2018</t>
  </si>
  <si>
    <t>Adjustment - System</t>
  </si>
  <si>
    <t>Adjust Insurance to 2018 Pro Forma</t>
  </si>
  <si>
    <t xml:space="preserve">Total Adjustment </t>
  </si>
  <si>
    <t>Allocated to Washington Electric</t>
  </si>
  <si>
    <t>Note 7</t>
  </si>
  <si>
    <t>Note 4</t>
  </si>
  <si>
    <t>Allocated to Washington Gas</t>
  </si>
  <si>
    <t>Allocated to Idaho Electric</t>
  </si>
  <si>
    <t>Allocated to Idaho Gas</t>
  </si>
  <si>
    <t>Allocated to Oregon</t>
  </si>
  <si>
    <t>check</t>
  </si>
  <si>
    <t>Electric</t>
  </si>
  <si>
    <t>Gas</t>
  </si>
  <si>
    <t>Adjusted Test period Expense 12 ME 12.31.2018</t>
  </si>
  <si>
    <t>(1)  Premium with cc in 2018 were actual premiums incurred net of continuity credits for GL, D and O and Property.  The Premium without cc is for illustrative purposes only and to be used as a comparison to years 2019 and 2020 if continuity credits are not received</t>
  </si>
  <si>
    <t>12/31/19 - Projected</t>
  </si>
  <si>
    <t>12/31/20 - Projected</t>
  </si>
  <si>
    <t>12 ME 12.31.2019</t>
  </si>
  <si>
    <t>2019 Projected Insurance Expense (@ 90% D &amp; O)</t>
  </si>
  <si>
    <t>Less 50% D&amp;O</t>
  </si>
  <si>
    <t>Adjusted for 50% D &amp; O Removal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</si>
</sst>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&quot;$&quot;#,##0.00"/>
    <numFmt numFmtId="167" formatCode="0.0000000000000%"/>
    <numFmt numFmtId="168" formatCode="_(* #,##0_);_(* \(#,##0\);_(* &quot;-&quot;??_);_(@_)"/>
    <numFmt numFmtId="169" formatCode="_(&quot;$&quot;* #,##0_);_(&quot;$&quot;* \(#,##0\);_(&quot;$&quot;* &quot;-&quot;??_);_(@_)"/>
    <numFmt numFmtId="170" formatCode="0.00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7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32">
    <xf numFmtId="0" fontId="0" fillId="0" borderId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43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3" fillId="0" borderId="0"/>
  </cellStyleXfs>
  <cellXfs count="189">
    <xf numFmtId="0" fontId="0" fillId="0" borderId="0" xfId="0"/>
    <xf numFmtId="0" fontId="5" fillId="0" borderId="0" xfId="5"/>
    <xf numFmtId="0" fontId="7" fillId="0" borderId="0" xfId="5" applyFont="1"/>
    <xf numFmtId="0" fontId="7" fillId="0" borderId="0" xfId="5" applyFont="1" applyAlignment="1">
      <alignment horizontal="center"/>
    </xf>
    <xf numFmtId="164" fontId="5" fillId="0" borderId="0" xfId="5" applyNumberFormat="1" applyFill="1"/>
    <xf numFmtId="0" fontId="5" fillId="0" borderId="0" xfId="5" applyFill="1"/>
    <xf numFmtId="0" fontId="5" fillId="0" borderId="0" xfId="5" applyAlignment="1">
      <alignment horizontal="right"/>
    </xf>
    <xf numFmtId="166" fontId="7" fillId="0" borderId="2" xfId="5" applyNumberFormat="1" applyFont="1" applyBorder="1"/>
    <xf numFmtId="166" fontId="6" fillId="0" borderId="0" xfId="5" applyNumberFormat="1" applyFont="1"/>
    <xf numFmtId="0" fontId="0" fillId="0" borderId="0" xfId="0"/>
    <xf numFmtId="166" fontId="0" fillId="0" borderId="0" xfId="0" applyNumberFormat="1"/>
    <xf numFmtId="0" fontId="8" fillId="0" borderId="0" xfId="16"/>
    <xf numFmtId="0" fontId="7" fillId="0" borderId="0" xfId="16" applyFont="1"/>
    <xf numFmtId="0" fontId="7" fillId="0" borderId="0" xfId="16" applyFont="1" applyAlignment="1">
      <alignment horizontal="center" wrapText="1"/>
    </xf>
    <xf numFmtId="164" fontId="8" fillId="0" borderId="0" xfId="16" applyNumberFormat="1"/>
    <xf numFmtId="10" fontId="8" fillId="0" borderId="0" xfId="16" applyNumberFormat="1"/>
    <xf numFmtId="164" fontId="10" fillId="0" borderId="0" xfId="16" applyNumberFormat="1" applyFont="1"/>
    <xf numFmtId="0" fontId="4" fillId="0" borderId="0" xfId="20"/>
    <xf numFmtId="164" fontId="7" fillId="0" borderId="4" xfId="5" applyNumberFormat="1" applyFont="1" applyBorder="1"/>
    <xf numFmtId="0" fontId="9" fillId="2" borderId="1" xfId="0" applyFont="1" applyFill="1" applyBorder="1" applyAlignment="1">
      <alignment wrapText="1"/>
    </xf>
    <xf numFmtId="14" fontId="5" fillId="0" borderId="0" xfId="5" applyNumberFormat="1" applyAlignment="1">
      <alignment horizontal="right"/>
    </xf>
    <xf numFmtId="10" fontId="5" fillId="0" borderId="0" xfId="5" applyNumberFormat="1"/>
    <xf numFmtId="0" fontId="0" fillId="0" borderId="0" xfId="0" quotePrefix="1"/>
    <xf numFmtId="164" fontId="8" fillId="0" borderId="4" xfId="16" applyNumberFormat="1" applyBorder="1"/>
    <xf numFmtId="10" fontId="8" fillId="0" borderId="0" xfId="16" applyNumberFormat="1" applyFill="1"/>
    <xf numFmtId="0" fontId="9" fillId="0" borderId="0" xfId="0" applyFont="1" applyAlignment="1">
      <alignment horizontal="center" wrapText="1"/>
    </xf>
    <xf numFmtId="0" fontId="2" fillId="0" borderId="0" xfId="5" applyFont="1"/>
    <xf numFmtId="166" fontId="3" fillId="0" borderId="3" xfId="5" applyNumberFormat="1" applyFont="1" applyBorder="1"/>
    <xf numFmtId="167" fontId="5" fillId="0" borderId="0" xfId="5" applyNumberFormat="1"/>
    <xf numFmtId="164" fontId="6" fillId="0" borderId="0" xfId="5" applyNumberFormat="1" applyFont="1" applyFill="1"/>
    <xf numFmtId="0" fontId="6" fillId="0" borderId="0" xfId="5" applyFont="1"/>
    <xf numFmtId="0" fontId="6" fillId="0" borderId="0" xfId="5" applyFont="1" applyAlignment="1">
      <alignment horizontal="right"/>
    </xf>
    <xf numFmtId="166" fontId="0" fillId="0" borderId="1" xfId="0" applyNumberFormat="1" applyBorder="1"/>
    <xf numFmtId="0" fontId="9" fillId="2" borderId="1" xfId="0" applyFont="1" applyFill="1" applyBorder="1"/>
    <xf numFmtId="166" fontId="9" fillId="2" borderId="1" xfId="0" applyNumberFormat="1" applyFont="1" applyFill="1" applyBorder="1"/>
    <xf numFmtId="166" fontId="8" fillId="0" borderId="0" xfId="16" applyNumberFormat="1"/>
    <xf numFmtId="166" fontId="8" fillId="0" borderId="4" xfId="16" applyNumberFormat="1" applyBorder="1"/>
    <xf numFmtId="0" fontId="7" fillId="0" borderId="0" xfId="16" applyFont="1" applyAlignment="1"/>
    <xf numFmtId="0" fontId="11" fillId="0" borderId="0" xfId="16" applyFont="1"/>
    <xf numFmtId="164" fontId="11" fillId="0" borderId="0" xfId="16" applyNumberFormat="1" applyFont="1"/>
    <xf numFmtId="0" fontId="11" fillId="0" borderId="0" xfId="16" applyFont="1" applyFill="1"/>
    <xf numFmtId="0" fontId="9" fillId="0" borderId="0" xfId="4" applyFont="1" applyAlignment="1">
      <alignment wrapText="1"/>
    </xf>
    <xf numFmtId="0" fontId="14" fillId="0" borderId="0" xfId="31" applyFont="1"/>
    <xf numFmtId="0" fontId="15" fillId="0" borderId="0" xfId="0" applyFont="1"/>
    <xf numFmtId="168" fontId="16" fillId="0" borderId="0" xfId="1" applyNumberFormat="1" applyFont="1"/>
    <xf numFmtId="168" fontId="16" fillId="0" borderId="0" xfId="1" applyNumberFormat="1" applyFont="1" applyBorder="1"/>
    <xf numFmtId="0" fontId="16" fillId="0" borderId="0" xfId="0" applyFont="1" applyBorder="1"/>
    <xf numFmtId="0" fontId="16" fillId="0" borderId="0" xfId="0" applyFont="1"/>
    <xf numFmtId="14" fontId="17" fillId="5" borderId="9" xfId="1" applyNumberFormat="1" applyFont="1" applyFill="1" applyBorder="1"/>
    <xf numFmtId="14" fontId="17" fillId="0" borderId="9" xfId="1" applyNumberFormat="1" applyFont="1" applyFill="1" applyBorder="1"/>
    <xf numFmtId="14" fontId="17" fillId="0" borderId="0" xfId="1" applyNumberFormat="1" applyFont="1" applyFill="1" applyBorder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16" fillId="0" borderId="0" xfId="0" applyFont="1" applyBorder="1" applyAlignment="1"/>
    <xf numFmtId="0" fontId="16" fillId="0" borderId="0" xfId="0" applyFont="1" applyBorder="1" applyAlignment="1">
      <alignment wrapText="1"/>
    </xf>
    <xf numFmtId="168" fontId="16" fillId="0" borderId="1" xfId="1" applyNumberFormat="1" applyFont="1" applyBorder="1" applyAlignment="1">
      <alignment horizontal="center"/>
    </xf>
    <xf numFmtId="168" fontId="16" fillId="5" borderId="1" xfId="1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0" xfId="0" quotePrefix="1" applyFont="1" applyBorder="1" applyAlignment="1">
      <alignment horizontal="center" wrapText="1"/>
    </xf>
    <xf numFmtId="0" fontId="16" fillId="0" borderId="0" xfId="0" quotePrefix="1" applyFont="1" applyBorder="1" applyAlignment="1">
      <alignment wrapText="1"/>
    </xf>
    <xf numFmtId="168" fontId="16" fillId="5" borderId="0" xfId="1" applyNumberFormat="1" applyFont="1" applyFill="1"/>
    <xf numFmtId="5" fontId="16" fillId="0" borderId="5" xfId="1" applyNumberFormat="1" applyFont="1" applyFill="1" applyBorder="1"/>
    <xf numFmtId="5" fontId="16" fillId="5" borderId="5" xfId="1" applyNumberFormat="1" applyFont="1" applyFill="1" applyBorder="1"/>
    <xf numFmtId="0" fontId="16" fillId="5" borderId="5" xfId="0" applyFont="1" applyFill="1" applyBorder="1"/>
    <xf numFmtId="0" fontId="16" fillId="0" borderId="5" xfId="0" applyFont="1" applyBorder="1"/>
    <xf numFmtId="9" fontId="16" fillId="0" borderId="0" xfId="1" applyNumberFormat="1" applyFont="1" applyBorder="1"/>
    <xf numFmtId="9" fontId="16" fillId="0" borderId="0" xfId="9" applyFont="1" applyBorder="1"/>
    <xf numFmtId="166" fontId="16" fillId="0" borderId="0" xfId="0" applyNumberFormat="1" applyFont="1" applyBorder="1"/>
    <xf numFmtId="10" fontId="16" fillId="0" borderId="0" xfId="0" applyNumberFormat="1" applyFont="1" applyBorder="1"/>
    <xf numFmtId="164" fontId="16" fillId="5" borderId="5" xfId="0" applyNumberFormat="1" applyFont="1" applyFill="1" applyBorder="1"/>
    <xf numFmtId="168" fontId="16" fillId="0" borderId="5" xfId="1" applyNumberFormat="1" applyFont="1" applyFill="1" applyBorder="1"/>
    <xf numFmtId="168" fontId="18" fillId="0" borderId="0" xfId="1" applyNumberFormat="1" applyFont="1" applyAlignment="1">
      <alignment horizontal="center"/>
    </xf>
    <xf numFmtId="10" fontId="16" fillId="0" borderId="0" xfId="0" applyNumberFormat="1" applyFont="1"/>
    <xf numFmtId="166" fontId="16" fillId="0" borderId="0" xfId="0" applyNumberFormat="1" applyFont="1"/>
    <xf numFmtId="168" fontId="16" fillId="5" borderId="1" xfId="1" applyNumberFormat="1" applyFont="1" applyFill="1" applyBorder="1" applyAlignment="1">
      <alignment horizontal="center" wrapText="1"/>
    </xf>
    <xf numFmtId="168" fontId="16" fillId="0" borderId="1" xfId="1" applyNumberFormat="1" applyFont="1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166" fontId="7" fillId="0" borderId="0" xfId="5" applyNumberFormat="1" applyFont="1" applyBorder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0" fontId="0" fillId="0" borderId="0" xfId="0" applyNumberFormat="1"/>
    <xf numFmtId="166" fontId="0" fillId="0" borderId="3" xfId="0" applyNumberFormat="1" applyBorder="1"/>
    <xf numFmtId="0" fontId="0" fillId="0" borderId="0" xfId="0" applyFont="1" applyAlignment="1">
      <alignment wrapText="1"/>
    </xf>
    <xf numFmtId="0" fontId="11" fillId="0" borderId="0" xfId="0" applyFont="1"/>
    <xf numFmtId="0" fontId="7" fillId="0" borderId="0" xfId="16" quotePrefix="1" applyFont="1" applyAlignment="1"/>
    <xf numFmtId="14" fontId="19" fillId="0" borderId="0" xfId="0" applyNumberFormat="1" applyFont="1"/>
    <xf numFmtId="164" fontId="8" fillId="0" borderId="0" xfId="16" applyNumberFormat="1" applyFont="1"/>
    <xf numFmtId="164" fontId="10" fillId="0" borderId="0" xfId="16" applyNumberFormat="1" applyFont="1" applyFill="1"/>
    <xf numFmtId="0" fontId="8" fillId="0" borderId="0" xfId="16" applyFill="1"/>
    <xf numFmtId="164" fontId="10" fillId="3" borderId="0" xfId="16" applyNumberFormat="1" applyFont="1" applyFill="1"/>
    <xf numFmtId="0" fontId="7" fillId="0" borderId="0" xfId="16" applyFont="1" applyFill="1" applyAlignment="1"/>
    <xf numFmtId="0" fontId="7" fillId="0" borderId="0" xfId="15" applyFont="1" applyAlignment="1">
      <alignment horizontal="center"/>
    </xf>
    <xf numFmtId="0" fontId="7" fillId="0" borderId="0" xfId="15" applyFont="1" applyAlignment="1">
      <alignment horizontal="center" wrapText="1"/>
    </xf>
    <xf numFmtId="0" fontId="7" fillId="0" borderId="0" xfId="15" applyFont="1" applyFill="1" applyBorder="1" applyAlignment="1">
      <alignment horizontal="center" wrapText="1"/>
    </xf>
    <xf numFmtId="0" fontId="7" fillId="0" borderId="0" xfId="15" applyFont="1"/>
    <xf numFmtId="0" fontId="4" fillId="0" borderId="0" xfId="15"/>
    <xf numFmtId="164" fontId="4" fillId="0" borderId="0" xfId="15" applyNumberFormat="1"/>
    <xf numFmtId="165" fontId="4" fillId="0" borderId="0" xfId="15" applyNumberFormat="1"/>
    <xf numFmtId="164" fontId="4" fillId="0" borderId="0" xfId="15" applyNumberFormat="1" applyBorder="1"/>
    <xf numFmtId="164" fontId="4" fillId="0" borderId="0" xfId="15" applyNumberFormat="1" applyFill="1" applyAlignment="1">
      <alignment wrapText="1"/>
    </xf>
    <xf numFmtId="164" fontId="20" fillId="0" borderId="0" xfId="15" applyNumberFormat="1" applyFont="1"/>
    <xf numFmtId="0" fontId="4" fillId="0" borderId="0" xfId="15" applyFill="1" applyAlignment="1">
      <alignment wrapText="1"/>
    </xf>
    <xf numFmtId="0" fontId="4" fillId="0" borderId="0" xfId="15" applyFill="1"/>
    <xf numFmtId="164" fontId="7" fillId="0" borderId="0" xfId="15" applyNumberFormat="1" applyFont="1"/>
    <xf numFmtId="164" fontId="7" fillId="0" borderId="4" xfId="15" applyNumberFormat="1" applyFont="1" applyBorder="1"/>
    <xf numFmtId="0" fontId="15" fillId="0" borderId="6" xfId="0" applyFont="1" applyBorder="1"/>
    <xf numFmtId="0" fontId="1" fillId="0" borderId="0" xfId="15" applyFont="1"/>
    <xf numFmtId="0" fontId="1" fillId="0" borderId="0" xfId="15" quotePrefix="1" applyFont="1"/>
    <xf numFmtId="0" fontId="7" fillId="0" borderId="0" xfId="15" applyFont="1" applyFill="1" applyAlignment="1">
      <alignment horizontal="center" wrapText="1"/>
    </xf>
    <xf numFmtId="164" fontId="0" fillId="0" borderId="0" xfId="0" applyNumberFormat="1"/>
    <xf numFmtId="164" fontId="0" fillId="0" borderId="4" xfId="0" applyNumberFormat="1" applyBorder="1"/>
    <xf numFmtId="164" fontId="4" fillId="0" borderId="3" xfId="15" applyNumberFormat="1" applyBorder="1"/>
    <xf numFmtId="164" fontId="0" fillId="0" borderId="3" xfId="0" applyNumberFormat="1" applyBorder="1"/>
    <xf numFmtId="164" fontId="0" fillId="0" borderId="0" xfId="0" applyNumberFormat="1" applyBorder="1"/>
    <xf numFmtId="0" fontId="9" fillId="0" borderId="0" xfId="0" applyFont="1" applyAlignment="1"/>
    <xf numFmtId="0" fontId="0" fillId="0" borderId="0" xfId="0" applyAlignment="1">
      <alignment shrinkToFit="1"/>
    </xf>
    <xf numFmtId="0" fontId="21" fillId="0" borderId="0" xfId="31" applyFont="1"/>
    <xf numFmtId="0" fontId="21" fillId="0" borderId="0" xfId="31" applyFont="1" applyAlignment="1">
      <alignment horizontal="center"/>
    </xf>
    <xf numFmtId="0" fontId="14" fillId="0" borderId="0" xfId="31" applyFont="1" applyAlignment="1">
      <alignment horizontal="center"/>
    </xf>
    <xf numFmtId="0" fontId="21" fillId="0" borderId="0" xfId="31" applyFont="1" applyAlignment="1">
      <alignment vertical="center"/>
    </xf>
    <xf numFmtId="168" fontId="21" fillId="0" borderId="0" xfId="1" applyNumberFormat="1" applyFont="1"/>
    <xf numFmtId="168" fontId="14" fillId="0" borderId="0" xfId="1" applyNumberFormat="1" applyFont="1" applyAlignment="1">
      <alignment horizontal="center" vertical="center" wrapText="1"/>
    </xf>
    <xf numFmtId="0" fontId="14" fillId="6" borderId="0" xfId="31" applyFont="1" applyFill="1"/>
    <xf numFmtId="168" fontId="14" fillId="0" borderId="0" xfId="1" applyNumberFormat="1" applyFont="1" applyAlignment="1">
      <alignment horizontal="center" wrapText="1"/>
    </xf>
    <xf numFmtId="169" fontId="14" fillId="0" borderId="0" xfId="31" applyNumberFormat="1" applyFont="1"/>
    <xf numFmtId="169" fontId="14" fillId="6" borderId="0" xfId="31" applyNumberFormat="1" applyFont="1" applyFill="1"/>
    <xf numFmtId="168" fontId="14" fillId="0" borderId="0" xfId="1" applyNumberFormat="1" applyFont="1"/>
    <xf numFmtId="169" fontId="14" fillId="0" borderId="0" xfId="3" applyNumberFormat="1" applyFont="1" applyBorder="1"/>
    <xf numFmtId="169" fontId="14" fillId="6" borderId="0" xfId="3" applyNumberFormat="1" applyFont="1" applyFill="1" applyBorder="1"/>
    <xf numFmtId="169" fontId="14" fillId="0" borderId="11" xfId="3" applyNumberFormat="1" applyFont="1" applyBorder="1"/>
    <xf numFmtId="0" fontId="20" fillId="0" borderId="0" xfId="31" applyFont="1" applyAlignment="1">
      <alignment wrapText="1"/>
    </xf>
    <xf numFmtId="0" fontId="14" fillId="0" borderId="0" xfId="31" applyFont="1" applyAlignment="1">
      <alignment horizontal="center" wrapText="1"/>
    </xf>
    <xf numFmtId="0" fontId="20" fillId="6" borderId="0" xfId="31" applyFont="1" applyFill="1" applyAlignment="1">
      <alignment wrapText="1"/>
    </xf>
    <xf numFmtId="0" fontId="14" fillId="0" borderId="11" xfId="31" applyFont="1" applyBorder="1" applyAlignment="1">
      <alignment horizontal="center" wrapText="1"/>
    </xf>
    <xf numFmtId="0" fontId="14" fillId="6" borderId="0" xfId="31" applyFont="1" applyFill="1" applyBorder="1" applyAlignment="1">
      <alignment horizontal="center" wrapText="1"/>
    </xf>
    <xf numFmtId="0" fontId="20" fillId="0" borderId="0" xfId="31" applyFont="1" applyAlignment="1">
      <alignment horizontal="right"/>
    </xf>
    <xf numFmtId="0" fontId="20" fillId="0" borderId="0" xfId="31" applyFont="1"/>
    <xf numFmtId="0" fontId="20" fillId="6" borderId="0" xfId="31" applyFont="1" applyFill="1"/>
    <xf numFmtId="169" fontId="14" fillId="0" borderId="0" xfId="3" applyNumberFormat="1" applyFont="1"/>
    <xf numFmtId="169" fontId="14" fillId="6" borderId="0" xfId="3" applyNumberFormat="1" applyFont="1" applyFill="1"/>
    <xf numFmtId="0" fontId="22" fillId="0" borderId="0" xfId="31" applyFont="1" applyAlignment="1">
      <alignment horizontal="right"/>
    </xf>
    <xf numFmtId="0" fontId="20" fillId="0" borderId="0" xfId="31" applyFont="1" applyFill="1" applyAlignment="1">
      <alignment horizontal="right"/>
    </xf>
    <xf numFmtId="170" fontId="20" fillId="0" borderId="0" xfId="31" applyNumberFormat="1" applyFont="1" applyFill="1" applyAlignment="1">
      <alignment horizontal="right"/>
    </xf>
    <xf numFmtId="169" fontId="20" fillId="0" borderId="12" xfId="3" applyNumberFormat="1" applyFont="1" applyBorder="1"/>
    <xf numFmtId="169" fontId="20" fillId="6" borderId="0" xfId="3" applyNumberFormat="1" applyFont="1" applyFill="1" applyBorder="1"/>
    <xf numFmtId="169" fontId="20" fillId="0" borderId="0" xfId="3" applyNumberFormat="1" applyFont="1" applyBorder="1"/>
    <xf numFmtId="0" fontId="22" fillId="0" borderId="0" xfId="31" applyFont="1" applyBorder="1" applyAlignment="1">
      <alignment horizontal="right"/>
    </xf>
    <xf numFmtId="0" fontId="20" fillId="0" borderId="0" xfId="31" applyFont="1" applyBorder="1"/>
    <xf numFmtId="0" fontId="20" fillId="6" borderId="0" xfId="31" applyFont="1" applyFill="1" applyBorder="1"/>
    <xf numFmtId="0" fontId="20" fillId="0" borderId="0" xfId="31" applyFont="1" applyBorder="1" applyAlignment="1">
      <alignment horizontal="right"/>
    </xf>
    <xf numFmtId="168" fontId="23" fillId="0" borderId="0" xfId="1" applyNumberFormat="1" applyFont="1" applyBorder="1"/>
    <xf numFmtId="168" fontId="23" fillId="6" borderId="0" xfId="1" applyNumberFormat="1" applyFont="1" applyFill="1" applyBorder="1"/>
    <xf numFmtId="0" fontId="20" fillId="6" borderId="0" xfId="31" applyFont="1" applyFill="1" applyBorder="1" applyAlignment="1">
      <alignment horizontal="center"/>
    </xf>
    <xf numFmtId="0" fontId="20" fillId="0" borderId="0" xfId="31" applyFont="1" applyBorder="1" applyAlignment="1">
      <alignment horizontal="center"/>
    </xf>
    <xf numFmtId="168" fontId="23" fillId="0" borderId="0" xfId="1" applyNumberFormat="1" applyFont="1" applyBorder="1" applyAlignment="1">
      <alignment horizontal="center"/>
    </xf>
    <xf numFmtId="168" fontId="23" fillId="6" borderId="0" xfId="1" applyNumberFormat="1" applyFont="1" applyFill="1" applyBorder="1" applyAlignment="1">
      <alignment horizontal="center"/>
    </xf>
    <xf numFmtId="9" fontId="20" fillId="0" borderId="0" xfId="31" applyNumberFormat="1" applyFont="1"/>
    <xf numFmtId="169" fontId="20" fillId="6" borderId="0" xfId="31" applyNumberFormat="1" applyFont="1" applyFill="1"/>
    <xf numFmtId="169" fontId="20" fillId="0" borderId="13" xfId="3" applyNumberFormat="1" applyFont="1" applyBorder="1"/>
    <xf numFmtId="168" fontId="16" fillId="0" borderId="0" xfId="1" applyNumberFormat="1" applyFont="1" applyAlignment="1">
      <alignment horizontal="center"/>
    </xf>
    <xf numFmtId="168" fontId="16" fillId="0" borderId="9" xfId="1" applyNumberFormat="1" applyFont="1" applyBorder="1" applyAlignment="1">
      <alignment horizontal="center"/>
    </xf>
    <xf numFmtId="44" fontId="20" fillId="0" borderId="0" xfId="31" applyNumberFormat="1" applyFont="1"/>
    <xf numFmtId="0" fontId="16" fillId="0" borderId="0" xfId="0" quotePrefix="1" applyFont="1" applyAlignment="1">
      <alignment wrapText="1"/>
    </xf>
    <xf numFmtId="166" fontId="0" fillId="3" borderId="1" xfId="0" applyNumberFormat="1" applyFill="1" applyBorder="1"/>
    <xf numFmtId="166" fontId="0" fillId="3" borderId="0" xfId="0" applyNumberFormat="1" applyFill="1"/>
    <xf numFmtId="164" fontId="7" fillId="3" borderId="4" xfId="5" applyNumberFormat="1" applyFont="1" applyFill="1" applyBorder="1"/>
    <xf numFmtId="164" fontId="8" fillId="3" borderId="4" xfId="16" applyNumberFormat="1" applyFill="1" applyBorder="1"/>
    <xf numFmtId="166" fontId="8" fillId="3" borderId="4" xfId="16" applyNumberFormat="1" applyFill="1" applyBorder="1"/>
    <xf numFmtId="164" fontId="7" fillId="3" borderId="4" xfId="15" applyNumberFormat="1" applyFont="1" applyFill="1" applyBorder="1"/>
    <xf numFmtId="164" fontId="0" fillId="3" borderId="4" xfId="0" applyNumberFormat="1" applyFill="1" applyBorder="1"/>
    <xf numFmtId="0" fontId="9" fillId="0" borderId="0" xfId="4" applyFont="1" applyAlignment="1">
      <alignment horizontal="center" wrapText="1"/>
    </xf>
    <xf numFmtId="0" fontId="16" fillId="0" borderId="0" xfId="0" quotePrefix="1" applyFont="1" applyAlignment="1">
      <alignment horizontal="left" wrapText="1"/>
    </xf>
    <xf numFmtId="14" fontId="15" fillId="5" borderId="10" xfId="0" applyNumberFormat="1" applyFont="1" applyFill="1" applyBorder="1" applyAlignment="1">
      <alignment horizontal="center" wrapText="1"/>
    </xf>
    <xf numFmtId="0" fontId="15" fillId="5" borderId="5" xfId="0" applyFont="1" applyFill="1" applyBorder="1" applyAlignment="1">
      <alignment horizontal="center" wrapText="1"/>
    </xf>
    <xf numFmtId="0" fontId="15" fillId="5" borderId="6" xfId="0" applyFont="1" applyFill="1" applyBorder="1" applyAlignment="1">
      <alignment horizontal="center" wrapText="1"/>
    </xf>
    <xf numFmtId="0" fontId="15" fillId="0" borderId="10" xfId="0" applyFont="1" applyFill="1" applyBorder="1" applyAlignment="1">
      <alignment horizontal="center" wrapText="1"/>
    </xf>
    <xf numFmtId="0" fontId="15" fillId="0" borderId="5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wrapText="1"/>
    </xf>
    <xf numFmtId="0" fontId="15" fillId="5" borderId="10" xfId="0" applyFont="1" applyFill="1" applyBorder="1" applyAlignment="1">
      <alignment horizontal="center" wrapText="1"/>
    </xf>
    <xf numFmtId="0" fontId="15" fillId="4" borderId="7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20" applyFont="1" applyAlignment="1">
      <alignment horizontal="center"/>
    </xf>
    <xf numFmtId="0" fontId="7" fillId="0" borderId="0" xfId="16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32">
    <cellStyle name="Comma 2" xfId="1" xr:uid="{00000000-0005-0000-0000-000000000000}"/>
    <cellStyle name="Comma 2 2" xfId="25" xr:uid="{00000000-0005-0000-0000-000001000000}"/>
    <cellStyle name="Comma 3" xfId="2" xr:uid="{00000000-0005-0000-0000-000002000000}"/>
    <cellStyle name="Comma 3 2" xfId="19" xr:uid="{00000000-0005-0000-0000-000003000000}"/>
    <cellStyle name="Comma 3 3" xfId="11" xr:uid="{00000000-0005-0000-0000-000004000000}"/>
    <cellStyle name="Comma 4" xfId="17" xr:uid="{00000000-0005-0000-0000-000005000000}"/>
    <cellStyle name="Comma 4 2" xfId="26" xr:uid="{00000000-0005-0000-0000-000006000000}"/>
    <cellStyle name="Currency 2" xfId="3" xr:uid="{00000000-0005-0000-0000-000007000000}"/>
    <cellStyle name="Currency 2 2" xfId="27" xr:uid="{00000000-0005-0000-0000-000008000000}"/>
    <cellStyle name="Normal" xfId="0" builtinId="0"/>
    <cellStyle name="Normal 2" xfId="4" xr:uid="{00000000-0005-0000-0000-00000A000000}"/>
    <cellStyle name="Normal 2 2" xfId="5" xr:uid="{00000000-0005-0000-0000-00000B000000}"/>
    <cellStyle name="Normal 2 2 2" xfId="20" xr:uid="{00000000-0005-0000-0000-00000C000000}"/>
    <cellStyle name="Normal 2 2 3" xfId="12" xr:uid="{00000000-0005-0000-0000-00000D000000}"/>
    <cellStyle name="Normal 2 3" xfId="29" xr:uid="{00000000-0005-0000-0000-00000E000000}"/>
    <cellStyle name="Normal 3" xfId="6" xr:uid="{00000000-0005-0000-0000-00000F000000}"/>
    <cellStyle name="Normal 3 2" xfId="24" xr:uid="{00000000-0005-0000-0000-000010000000}"/>
    <cellStyle name="Normal 3 3" xfId="21" xr:uid="{00000000-0005-0000-0000-000011000000}"/>
    <cellStyle name="Normal 3 4" xfId="13" xr:uid="{00000000-0005-0000-0000-000012000000}"/>
    <cellStyle name="Normal 4" xfId="7" xr:uid="{00000000-0005-0000-0000-000013000000}"/>
    <cellStyle name="Normal 4 2" xfId="22" xr:uid="{00000000-0005-0000-0000-000014000000}"/>
    <cellStyle name="Normal 4 3" xfId="14" xr:uid="{00000000-0005-0000-0000-000015000000}"/>
    <cellStyle name="Normal 5" xfId="8" xr:uid="{00000000-0005-0000-0000-000016000000}"/>
    <cellStyle name="Normal 5 2" xfId="18" xr:uid="{00000000-0005-0000-0000-000017000000}"/>
    <cellStyle name="Normal 5 3" xfId="10" xr:uid="{00000000-0005-0000-0000-000018000000}"/>
    <cellStyle name="Normal 6" xfId="15" xr:uid="{00000000-0005-0000-0000-000019000000}"/>
    <cellStyle name="Normal 7" xfId="16" xr:uid="{00000000-0005-0000-0000-00001A000000}"/>
    <cellStyle name="Normal_Incent2007recon" xfId="31" xr:uid="{00000000-0005-0000-0000-00001B000000}"/>
    <cellStyle name="Percent 2" xfId="9" xr:uid="{00000000-0005-0000-0000-00001C000000}"/>
    <cellStyle name="Percent 2 2" xfId="28" xr:uid="{00000000-0005-0000-0000-00001D000000}"/>
    <cellStyle name="Percent 3" xfId="23" xr:uid="{00000000-0005-0000-0000-00001E000000}"/>
    <cellStyle name="Percent 3 2" xfId="30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36</xdr:row>
      <xdr:rowOff>19050</xdr:rowOff>
    </xdr:from>
    <xdr:to>
      <xdr:col>3</xdr:col>
      <xdr:colOff>76200</xdr:colOff>
      <xdr:row>37</xdr:row>
      <xdr:rowOff>85725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152900" y="76676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95250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152900" y="7858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41</xdr:row>
      <xdr:rowOff>19050</xdr:rowOff>
    </xdr:from>
    <xdr:to>
      <xdr:col>3</xdr:col>
      <xdr:colOff>76200</xdr:colOff>
      <xdr:row>42</xdr:row>
      <xdr:rowOff>85725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152900" y="86582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42</xdr:row>
      <xdr:rowOff>19050</xdr:rowOff>
    </xdr:from>
    <xdr:to>
      <xdr:col>3</xdr:col>
      <xdr:colOff>76200</xdr:colOff>
      <xdr:row>43</xdr:row>
      <xdr:rowOff>95250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152900" y="88487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42</xdr:row>
      <xdr:rowOff>19050</xdr:rowOff>
    </xdr:from>
    <xdr:to>
      <xdr:col>3</xdr:col>
      <xdr:colOff>76200</xdr:colOff>
      <xdr:row>43</xdr:row>
      <xdr:rowOff>95250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152900" y="88487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95250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152900" y="7858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95250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152900" y="7858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36</xdr:row>
      <xdr:rowOff>19050</xdr:rowOff>
    </xdr:from>
    <xdr:to>
      <xdr:col>5</xdr:col>
      <xdr:colOff>76200</xdr:colOff>
      <xdr:row>37</xdr:row>
      <xdr:rowOff>85725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172075" y="76676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37</xdr:row>
      <xdr:rowOff>19050</xdr:rowOff>
    </xdr:from>
    <xdr:to>
      <xdr:col>5</xdr:col>
      <xdr:colOff>76200</xdr:colOff>
      <xdr:row>38</xdr:row>
      <xdr:rowOff>95250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172075" y="7858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41</xdr:row>
      <xdr:rowOff>19050</xdr:rowOff>
    </xdr:from>
    <xdr:to>
      <xdr:col>5</xdr:col>
      <xdr:colOff>76200</xdr:colOff>
      <xdr:row>42</xdr:row>
      <xdr:rowOff>85725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5172075" y="86582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42</xdr:row>
      <xdr:rowOff>19050</xdr:rowOff>
    </xdr:from>
    <xdr:to>
      <xdr:col>5</xdr:col>
      <xdr:colOff>76200</xdr:colOff>
      <xdr:row>43</xdr:row>
      <xdr:rowOff>95250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172075" y="88487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42</xdr:row>
      <xdr:rowOff>19050</xdr:rowOff>
    </xdr:from>
    <xdr:to>
      <xdr:col>5</xdr:col>
      <xdr:colOff>76200</xdr:colOff>
      <xdr:row>43</xdr:row>
      <xdr:rowOff>95250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5172075" y="88487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37</xdr:row>
      <xdr:rowOff>19050</xdr:rowOff>
    </xdr:from>
    <xdr:to>
      <xdr:col>5</xdr:col>
      <xdr:colOff>76200</xdr:colOff>
      <xdr:row>38</xdr:row>
      <xdr:rowOff>95250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172075" y="7858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37</xdr:row>
      <xdr:rowOff>19050</xdr:rowOff>
    </xdr:from>
    <xdr:to>
      <xdr:col>5</xdr:col>
      <xdr:colOff>76200</xdr:colOff>
      <xdr:row>38</xdr:row>
      <xdr:rowOff>95250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72075" y="7858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view="pageLayout" topLeftCell="A4" zoomScaleNormal="100" workbookViewId="0">
      <selection activeCell="F8" sqref="F8"/>
    </sheetView>
  </sheetViews>
  <sheetFormatPr defaultRowHeight="12.75" x14ac:dyDescent="0.2"/>
  <cols>
    <col min="1" max="1" width="45.28515625" bestFit="1" customWidth="1"/>
    <col min="2" max="2" width="4.5703125" bestFit="1" customWidth="1"/>
    <col min="4" max="4" width="3.140625" customWidth="1"/>
    <col min="5" max="5" width="11.140625" customWidth="1"/>
    <col min="6" max="6" width="12.5703125" bestFit="1" customWidth="1"/>
    <col min="7" max="7" width="3.140625" customWidth="1"/>
  </cols>
  <sheetData>
    <row r="1" spans="1:7" x14ac:dyDescent="0.2">
      <c r="A1" s="172" t="s">
        <v>51</v>
      </c>
      <c r="B1" s="172"/>
      <c r="C1" s="172"/>
      <c r="D1" s="172"/>
      <c r="E1" s="172"/>
      <c r="F1" s="172"/>
      <c r="G1" s="172"/>
    </row>
    <row r="2" spans="1:7" x14ac:dyDescent="0.2">
      <c r="A2" s="172" t="s">
        <v>52</v>
      </c>
      <c r="B2" s="172"/>
      <c r="C2" s="172"/>
      <c r="D2" s="172"/>
      <c r="E2" s="172"/>
      <c r="F2" s="172"/>
      <c r="G2" s="172"/>
    </row>
    <row r="3" spans="1:7" x14ac:dyDescent="0.2">
      <c r="A3" s="172" t="s">
        <v>158</v>
      </c>
      <c r="B3" s="172"/>
      <c r="C3" s="172"/>
      <c r="D3" s="172"/>
      <c r="E3" s="172"/>
      <c r="F3" s="172"/>
      <c r="G3" s="172"/>
    </row>
    <row r="4" spans="1:7" ht="15" x14ac:dyDescent="0.25">
      <c r="A4" s="118"/>
      <c r="B4" s="118"/>
      <c r="C4" s="42"/>
      <c r="D4" s="42"/>
      <c r="E4" s="42"/>
      <c r="F4" s="42"/>
      <c r="G4" s="42"/>
    </row>
    <row r="5" spans="1:7" ht="15" x14ac:dyDescent="0.25">
      <c r="A5" s="118"/>
      <c r="B5" s="119"/>
      <c r="C5" s="119"/>
      <c r="D5" s="42"/>
      <c r="E5" s="42"/>
      <c r="F5" s="120" t="s">
        <v>159</v>
      </c>
      <c r="G5" s="120"/>
    </row>
    <row r="6" spans="1:7" ht="30" x14ac:dyDescent="0.25">
      <c r="A6" s="121" t="s">
        <v>174</v>
      </c>
      <c r="B6" s="122"/>
      <c r="C6" s="123"/>
      <c r="D6" s="124"/>
      <c r="E6" s="125" t="s">
        <v>160</v>
      </c>
      <c r="F6" s="126">
        <f>'IA-2'!B22</f>
        <v>4590085.4987129336</v>
      </c>
      <c r="G6" s="127"/>
    </row>
    <row r="7" spans="1:7" ht="15" x14ac:dyDescent="0.25">
      <c r="A7" s="121"/>
      <c r="B7" s="122"/>
      <c r="C7" s="128"/>
      <c r="D7" s="124"/>
      <c r="E7" s="42"/>
      <c r="F7" s="42"/>
      <c r="G7" s="124"/>
    </row>
    <row r="8" spans="1:7" ht="30" x14ac:dyDescent="0.25">
      <c r="A8" s="121" t="s">
        <v>179</v>
      </c>
      <c r="B8" s="122"/>
      <c r="C8" s="125"/>
      <c r="D8" s="124"/>
      <c r="E8" s="125" t="s">
        <v>178</v>
      </c>
      <c r="F8" s="129">
        <f>'IA-2'!E22</f>
        <v>4297792.9343976984</v>
      </c>
      <c r="G8" s="130"/>
    </row>
    <row r="9" spans="1:7" ht="15" x14ac:dyDescent="0.25">
      <c r="A9" s="118"/>
      <c r="B9" s="122"/>
      <c r="C9" s="128"/>
      <c r="D9" s="124"/>
      <c r="E9" s="42"/>
      <c r="F9" s="42"/>
      <c r="G9" s="124"/>
    </row>
    <row r="10" spans="1:7" ht="15.75" thickBot="1" x14ac:dyDescent="0.3">
      <c r="A10" s="118" t="s">
        <v>161</v>
      </c>
      <c r="B10" s="122"/>
      <c r="C10" s="128"/>
      <c r="D10" s="124"/>
      <c r="E10" s="42"/>
      <c r="F10" s="131">
        <f>F8-F6</f>
        <v>-292292.56431523524</v>
      </c>
      <c r="G10" s="130"/>
    </row>
    <row r="11" spans="1:7" ht="15" x14ac:dyDescent="0.25">
      <c r="A11" s="118"/>
      <c r="B11" s="118"/>
      <c r="C11" s="42"/>
      <c r="D11" s="124"/>
      <c r="E11" s="42"/>
      <c r="F11" s="42"/>
      <c r="G11" s="124"/>
    </row>
    <row r="12" spans="1:7" ht="60.75" thickBot="1" x14ac:dyDescent="0.3">
      <c r="A12" s="132"/>
      <c r="B12" s="132"/>
      <c r="C12" s="133"/>
      <c r="D12" s="134"/>
      <c r="E12" s="132"/>
      <c r="F12" s="135" t="s">
        <v>162</v>
      </c>
      <c r="G12" s="136"/>
    </row>
    <row r="13" spans="1:7" ht="15" x14ac:dyDescent="0.25">
      <c r="A13" s="137" t="s">
        <v>163</v>
      </c>
      <c r="B13" s="137"/>
      <c r="C13" s="138"/>
      <c r="D13" s="139"/>
      <c r="E13" s="138"/>
      <c r="F13" s="140">
        <f>F10</f>
        <v>-292292.56431523524</v>
      </c>
      <c r="G13" s="141"/>
    </row>
    <row r="14" spans="1:7" ht="15" x14ac:dyDescent="0.25">
      <c r="A14" s="138"/>
      <c r="B14" s="138"/>
      <c r="C14" s="138"/>
      <c r="D14" s="139"/>
      <c r="E14" s="138"/>
      <c r="F14" s="138"/>
      <c r="G14" s="139"/>
    </row>
    <row r="15" spans="1:7" ht="15" x14ac:dyDescent="0.25">
      <c r="A15" s="142" t="s">
        <v>164</v>
      </c>
      <c r="B15" s="142"/>
      <c r="C15" s="138"/>
      <c r="D15" s="139"/>
      <c r="E15" s="138"/>
      <c r="F15" s="138"/>
      <c r="G15" s="139"/>
    </row>
    <row r="16" spans="1:7" ht="15" x14ac:dyDescent="0.25">
      <c r="A16" s="143">
        <v>0.70135000000000003</v>
      </c>
      <c r="B16" s="137"/>
      <c r="C16" s="138" t="s">
        <v>165</v>
      </c>
      <c r="D16" s="139"/>
      <c r="E16" s="138"/>
      <c r="F16" s="138"/>
      <c r="G16" s="139"/>
    </row>
    <row r="17" spans="1:7" ht="15.75" thickBot="1" x14ac:dyDescent="0.3">
      <c r="A17" s="144">
        <v>0.68594999999999995</v>
      </c>
      <c r="B17" s="137"/>
      <c r="C17" s="138" t="s">
        <v>166</v>
      </c>
      <c r="D17" s="139"/>
      <c r="E17" s="138"/>
      <c r="F17" s="145">
        <f>((F13)*$A$16*$A$17)</f>
        <v>-140619.33155848918</v>
      </c>
      <c r="G17" s="146"/>
    </row>
    <row r="18" spans="1:7" ht="15.75" thickTop="1" x14ac:dyDescent="0.25">
      <c r="A18" s="138"/>
      <c r="B18" s="138"/>
      <c r="C18" s="138"/>
      <c r="D18" s="139"/>
      <c r="E18" s="138"/>
      <c r="F18" s="138"/>
      <c r="G18" s="139"/>
    </row>
    <row r="19" spans="1:7" ht="15" x14ac:dyDescent="0.25">
      <c r="A19" s="142" t="s">
        <v>167</v>
      </c>
      <c r="B19" s="142"/>
      <c r="C19" s="138"/>
      <c r="D19" s="139"/>
      <c r="E19" s="138"/>
      <c r="F19" s="138"/>
      <c r="G19" s="139"/>
    </row>
    <row r="20" spans="1:7" ht="15" x14ac:dyDescent="0.25">
      <c r="A20" s="144">
        <v>0.20549000000000001</v>
      </c>
      <c r="B20" s="137"/>
      <c r="C20" s="138" t="s">
        <v>165</v>
      </c>
      <c r="D20" s="139"/>
      <c r="E20" s="138"/>
      <c r="F20" s="138"/>
      <c r="G20" s="139"/>
    </row>
    <row r="21" spans="1:7" ht="15.75" thickBot="1" x14ac:dyDescent="0.3">
      <c r="A21" s="143">
        <v>0.72272000000000003</v>
      </c>
      <c r="B21" s="137"/>
      <c r="C21" s="138" t="s">
        <v>166</v>
      </c>
      <c r="D21" s="139"/>
      <c r="E21" s="138"/>
      <c r="F21" s="145">
        <f>((F13)*$A$20*$A$21)</f>
        <v>-43408.875211011036</v>
      </c>
      <c r="G21" s="146"/>
    </row>
    <row r="22" spans="1:7" ht="15.75" thickTop="1" x14ac:dyDescent="0.25">
      <c r="A22" s="138"/>
      <c r="B22" s="138"/>
      <c r="C22" s="138"/>
      <c r="D22" s="139"/>
      <c r="E22" s="138"/>
      <c r="F22" s="138"/>
      <c r="G22" s="139"/>
    </row>
    <row r="23" spans="1:7" ht="15" x14ac:dyDescent="0.25">
      <c r="A23" s="142" t="s">
        <v>168</v>
      </c>
      <c r="B23" s="142"/>
      <c r="C23" s="138"/>
      <c r="D23" s="139"/>
      <c r="E23" s="138"/>
      <c r="F23" s="138"/>
      <c r="G23" s="139"/>
    </row>
    <row r="24" spans="1:7" ht="15" x14ac:dyDescent="0.25">
      <c r="A24" s="143">
        <v>0.70135000000000003</v>
      </c>
      <c r="B24" s="137"/>
      <c r="C24" s="138" t="s">
        <v>165</v>
      </c>
      <c r="D24" s="139"/>
      <c r="E24" s="138"/>
      <c r="F24" s="138"/>
      <c r="G24" s="139"/>
    </row>
    <row r="25" spans="1:7" ht="15.75" thickBot="1" x14ac:dyDescent="0.3">
      <c r="A25" s="144">
        <v>0.31405</v>
      </c>
      <c r="B25" s="137"/>
      <c r="C25" s="138" t="s">
        <v>166</v>
      </c>
      <c r="D25" s="139"/>
      <c r="E25" s="138"/>
      <c r="F25" s="145">
        <f>((F13)*$A$24*$A$25)</f>
        <v>-64380.058424001065</v>
      </c>
      <c r="G25" s="146"/>
    </row>
    <row r="26" spans="1:7" ht="15.75" thickTop="1" x14ac:dyDescent="0.25">
      <c r="A26" s="138"/>
      <c r="B26" s="138"/>
      <c r="C26" s="138"/>
      <c r="D26" s="139"/>
      <c r="E26" s="138"/>
      <c r="F26" s="138"/>
      <c r="G26" s="139"/>
    </row>
    <row r="27" spans="1:7" ht="15" x14ac:dyDescent="0.25">
      <c r="A27" s="142" t="s">
        <v>169</v>
      </c>
      <c r="B27" s="142"/>
      <c r="C27" s="138"/>
      <c r="D27" s="139"/>
      <c r="E27" s="138"/>
      <c r="F27" s="138"/>
      <c r="G27" s="139"/>
    </row>
    <row r="28" spans="1:7" ht="15" x14ac:dyDescent="0.25">
      <c r="A28" s="143">
        <v>0.20549000000000001</v>
      </c>
      <c r="B28" s="137"/>
      <c r="C28" s="138" t="s">
        <v>165</v>
      </c>
      <c r="D28" s="139"/>
      <c r="E28" s="138"/>
      <c r="F28" s="138"/>
      <c r="G28" s="139"/>
    </row>
    <row r="29" spans="1:7" ht="15.75" thickBot="1" x14ac:dyDescent="0.3">
      <c r="A29" s="143">
        <v>0.27728000000000003</v>
      </c>
      <c r="B29" s="137"/>
      <c r="C29" s="138" t="s">
        <v>166</v>
      </c>
      <c r="D29" s="139"/>
      <c r="E29" s="138"/>
      <c r="F29" s="145">
        <f>((F13)*$A$28*$A$29)</f>
        <v>-16654.323830126661</v>
      </c>
      <c r="G29" s="146"/>
    </row>
    <row r="30" spans="1:7" ht="15.75" thickTop="1" x14ac:dyDescent="0.25">
      <c r="A30" s="137"/>
      <c r="B30" s="137"/>
      <c r="C30" s="138"/>
      <c r="D30" s="139"/>
      <c r="E30" s="138"/>
      <c r="F30" s="147"/>
      <c r="G30" s="146"/>
    </row>
    <row r="31" spans="1:7" ht="15" x14ac:dyDescent="0.25">
      <c r="A31" s="148" t="s">
        <v>170</v>
      </c>
      <c r="B31" s="148"/>
      <c r="C31" s="149"/>
      <c r="D31" s="150"/>
      <c r="E31" s="149"/>
      <c r="F31" s="147"/>
      <c r="G31" s="146"/>
    </row>
    <row r="32" spans="1:7" ht="15.75" thickBot="1" x14ac:dyDescent="0.3">
      <c r="A32" s="151">
        <v>9.3160000000000007E-2</v>
      </c>
      <c r="B32" s="151"/>
      <c r="C32" s="149" t="s">
        <v>165</v>
      </c>
      <c r="D32" s="150"/>
      <c r="E32" s="149"/>
      <c r="F32" s="145">
        <f>((F13)*$A$32)</f>
        <v>-27229.975291607316</v>
      </c>
      <c r="G32" s="146"/>
    </row>
    <row r="33" spans="1:7" ht="15.75" thickTop="1" x14ac:dyDescent="0.25">
      <c r="A33" s="151"/>
      <c r="B33" s="151"/>
      <c r="C33" s="149"/>
      <c r="D33" s="150"/>
      <c r="E33" s="149"/>
      <c r="F33" s="149"/>
      <c r="G33" s="150"/>
    </row>
    <row r="34" spans="1:7" ht="15" x14ac:dyDescent="0.25">
      <c r="A34" s="151"/>
      <c r="B34" s="151"/>
      <c r="C34" s="149" t="s">
        <v>171</v>
      </c>
      <c r="D34" s="150"/>
      <c r="E34" s="149"/>
      <c r="F34" s="152">
        <f>F17+F21+F25+F29+F32-F13</f>
        <v>0</v>
      </c>
      <c r="G34" s="153"/>
    </row>
    <row r="35" spans="1:7" ht="15" x14ac:dyDescent="0.25">
      <c r="A35" s="151"/>
      <c r="B35" s="151"/>
      <c r="C35" s="149"/>
      <c r="D35" s="150"/>
      <c r="E35" s="149"/>
      <c r="F35" s="152"/>
      <c r="G35" s="153"/>
    </row>
    <row r="36" spans="1:7" ht="15" x14ac:dyDescent="0.25">
      <c r="A36" s="151"/>
      <c r="B36" s="151"/>
      <c r="C36" s="149"/>
      <c r="D36" s="154"/>
      <c r="E36" s="155"/>
      <c r="F36" s="156" t="s">
        <v>172</v>
      </c>
      <c r="G36" s="157"/>
    </row>
    <row r="37" spans="1:7" ht="15" x14ac:dyDescent="0.25">
      <c r="A37" s="138"/>
      <c r="B37" s="158">
        <v>0.7</v>
      </c>
      <c r="C37" s="138" t="s">
        <v>59</v>
      </c>
      <c r="D37" s="139"/>
      <c r="E37" s="138"/>
      <c r="F37" s="163">
        <f>F17*B37</f>
        <v>-98433.532090942419</v>
      </c>
      <c r="G37" s="159"/>
    </row>
    <row r="38" spans="1:7" ht="15.75" thickBot="1" x14ac:dyDescent="0.3">
      <c r="A38" s="138"/>
      <c r="B38" s="158">
        <v>0.3</v>
      </c>
      <c r="C38" s="138" t="s">
        <v>63</v>
      </c>
      <c r="D38" s="139"/>
      <c r="E38" s="138"/>
      <c r="F38" s="163">
        <f>F17*B38</f>
        <v>-42185.799467546756</v>
      </c>
      <c r="G38" s="159"/>
    </row>
    <row r="39" spans="1:7" ht="16.5" thickTop="1" thickBot="1" x14ac:dyDescent="0.3">
      <c r="A39" s="138"/>
      <c r="B39" s="138"/>
      <c r="C39" s="138"/>
      <c r="D39" s="139"/>
      <c r="E39" s="138"/>
      <c r="F39" s="160">
        <f>SUM(F37:F38)</f>
        <v>-140619.33155848918</v>
      </c>
      <c r="G39" s="146"/>
    </row>
    <row r="40" spans="1:7" ht="15.75" thickTop="1" x14ac:dyDescent="0.25">
      <c r="A40" s="138"/>
      <c r="B40" s="138"/>
      <c r="C40" s="138"/>
      <c r="D40" s="139"/>
      <c r="E40" s="138"/>
      <c r="F40" s="138"/>
      <c r="G40" s="139"/>
    </row>
    <row r="41" spans="1:7" ht="15" x14ac:dyDescent="0.25">
      <c r="A41" s="138"/>
      <c r="B41" s="138"/>
      <c r="C41" s="138"/>
      <c r="D41" s="139"/>
      <c r="E41" s="138"/>
      <c r="F41" s="155" t="s">
        <v>173</v>
      </c>
      <c r="G41" s="154"/>
    </row>
    <row r="42" spans="1:7" ht="15" x14ac:dyDescent="0.25">
      <c r="A42" s="138"/>
      <c r="B42" s="158">
        <v>0.7</v>
      </c>
      <c r="C42" s="138" t="s">
        <v>59</v>
      </c>
      <c r="D42" s="139"/>
      <c r="E42" s="138"/>
      <c r="F42" s="163">
        <f>F21*B42</f>
        <v>-30386.212647707722</v>
      </c>
      <c r="G42" s="159"/>
    </row>
    <row r="43" spans="1:7" ht="15.75" thickBot="1" x14ac:dyDescent="0.3">
      <c r="A43" s="138"/>
      <c r="B43" s="158">
        <v>0.3</v>
      </c>
      <c r="C43" s="138" t="s">
        <v>63</v>
      </c>
      <c r="D43" s="139"/>
      <c r="E43" s="138"/>
      <c r="F43" s="163">
        <f>F21*B43</f>
        <v>-13022.662563303311</v>
      </c>
      <c r="G43" s="159"/>
    </row>
    <row r="44" spans="1:7" ht="16.5" thickTop="1" thickBot="1" x14ac:dyDescent="0.3">
      <c r="A44" s="138"/>
      <c r="B44" s="138"/>
      <c r="C44" s="138"/>
      <c r="D44" s="139"/>
      <c r="E44" s="138"/>
      <c r="F44" s="160">
        <f>SUM(F42:F43)</f>
        <v>-43408.875211011036</v>
      </c>
      <c r="G44" s="146"/>
    </row>
    <row r="45" spans="1:7" ht="13.5" thickTop="1" x14ac:dyDescent="0.2"/>
  </sheetData>
  <mergeCells count="3">
    <mergeCell ref="A1:G1"/>
    <mergeCell ref="A2:G2"/>
    <mergeCell ref="A3:G3"/>
  </mergeCells>
  <pageMargins left="0.7" right="0.7" top="0.75" bottom="0.75" header="0.3" footer="0.3"/>
  <pageSetup scale="94" orientation="portrait" r:id="rId1"/>
  <headerFooter>
    <oddHeader>&amp;RAdjustment No.         .
Workpaper Ref. &amp;A</oddHeader>
    <oddFooter>&amp;L&amp;F
&amp;P of &amp;N&amp;RPrep by: ____________
          Date:  &amp;D           Mgr. Review:__________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C8:L39"/>
  <sheetViews>
    <sheetView workbookViewId="0">
      <selection activeCell="C1" sqref="A1:C1048576"/>
    </sheetView>
  </sheetViews>
  <sheetFormatPr defaultRowHeight="12.75" x14ac:dyDescent="0.2"/>
  <cols>
    <col min="1" max="2" width="9.140625" style="9"/>
    <col min="3" max="3" width="35.85546875" style="9" bestFit="1" customWidth="1"/>
    <col min="4" max="4" width="10.140625" style="9" bestFit="1" customWidth="1"/>
    <col min="5" max="6" width="11.42578125" style="9" customWidth="1"/>
    <col min="7" max="7" width="12.7109375" style="9" customWidth="1"/>
    <col min="8" max="8" width="12.140625" style="9" customWidth="1"/>
    <col min="9" max="10" width="11.5703125" style="9" customWidth="1"/>
    <col min="11" max="11" width="11.7109375" style="9" customWidth="1"/>
    <col min="12" max="12" width="13.140625" style="9" customWidth="1"/>
    <col min="13" max="16384" width="9.140625" style="9"/>
  </cols>
  <sheetData>
    <row r="8" spans="3:12" ht="15" x14ac:dyDescent="0.25">
      <c r="C8" s="11"/>
      <c r="D8" s="185" t="s">
        <v>113</v>
      </c>
      <c r="E8" s="185"/>
      <c r="F8" s="185"/>
      <c r="G8" s="92"/>
      <c r="H8" s="86"/>
      <c r="I8" s="37"/>
      <c r="J8" s="37"/>
      <c r="K8" s="87"/>
    </row>
    <row r="9" spans="3:12" ht="15" x14ac:dyDescent="0.25">
      <c r="C9" s="17"/>
      <c r="D9" s="184" t="s">
        <v>111</v>
      </c>
      <c r="E9" s="184"/>
      <c r="F9" s="184"/>
      <c r="G9" s="17"/>
      <c r="H9" s="17"/>
      <c r="I9" s="17"/>
      <c r="J9" s="17"/>
    </row>
    <row r="10" spans="3:12" ht="60" x14ac:dyDescent="0.25">
      <c r="C10" s="12" t="s">
        <v>9</v>
      </c>
      <c r="D10" s="25" t="s">
        <v>114</v>
      </c>
      <c r="E10" s="13" t="s">
        <v>115</v>
      </c>
      <c r="F10" s="25" t="s">
        <v>116</v>
      </c>
      <c r="G10" s="25" t="s">
        <v>30</v>
      </c>
      <c r="H10" s="13" t="s">
        <v>25</v>
      </c>
      <c r="I10" s="13" t="s">
        <v>26</v>
      </c>
      <c r="J10" s="13" t="s">
        <v>27</v>
      </c>
      <c r="K10" s="13" t="s">
        <v>28</v>
      </c>
      <c r="L10" s="13" t="s">
        <v>29</v>
      </c>
    </row>
    <row r="11" spans="3:12" x14ac:dyDescent="0.2">
      <c r="C11" s="11" t="s">
        <v>4</v>
      </c>
      <c r="D11" s="88">
        <v>2147393</v>
      </c>
      <c r="E11" s="15">
        <v>0.02</v>
      </c>
      <c r="F11" s="16">
        <f>D11*(1+E11)</f>
        <v>2190340.86</v>
      </c>
      <c r="G11" s="15">
        <v>0.16600000000000001</v>
      </c>
      <c r="H11" s="35">
        <f>+F11*G11</f>
        <v>363596.58276000002</v>
      </c>
      <c r="I11" s="15">
        <f>0.834*0.005</f>
        <v>4.1700000000000001E-3</v>
      </c>
      <c r="J11" s="14">
        <f>+F11*I11</f>
        <v>9133.721386199999</v>
      </c>
      <c r="K11" s="15">
        <f>0.834*0.995</f>
        <v>0.82982999999999996</v>
      </c>
      <c r="L11" s="35">
        <f t="shared" ref="L11:L18" si="0">+K11*F11</f>
        <v>1817610.5558537997</v>
      </c>
    </row>
    <row r="12" spans="3:12" x14ac:dyDescent="0.2">
      <c r="C12" s="11" t="s">
        <v>10</v>
      </c>
      <c r="D12" s="88">
        <v>-82183</v>
      </c>
      <c r="E12" s="15">
        <v>0</v>
      </c>
      <c r="F12" s="16">
        <f>D12*(1+E12)</f>
        <v>-82183</v>
      </c>
      <c r="G12" s="15">
        <v>0.1328</v>
      </c>
      <c r="H12" s="35">
        <f>+D12*G12</f>
        <v>-10913.902400000001</v>
      </c>
      <c r="I12" s="15">
        <v>4.1999999999999997E-3</v>
      </c>
      <c r="J12" s="14">
        <f>+I12*D12</f>
        <v>-345.16859999999997</v>
      </c>
      <c r="K12" s="15">
        <f>(1-G12-I12)</f>
        <v>0.86299999999999999</v>
      </c>
      <c r="L12" s="35">
        <f t="shared" si="0"/>
        <v>-70923.929000000004</v>
      </c>
    </row>
    <row r="13" spans="3:12" x14ac:dyDescent="0.2">
      <c r="C13" s="11" t="s">
        <v>5</v>
      </c>
      <c r="D13" s="88">
        <v>43369.409999999996</v>
      </c>
      <c r="E13" s="15">
        <v>0</v>
      </c>
      <c r="F13" s="16">
        <f t="shared" ref="F13:F17" si="1">D13*(1+E13)</f>
        <v>43369.409999999996</v>
      </c>
      <c r="G13" s="15">
        <v>0.16600000000000001</v>
      </c>
      <c r="H13" s="35">
        <f t="shared" ref="H13:H18" si="2">+F13*G13</f>
        <v>7199.3220599999995</v>
      </c>
      <c r="I13" s="15">
        <f>0.834*0.005</f>
        <v>4.1700000000000001E-3</v>
      </c>
      <c r="J13" s="14">
        <f t="shared" ref="J13:J18" si="3">+F13*I13</f>
        <v>180.85043969999998</v>
      </c>
      <c r="K13" s="15">
        <f>0.834*0.995</f>
        <v>0.82982999999999996</v>
      </c>
      <c r="L13" s="35">
        <f t="shared" si="0"/>
        <v>35989.237500299998</v>
      </c>
    </row>
    <row r="14" spans="3:12" x14ac:dyDescent="0.2">
      <c r="C14" s="11" t="s">
        <v>6</v>
      </c>
      <c r="D14" s="88">
        <v>766068</v>
      </c>
      <c r="E14" s="15">
        <v>0.01</v>
      </c>
      <c r="F14" s="16">
        <f t="shared" si="1"/>
        <v>773728.68</v>
      </c>
      <c r="G14" s="15">
        <v>9.6000000000000002E-2</v>
      </c>
      <c r="H14" s="35">
        <f t="shared" si="2"/>
        <v>74277.953280000002</v>
      </c>
      <c r="I14" s="15">
        <v>0</v>
      </c>
      <c r="J14" s="14">
        <f t="shared" si="3"/>
        <v>0</v>
      </c>
      <c r="K14" s="15">
        <v>0.90400000000000003</v>
      </c>
      <c r="L14" s="35">
        <f t="shared" si="0"/>
        <v>699450.72672000004</v>
      </c>
    </row>
    <row r="15" spans="3:12" x14ac:dyDescent="0.2">
      <c r="C15" s="11" t="s">
        <v>7</v>
      </c>
      <c r="D15" s="88">
        <v>16087.43</v>
      </c>
      <c r="E15" s="15">
        <v>0</v>
      </c>
      <c r="F15" s="16">
        <f>D15*(1+E15)</f>
        <v>16087.43</v>
      </c>
      <c r="G15" s="15">
        <v>9.6000000000000002E-2</v>
      </c>
      <c r="H15" s="35">
        <f t="shared" si="2"/>
        <v>1544.39328</v>
      </c>
      <c r="I15" s="15">
        <v>0</v>
      </c>
      <c r="J15" s="14">
        <f t="shared" si="3"/>
        <v>0</v>
      </c>
      <c r="K15" s="15">
        <v>0.90400000000000003</v>
      </c>
      <c r="L15" s="35">
        <f t="shared" si="0"/>
        <v>14543.03672</v>
      </c>
    </row>
    <row r="16" spans="3:12" x14ac:dyDescent="0.2">
      <c r="C16" s="90" t="s">
        <v>32</v>
      </c>
      <c r="D16" s="88">
        <v>-184062</v>
      </c>
      <c r="E16" s="15">
        <v>0</v>
      </c>
      <c r="F16" s="16">
        <f t="shared" si="1"/>
        <v>-184062</v>
      </c>
      <c r="G16" s="24">
        <v>9.6000000000000002E-2</v>
      </c>
      <c r="H16" s="35">
        <f t="shared" si="2"/>
        <v>-17669.952000000001</v>
      </c>
      <c r="I16" s="15">
        <v>0</v>
      </c>
      <c r="J16" s="14">
        <f t="shared" si="3"/>
        <v>0</v>
      </c>
      <c r="K16" s="15">
        <f>(1-G16-I16)</f>
        <v>0.90400000000000003</v>
      </c>
      <c r="L16" s="35">
        <f t="shared" si="0"/>
        <v>-166392.04800000001</v>
      </c>
    </row>
    <row r="17" spans="3:12" x14ac:dyDescent="0.2">
      <c r="C17" s="90" t="s">
        <v>50</v>
      </c>
      <c r="D17" s="88">
        <v>-115599</v>
      </c>
      <c r="E17" s="15">
        <v>0</v>
      </c>
      <c r="F17" s="16">
        <f t="shared" si="1"/>
        <v>-115599</v>
      </c>
      <c r="G17" s="24">
        <v>9.6000000000000002E-2</v>
      </c>
      <c r="H17" s="35">
        <f t="shared" si="2"/>
        <v>-11097.504000000001</v>
      </c>
      <c r="I17" s="15">
        <v>0</v>
      </c>
      <c r="J17" s="14">
        <f t="shared" si="3"/>
        <v>0</v>
      </c>
      <c r="K17" s="15">
        <f>(1-G17-I17)</f>
        <v>0.90400000000000003</v>
      </c>
      <c r="L17" s="35">
        <f t="shared" si="0"/>
        <v>-104501.496</v>
      </c>
    </row>
    <row r="18" spans="3:12" x14ac:dyDescent="0.2">
      <c r="C18" s="11" t="s">
        <v>8</v>
      </c>
      <c r="D18" s="88">
        <v>182000</v>
      </c>
      <c r="E18" s="15">
        <v>0</v>
      </c>
      <c r="F18" s="16">
        <f>D18*(1+E18)</f>
        <v>182000</v>
      </c>
      <c r="G18" s="15">
        <v>1.5299999999999999E-2</v>
      </c>
      <c r="H18" s="35">
        <f t="shared" si="2"/>
        <v>2784.6</v>
      </c>
      <c r="I18" s="15">
        <v>0</v>
      </c>
      <c r="J18" s="14">
        <f t="shared" si="3"/>
        <v>0</v>
      </c>
      <c r="K18" s="15">
        <v>0.98470000000000002</v>
      </c>
      <c r="L18" s="35">
        <f t="shared" si="0"/>
        <v>179215.4</v>
      </c>
    </row>
    <row r="19" spans="3:12" ht="13.5" thickBot="1" x14ac:dyDescent="0.25">
      <c r="C19" s="11"/>
      <c r="D19" s="14"/>
      <c r="E19" s="11"/>
      <c r="H19" s="36">
        <f>SUM(H11:H18)</f>
        <v>409721.49297999998</v>
      </c>
      <c r="I19" s="11"/>
      <c r="J19" s="36">
        <f>SUM(J11:J18)</f>
        <v>8969.4032258999978</v>
      </c>
      <c r="K19" s="11"/>
      <c r="L19" s="169">
        <f>SUM(L11:L18)</f>
        <v>2404991.4837941001</v>
      </c>
    </row>
    <row r="20" spans="3:12" ht="13.5" thickTop="1" x14ac:dyDescent="0.2"/>
    <row r="27" spans="3:12" ht="15" x14ac:dyDescent="0.25">
      <c r="C27" s="11"/>
      <c r="D27" s="185" t="s">
        <v>113</v>
      </c>
      <c r="E27" s="185"/>
      <c r="F27" s="185"/>
      <c r="G27" s="92"/>
      <c r="H27" s="86"/>
      <c r="I27" s="37"/>
      <c r="J27" s="37"/>
      <c r="K27" s="87"/>
    </row>
    <row r="28" spans="3:12" ht="15" x14ac:dyDescent="0.25">
      <c r="C28" s="17"/>
      <c r="D28" s="184" t="s">
        <v>112</v>
      </c>
      <c r="E28" s="184"/>
      <c r="F28" s="184"/>
      <c r="G28" s="17"/>
      <c r="H28" s="17"/>
      <c r="I28" s="17"/>
      <c r="J28" s="17"/>
    </row>
    <row r="29" spans="3:12" ht="60" x14ac:dyDescent="0.25">
      <c r="C29" s="12" t="s">
        <v>9</v>
      </c>
      <c r="D29" s="25" t="s">
        <v>114</v>
      </c>
      <c r="E29" s="13" t="s">
        <v>109</v>
      </c>
      <c r="F29" s="25" t="s">
        <v>116</v>
      </c>
      <c r="G29" s="25" t="s">
        <v>30</v>
      </c>
      <c r="H29" s="13" t="s">
        <v>25</v>
      </c>
      <c r="I29" s="13" t="s">
        <v>26</v>
      </c>
      <c r="J29" s="13" t="s">
        <v>27</v>
      </c>
      <c r="K29" s="13" t="s">
        <v>28</v>
      </c>
      <c r="L29" s="13" t="s">
        <v>29</v>
      </c>
    </row>
    <row r="30" spans="3:12" x14ac:dyDescent="0.2">
      <c r="C30" s="11" t="s">
        <v>4</v>
      </c>
      <c r="D30" s="88">
        <v>2147393</v>
      </c>
      <c r="E30" s="15">
        <v>0.02</v>
      </c>
      <c r="F30" s="16">
        <f>D30*(1+E30)</f>
        <v>2190340.86</v>
      </c>
      <c r="G30" s="15">
        <v>0.16600000000000001</v>
      </c>
      <c r="H30" s="35">
        <f>+F30*G30</f>
        <v>363596.58276000002</v>
      </c>
      <c r="I30" s="15">
        <f>0.834*0.005</f>
        <v>4.1700000000000001E-3</v>
      </c>
      <c r="J30" s="14">
        <f>+F30*I30</f>
        <v>9133.721386199999</v>
      </c>
      <c r="K30" s="15">
        <f>0.834*0.995</f>
        <v>0.82982999999999996</v>
      </c>
      <c r="L30" s="35">
        <f t="shared" ref="L30:L37" si="4">+K30*F30</f>
        <v>1817610.5558537997</v>
      </c>
    </row>
    <row r="31" spans="3:12" x14ac:dyDescent="0.2">
      <c r="C31" s="11" t="s">
        <v>10</v>
      </c>
      <c r="D31" s="88">
        <v>-82183</v>
      </c>
      <c r="E31" s="15">
        <v>-1</v>
      </c>
      <c r="F31" s="16">
        <f>D31*(1+E31)</f>
        <v>0</v>
      </c>
      <c r="G31" s="15">
        <v>0.1328</v>
      </c>
      <c r="H31" s="35">
        <f>+D31*G31</f>
        <v>-10913.902400000001</v>
      </c>
      <c r="I31" s="15">
        <v>4.1999999999999997E-3</v>
      </c>
      <c r="J31" s="14">
        <f>+I31*D31</f>
        <v>-345.16859999999997</v>
      </c>
      <c r="K31" s="15">
        <f>(1-G31-I31)</f>
        <v>0.86299999999999999</v>
      </c>
      <c r="L31" s="35">
        <f t="shared" si="4"/>
        <v>0</v>
      </c>
    </row>
    <row r="32" spans="3:12" x14ac:dyDescent="0.2">
      <c r="C32" s="11" t="s">
        <v>5</v>
      </c>
      <c r="D32" s="88">
        <v>43369.409999999996</v>
      </c>
      <c r="E32" s="15">
        <v>0</v>
      </c>
      <c r="F32" s="89">
        <f t="shared" ref="F32:F36" si="5">D32*(1+E32)</f>
        <v>43369.409999999996</v>
      </c>
      <c r="G32" s="15">
        <v>0.16600000000000001</v>
      </c>
      <c r="H32" s="35">
        <f t="shared" ref="H32:H37" si="6">+F32*G32</f>
        <v>7199.3220599999995</v>
      </c>
      <c r="I32" s="15">
        <f>0.834*0.005</f>
        <v>4.1700000000000001E-3</v>
      </c>
      <c r="J32" s="14">
        <f t="shared" ref="J32:J37" si="7">+F32*I32</f>
        <v>180.85043969999998</v>
      </c>
      <c r="K32" s="15">
        <f>0.834*0.995</f>
        <v>0.82982999999999996</v>
      </c>
      <c r="L32" s="35">
        <f t="shared" si="4"/>
        <v>35989.237500299998</v>
      </c>
    </row>
    <row r="33" spans="3:12" x14ac:dyDescent="0.2">
      <c r="C33" s="11" t="s">
        <v>6</v>
      </c>
      <c r="D33" s="88">
        <v>766068</v>
      </c>
      <c r="E33" s="15">
        <v>0.01</v>
      </c>
      <c r="F33" s="16">
        <f t="shared" si="5"/>
        <v>773728.68</v>
      </c>
      <c r="G33" s="15">
        <v>9.6000000000000002E-2</v>
      </c>
      <c r="H33" s="35">
        <f t="shared" si="6"/>
        <v>74277.953280000002</v>
      </c>
      <c r="I33" s="15">
        <v>0</v>
      </c>
      <c r="J33" s="14">
        <f t="shared" si="7"/>
        <v>0</v>
      </c>
      <c r="K33" s="15">
        <v>0.90400000000000003</v>
      </c>
      <c r="L33" s="35">
        <f t="shared" si="4"/>
        <v>699450.72672000004</v>
      </c>
    </row>
    <row r="34" spans="3:12" x14ac:dyDescent="0.2">
      <c r="C34" s="11" t="s">
        <v>7</v>
      </c>
      <c r="D34" s="88">
        <v>16087.43</v>
      </c>
      <c r="E34" s="15">
        <v>0</v>
      </c>
      <c r="F34" s="89">
        <f>D34*(1+E34)</f>
        <v>16087.43</v>
      </c>
      <c r="G34" s="15">
        <v>9.6000000000000002E-2</v>
      </c>
      <c r="H34" s="35">
        <f t="shared" si="6"/>
        <v>1544.39328</v>
      </c>
      <c r="I34" s="15">
        <v>0</v>
      </c>
      <c r="J34" s="14">
        <f t="shared" si="7"/>
        <v>0</v>
      </c>
      <c r="K34" s="15">
        <v>0.90400000000000003</v>
      </c>
      <c r="L34" s="35">
        <f t="shared" si="4"/>
        <v>14543.03672</v>
      </c>
    </row>
    <row r="35" spans="3:12" x14ac:dyDescent="0.2">
      <c r="C35" s="90" t="s">
        <v>32</v>
      </c>
      <c r="D35" s="88">
        <v>-184062</v>
      </c>
      <c r="E35" s="15">
        <v>-1</v>
      </c>
      <c r="F35" s="91">
        <f t="shared" si="5"/>
        <v>0</v>
      </c>
      <c r="G35" s="24">
        <v>9.6000000000000002E-2</v>
      </c>
      <c r="H35" s="35">
        <f t="shared" si="6"/>
        <v>0</v>
      </c>
      <c r="I35" s="15">
        <v>0</v>
      </c>
      <c r="J35" s="14">
        <f t="shared" si="7"/>
        <v>0</v>
      </c>
      <c r="K35" s="15">
        <f>(1-G35-I35)</f>
        <v>0.90400000000000003</v>
      </c>
      <c r="L35" s="35">
        <f t="shared" si="4"/>
        <v>0</v>
      </c>
    </row>
    <row r="36" spans="3:12" x14ac:dyDescent="0.2">
      <c r="C36" s="90" t="s">
        <v>50</v>
      </c>
      <c r="D36" s="88">
        <v>-115599</v>
      </c>
      <c r="E36" s="15">
        <v>-1</v>
      </c>
      <c r="F36" s="91">
        <f t="shared" si="5"/>
        <v>0</v>
      </c>
      <c r="G36" s="24">
        <v>9.6000000000000002E-2</v>
      </c>
      <c r="H36" s="35">
        <f t="shared" si="6"/>
        <v>0</v>
      </c>
      <c r="I36" s="15">
        <v>0</v>
      </c>
      <c r="J36" s="14">
        <f t="shared" si="7"/>
        <v>0</v>
      </c>
      <c r="K36" s="15">
        <f>(1-G36-I36)</f>
        <v>0.90400000000000003</v>
      </c>
      <c r="L36" s="35">
        <f t="shared" si="4"/>
        <v>0</v>
      </c>
    </row>
    <row r="37" spans="3:12" x14ac:dyDescent="0.2">
      <c r="C37" s="11" t="s">
        <v>8</v>
      </c>
      <c r="D37" s="88">
        <v>182000</v>
      </c>
      <c r="E37" s="15">
        <v>0</v>
      </c>
      <c r="F37" s="16">
        <f>D37*(1+E37)</f>
        <v>182000</v>
      </c>
      <c r="G37" s="15">
        <v>1.5299999999999999E-2</v>
      </c>
      <c r="H37" s="35">
        <f t="shared" si="6"/>
        <v>2784.6</v>
      </c>
      <c r="I37" s="15">
        <v>0</v>
      </c>
      <c r="J37" s="14">
        <f t="shared" si="7"/>
        <v>0</v>
      </c>
      <c r="K37" s="15">
        <v>0.98470000000000002</v>
      </c>
      <c r="L37" s="35">
        <f t="shared" si="4"/>
        <v>179215.4</v>
      </c>
    </row>
    <row r="38" spans="3:12" ht="13.5" thickBot="1" x14ac:dyDescent="0.25">
      <c r="C38" s="11"/>
      <c r="D38" s="14"/>
      <c r="E38" s="11"/>
      <c r="H38" s="36">
        <f>SUM(H30:H37)</f>
        <v>438488.94897999999</v>
      </c>
      <c r="I38" s="11"/>
      <c r="J38" s="36">
        <f>SUM(J30:J37)</f>
        <v>8969.4032258999978</v>
      </c>
      <c r="K38" s="11"/>
      <c r="L38" s="36">
        <f>SUM(L30:L37)</f>
        <v>2746808.9567940999</v>
      </c>
    </row>
    <row r="39" spans="3:12" ht="13.5" thickTop="1" x14ac:dyDescent="0.2"/>
  </sheetData>
  <mergeCells count="4">
    <mergeCell ref="D8:F8"/>
    <mergeCell ref="D9:F9"/>
    <mergeCell ref="D27:F27"/>
    <mergeCell ref="D28:F28"/>
  </mergeCells>
  <pageMargins left="0.7" right="0.7" top="0.75" bottom="0.75" header="0.3" footer="0.3"/>
  <pageSetup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cols>
    <col min="1" max="16384" width="9.140625" style="117"/>
  </cols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41"/>
  <sheetViews>
    <sheetView workbookViewId="0">
      <selection activeCell="C1" sqref="A1:C1048576"/>
    </sheetView>
  </sheetViews>
  <sheetFormatPr defaultRowHeight="12.75" x14ac:dyDescent="0.2"/>
  <cols>
    <col min="1" max="1" width="36" bestFit="1" customWidth="1"/>
    <col min="2" max="2" width="25.140625" customWidth="1"/>
    <col min="3" max="3" width="17.85546875" customWidth="1"/>
    <col min="4" max="4" width="17.7109375" customWidth="1"/>
    <col min="6" max="6" width="10.140625" bestFit="1" customWidth="1"/>
    <col min="8" max="8" width="14.7109375" customWidth="1"/>
  </cols>
  <sheetData>
    <row r="1" spans="1:8" s="9" customFormat="1" x14ac:dyDescent="0.2">
      <c r="C1" s="186" t="s">
        <v>117</v>
      </c>
      <c r="D1" s="186"/>
    </row>
    <row r="2" spans="1:8" x14ac:dyDescent="0.2">
      <c r="A2" s="9"/>
      <c r="B2" s="9"/>
      <c r="C2" s="187" t="s">
        <v>131</v>
      </c>
      <c r="D2" s="187"/>
      <c r="E2" s="9"/>
      <c r="F2" s="9"/>
      <c r="G2" s="9"/>
      <c r="H2" s="9"/>
    </row>
    <row r="3" spans="1:8" ht="60" x14ac:dyDescent="0.25">
      <c r="A3" s="93" t="s">
        <v>0</v>
      </c>
      <c r="B3" s="94" t="s">
        <v>48</v>
      </c>
      <c r="C3" s="94" t="s">
        <v>118</v>
      </c>
      <c r="D3" s="94" t="s">
        <v>119</v>
      </c>
      <c r="E3" s="94" t="s">
        <v>120</v>
      </c>
      <c r="F3" s="94" t="s">
        <v>2</v>
      </c>
      <c r="G3" s="95" t="s">
        <v>121</v>
      </c>
      <c r="H3" s="96" t="s">
        <v>3</v>
      </c>
    </row>
    <row r="4" spans="1:8" ht="15" x14ac:dyDescent="0.25">
      <c r="A4" s="97" t="s">
        <v>4</v>
      </c>
      <c r="B4" s="98">
        <v>615000</v>
      </c>
      <c r="C4" s="99">
        <f>(D4-B4)/B4</f>
        <v>8.1300813008130079E-2</v>
      </c>
      <c r="D4" s="98">
        <v>665000</v>
      </c>
      <c r="E4" s="99">
        <v>0.94</v>
      </c>
      <c r="F4" s="100">
        <f t="shared" ref="F4:F13" si="0">+D4*E4</f>
        <v>625100</v>
      </c>
      <c r="G4" s="101">
        <f>D4-F4</f>
        <v>39900</v>
      </c>
      <c r="H4" s="9"/>
    </row>
    <row r="5" spans="1:8" ht="15" x14ac:dyDescent="0.25">
      <c r="A5" s="97" t="s">
        <v>5</v>
      </c>
      <c r="B5" s="98">
        <v>6584.21</v>
      </c>
      <c r="C5" s="99">
        <f t="shared" ref="C5:C13" si="1">(D5-B5)/B5</f>
        <v>5.9030620226268614E-2</v>
      </c>
      <c r="D5" s="102">
        <f>332.04+6640.84</f>
        <v>6972.88</v>
      </c>
      <c r="E5" s="99">
        <v>0.94</v>
      </c>
      <c r="F5" s="100">
        <f t="shared" si="0"/>
        <v>6554.5072</v>
      </c>
      <c r="G5" s="101">
        <f t="shared" ref="G5:G6" si="2">D5-F5</f>
        <v>418.3728000000001</v>
      </c>
      <c r="H5" s="9"/>
    </row>
    <row r="6" spans="1:8" ht="15" x14ac:dyDescent="0.25">
      <c r="A6" s="97" t="s">
        <v>122</v>
      </c>
      <c r="B6" s="98">
        <v>-301466</v>
      </c>
      <c r="C6" s="99">
        <f t="shared" si="1"/>
        <v>0.10446285816642673</v>
      </c>
      <c r="D6" s="98">
        <v>-332958</v>
      </c>
      <c r="E6" s="99">
        <v>0.96399999999999997</v>
      </c>
      <c r="F6" s="100">
        <f t="shared" si="0"/>
        <v>-320971.51199999999</v>
      </c>
      <c r="G6" s="101">
        <f t="shared" si="2"/>
        <v>-11986.488000000012</v>
      </c>
      <c r="H6" s="9"/>
    </row>
    <row r="7" spans="1:8" ht="15" x14ac:dyDescent="0.25">
      <c r="A7" s="97" t="s">
        <v>123</v>
      </c>
      <c r="B7" s="98">
        <v>263550</v>
      </c>
      <c r="C7" s="99">
        <f t="shared" si="1"/>
        <v>0</v>
      </c>
      <c r="D7" s="98">
        <v>263550</v>
      </c>
      <c r="E7" s="99">
        <v>1</v>
      </c>
      <c r="F7" s="100">
        <f t="shared" si="0"/>
        <v>263550</v>
      </c>
      <c r="G7" s="103"/>
      <c r="H7" s="9"/>
    </row>
    <row r="8" spans="1:8" ht="15" x14ac:dyDescent="0.25">
      <c r="A8" s="97" t="s">
        <v>124</v>
      </c>
      <c r="B8" s="98">
        <v>5534.55</v>
      </c>
      <c r="C8" s="99">
        <f t="shared" si="1"/>
        <v>0</v>
      </c>
      <c r="D8" s="102">
        <f>263.55+5271</f>
        <v>5534.55</v>
      </c>
      <c r="E8" s="99">
        <v>1</v>
      </c>
      <c r="F8" s="100">
        <f t="shared" si="0"/>
        <v>5534.55</v>
      </c>
      <c r="G8" s="104"/>
      <c r="H8" s="9"/>
    </row>
    <row r="9" spans="1:8" ht="15" x14ac:dyDescent="0.25">
      <c r="A9" s="97" t="s">
        <v>125</v>
      </c>
      <c r="B9" s="98">
        <v>80000</v>
      </c>
      <c r="C9" s="99">
        <f t="shared" si="1"/>
        <v>0</v>
      </c>
      <c r="D9" s="98">
        <v>80000</v>
      </c>
      <c r="E9" s="99">
        <v>1</v>
      </c>
      <c r="F9" s="100">
        <f t="shared" si="0"/>
        <v>80000</v>
      </c>
      <c r="G9" s="97"/>
      <c r="H9" s="9"/>
    </row>
    <row r="10" spans="1:8" ht="15" x14ac:dyDescent="0.25">
      <c r="A10" s="97" t="s">
        <v>126</v>
      </c>
      <c r="B10" s="98">
        <v>60000</v>
      </c>
      <c r="C10" s="99">
        <f t="shared" si="1"/>
        <v>0</v>
      </c>
      <c r="D10" s="98">
        <v>60000</v>
      </c>
      <c r="E10" s="99">
        <v>1</v>
      </c>
      <c r="F10" s="100">
        <f t="shared" si="0"/>
        <v>60000</v>
      </c>
      <c r="G10" s="97"/>
      <c r="H10" s="9"/>
    </row>
    <row r="11" spans="1:8" ht="15" x14ac:dyDescent="0.25">
      <c r="A11" s="97" t="s">
        <v>127</v>
      </c>
      <c r="B11" s="98">
        <v>52065</v>
      </c>
      <c r="C11" s="99">
        <f t="shared" si="1"/>
        <v>0</v>
      </c>
      <c r="D11" s="98">
        <v>52065</v>
      </c>
      <c r="E11" s="99">
        <v>1</v>
      </c>
      <c r="F11" s="100">
        <f t="shared" si="0"/>
        <v>52065</v>
      </c>
      <c r="G11" s="97"/>
      <c r="H11" s="9"/>
    </row>
    <row r="12" spans="1:8" ht="15" x14ac:dyDescent="0.25">
      <c r="A12" s="97" t="s">
        <v>128</v>
      </c>
      <c r="B12" s="98">
        <v>75000</v>
      </c>
      <c r="C12" s="99">
        <f t="shared" si="1"/>
        <v>0</v>
      </c>
      <c r="D12" s="98">
        <v>75000</v>
      </c>
      <c r="E12" s="99">
        <v>1</v>
      </c>
      <c r="F12" s="100">
        <f t="shared" si="0"/>
        <v>75000</v>
      </c>
      <c r="G12" s="97"/>
      <c r="H12" s="9"/>
    </row>
    <row r="13" spans="1:8" ht="15" x14ac:dyDescent="0.25">
      <c r="A13" s="97" t="s">
        <v>129</v>
      </c>
      <c r="B13" s="98">
        <v>52000</v>
      </c>
      <c r="C13" s="99">
        <f t="shared" si="1"/>
        <v>0</v>
      </c>
      <c r="D13" s="98">
        <v>52000</v>
      </c>
      <c r="E13" s="99">
        <v>1</v>
      </c>
      <c r="F13" s="100">
        <f t="shared" si="0"/>
        <v>52000</v>
      </c>
      <c r="G13" s="97"/>
      <c r="H13" s="9"/>
    </row>
    <row r="14" spans="1:8" ht="15" x14ac:dyDescent="0.25">
      <c r="A14" s="9"/>
      <c r="B14" s="9"/>
      <c r="C14" s="9"/>
      <c r="D14" s="9"/>
      <c r="E14" s="9"/>
      <c r="F14" s="9"/>
      <c r="G14" s="97"/>
      <c r="H14" s="9"/>
    </row>
    <row r="15" spans="1:8" ht="15" x14ac:dyDescent="0.25">
      <c r="A15" s="97"/>
      <c r="B15" s="98">
        <f>SUM(B4:B14)</f>
        <v>908267.76</v>
      </c>
      <c r="C15" s="99"/>
      <c r="D15" s="98"/>
      <c r="E15" s="99"/>
      <c r="F15" s="98"/>
      <c r="G15" s="97"/>
      <c r="H15" s="9"/>
    </row>
    <row r="16" spans="1:8" ht="15" x14ac:dyDescent="0.25">
      <c r="A16" s="97"/>
      <c r="B16" s="97"/>
      <c r="C16" s="97"/>
      <c r="D16" s="105">
        <f>SUM(D4:D15)</f>
        <v>927164.43</v>
      </c>
      <c r="E16" s="98"/>
      <c r="F16" s="98"/>
      <c r="G16" s="97"/>
      <c r="H16" s="9"/>
    </row>
    <row r="17" spans="1:8" ht="15" x14ac:dyDescent="0.25">
      <c r="A17" s="97"/>
      <c r="B17" s="97"/>
      <c r="C17" s="97"/>
      <c r="D17" s="105"/>
      <c r="E17" s="98"/>
      <c r="F17" s="98"/>
      <c r="G17" s="97"/>
      <c r="H17" s="9"/>
    </row>
    <row r="18" spans="1:8" ht="15.75" thickBot="1" x14ac:dyDescent="0.3">
      <c r="A18" s="97"/>
      <c r="B18" s="96" t="s">
        <v>130</v>
      </c>
      <c r="C18" s="96"/>
      <c r="D18" s="96"/>
      <c r="E18" s="97"/>
      <c r="F18" s="170">
        <f>SUM(F4:F13)</f>
        <v>898832.54520000005</v>
      </c>
      <c r="G18" s="9"/>
      <c r="H18" s="10">
        <f>G4+G5+G6</f>
        <v>28331.884799999985</v>
      </c>
    </row>
    <row r="19" spans="1:8" ht="13.5" thickTop="1" x14ac:dyDescent="0.2"/>
    <row r="23" spans="1:8" x14ac:dyDescent="0.2">
      <c r="A23" s="9"/>
      <c r="B23" s="9"/>
      <c r="C23" s="186" t="s">
        <v>117</v>
      </c>
      <c r="D23" s="186"/>
      <c r="E23" s="9"/>
      <c r="F23" s="9"/>
      <c r="G23" s="9"/>
      <c r="H23" s="9"/>
    </row>
    <row r="24" spans="1:8" x14ac:dyDescent="0.2">
      <c r="A24" s="9"/>
      <c r="B24" s="9"/>
      <c r="C24" s="188" t="s">
        <v>77</v>
      </c>
      <c r="D24" s="187"/>
      <c r="E24" s="9"/>
      <c r="F24" s="9"/>
      <c r="G24" s="9"/>
      <c r="H24" s="9"/>
    </row>
    <row r="25" spans="1:8" ht="60" x14ac:dyDescent="0.25">
      <c r="A25" s="93" t="s">
        <v>0</v>
      </c>
      <c r="B25" s="94" t="s">
        <v>48</v>
      </c>
      <c r="C25" s="94" t="s">
        <v>132</v>
      </c>
      <c r="D25" s="94" t="s">
        <v>133</v>
      </c>
      <c r="E25" s="94" t="s">
        <v>120</v>
      </c>
      <c r="F25" s="94" t="s">
        <v>2</v>
      </c>
      <c r="G25" s="95" t="s">
        <v>121</v>
      </c>
      <c r="H25" s="96" t="s">
        <v>3</v>
      </c>
    </row>
    <row r="26" spans="1:8" ht="15" x14ac:dyDescent="0.25">
      <c r="A26" s="97" t="s">
        <v>4</v>
      </c>
      <c r="B26" s="98">
        <v>615000</v>
      </c>
      <c r="C26" s="99">
        <f>(D26-B26)/B26</f>
        <v>8.1300813008130079E-2</v>
      </c>
      <c r="D26" s="98">
        <v>665000</v>
      </c>
      <c r="E26" s="99">
        <v>0.94</v>
      </c>
      <c r="F26" s="100">
        <f t="shared" ref="F26:F35" si="3">+D26*E26</f>
        <v>625100</v>
      </c>
      <c r="G26" s="101">
        <f>D26-F26</f>
        <v>39900</v>
      </c>
      <c r="H26" s="9"/>
    </row>
    <row r="27" spans="1:8" ht="15" x14ac:dyDescent="0.25">
      <c r="A27" s="97" t="s">
        <v>5</v>
      </c>
      <c r="B27" s="98">
        <v>6584.21</v>
      </c>
      <c r="C27" s="99">
        <f t="shared" ref="C27:C35" si="4">(D27-B27)/B27</f>
        <v>5.9030620226268614E-2</v>
      </c>
      <c r="D27" s="102">
        <f>332.04+6640.84</f>
        <v>6972.88</v>
      </c>
      <c r="E27" s="99">
        <v>0.94</v>
      </c>
      <c r="F27" s="100">
        <f t="shared" si="3"/>
        <v>6554.5072</v>
      </c>
      <c r="G27" s="101">
        <f t="shared" ref="G27:G28" si="5">D27-F27</f>
        <v>418.3728000000001</v>
      </c>
      <c r="H27" s="9"/>
    </row>
    <row r="28" spans="1:8" ht="15" x14ac:dyDescent="0.25">
      <c r="A28" s="97" t="s">
        <v>122</v>
      </c>
      <c r="B28" s="98">
        <v>-301466</v>
      </c>
      <c r="C28" s="99">
        <v>-1</v>
      </c>
      <c r="D28" s="98">
        <v>0</v>
      </c>
      <c r="E28" s="99">
        <v>0.96399999999999997</v>
      </c>
      <c r="F28" s="100">
        <f t="shared" si="3"/>
        <v>0</v>
      </c>
      <c r="G28" s="101">
        <f t="shared" si="5"/>
        <v>0</v>
      </c>
      <c r="H28" s="9"/>
    </row>
    <row r="29" spans="1:8" ht="15" x14ac:dyDescent="0.25">
      <c r="A29" s="97" t="s">
        <v>123</v>
      </c>
      <c r="B29" s="98">
        <v>263550</v>
      </c>
      <c r="C29" s="99">
        <f t="shared" si="4"/>
        <v>0</v>
      </c>
      <c r="D29" s="98">
        <v>263550</v>
      </c>
      <c r="E29" s="99">
        <v>1</v>
      </c>
      <c r="F29" s="100">
        <f t="shared" si="3"/>
        <v>263550</v>
      </c>
      <c r="G29" s="103"/>
      <c r="H29" s="9"/>
    </row>
    <row r="30" spans="1:8" ht="15" x14ac:dyDescent="0.25">
      <c r="A30" s="97" t="s">
        <v>124</v>
      </c>
      <c r="B30" s="98">
        <v>5534.55</v>
      </c>
      <c r="C30" s="99">
        <f t="shared" si="4"/>
        <v>0</v>
      </c>
      <c r="D30" s="102">
        <f>263.55+5271</f>
        <v>5534.55</v>
      </c>
      <c r="E30" s="99">
        <v>1</v>
      </c>
      <c r="F30" s="100">
        <f t="shared" si="3"/>
        <v>5534.55</v>
      </c>
      <c r="G30" s="104"/>
      <c r="H30" s="9"/>
    </row>
    <row r="31" spans="1:8" ht="15" x14ac:dyDescent="0.25">
      <c r="A31" s="97" t="s">
        <v>125</v>
      </c>
      <c r="B31" s="98">
        <v>80000</v>
      </c>
      <c r="C31" s="99">
        <f t="shared" si="4"/>
        <v>0</v>
      </c>
      <c r="D31" s="98">
        <v>80000</v>
      </c>
      <c r="E31" s="99">
        <v>1</v>
      </c>
      <c r="F31" s="100">
        <f t="shared" si="3"/>
        <v>80000</v>
      </c>
      <c r="G31" s="97"/>
      <c r="H31" s="9"/>
    </row>
    <row r="32" spans="1:8" ht="15" x14ac:dyDescent="0.25">
      <c r="A32" s="97" t="s">
        <v>126</v>
      </c>
      <c r="B32" s="98">
        <v>60000</v>
      </c>
      <c r="C32" s="99">
        <f t="shared" si="4"/>
        <v>0</v>
      </c>
      <c r="D32" s="98">
        <v>60000</v>
      </c>
      <c r="E32" s="99">
        <v>1</v>
      </c>
      <c r="F32" s="100">
        <f t="shared" si="3"/>
        <v>60000</v>
      </c>
      <c r="G32" s="97"/>
      <c r="H32" s="9"/>
    </row>
    <row r="33" spans="1:8" ht="15" x14ac:dyDescent="0.25">
      <c r="A33" s="97" t="s">
        <v>127</v>
      </c>
      <c r="B33" s="98">
        <v>52065</v>
      </c>
      <c r="C33" s="99">
        <f t="shared" si="4"/>
        <v>0</v>
      </c>
      <c r="D33" s="98">
        <v>52065</v>
      </c>
      <c r="E33" s="99">
        <v>1</v>
      </c>
      <c r="F33" s="100">
        <f t="shared" si="3"/>
        <v>52065</v>
      </c>
      <c r="G33" s="97"/>
      <c r="H33" s="9"/>
    </row>
    <row r="34" spans="1:8" ht="15" x14ac:dyDescent="0.25">
      <c r="A34" s="97" t="s">
        <v>128</v>
      </c>
      <c r="B34" s="98">
        <v>75000</v>
      </c>
      <c r="C34" s="99">
        <f t="shared" si="4"/>
        <v>0</v>
      </c>
      <c r="D34" s="98">
        <v>75000</v>
      </c>
      <c r="E34" s="99">
        <v>1</v>
      </c>
      <c r="F34" s="100">
        <f t="shared" si="3"/>
        <v>75000</v>
      </c>
      <c r="G34" s="97"/>
      <c r="H34" s="9"/>
    </row>
    <row r="35" spans="1:8" ht="15" x14ac:dyDescent="0.25">
      <c r="A35" s="97" t="s">
        <v>129</v>
      </c>
      <c r="B35" s="98">
        <v>52000</v>
      </c>
      <c r="C35" s="99">
        <f t="shared" si="4"/>
        <v>0</v>
      </c>
      <c r="D35" s="98">
        <v>52000</v>
      </c>
      <c r="E35" s="99">
        <v>1</v>
      </c>
      <c r="F35" s="100">
        <f t="shared" si="3"/>
        <v>52000</v>
      </c>
      <c r="G35" s="97"/>
      <c r="H35" s="9"/>
    </row>
    <row r="36" spans="1:8" ht="15" x14ac:dyDescent="0.25">
      <c r="A36" s="9"/>
      <c r="B36" s="9"/>
      <c r="C36" s="9"/>
      <c r="D36" s="9"/>
      <c r="E36" s="9"/>
      <c r="F36" s="9"/>
      <c r="G36" s="97"/>
      <c r="H36" s="9"/>
    </row>
    <row r="37" spans="1:8" ht="15" x14ac:dyDescent="0.25">
      <c r="A37" s="97"/>
      <c r="B37" s="98">
        <f>SUM(B26:B36)</f>
        <v>908267.76</v>
      </c>
      <c r="C37" s="99"/>
      <c r="D37" s="98"/>
      <c r="E37" s="99"/>
      <c r="F37" s="98"/>
      <c r="G37" s="97"/>
      <c r="H37" s="9"/>
    </row>
    <row r="38" spans="1:8" ht="15" x14ac:dyDescent="0.25">
      <c r="A38" s="97"/>
      <c r="B38" s="97"/>
      <c r="C38" s="97"/>
      <c r="D38" s="105">
        <f>SUM(D26:D37)</f>
        <v>1260122.4300000002</v>
      </c>
      <c r="E38" s="98"/>
      <c r="F38" s="98"/>
      <c r="G38" s="97"/>
      <c r="H38" s="9"/>
    </row>
    <row r="39" spans="1:8" ht="15" x14ac:dyDescent="0.25">
      <c r="A39" s="97"/>
      <c r="B39" s="97"/>
      <c r="C39" s="97"/>
      <c r="D39" s="105"/>
      <c r="E39" s="98"/>
      <c r="F39" s="98"/>
      <c r="G39" s="97"/>
      <c r="H39" s="9"/>
    </row>
    <row r="40" spans="1:8" ht="15.75" thickBot="1" x14ac:dyDescent="0.3">
      <c r="A40" s="97"/>
      <c r="B40" s="96" t="s">
        <v>130</v>
      </c>
      <c r="C40" s="96"/>
      <c r="D40" s="96"/>
      <c r="E40" s="97"/>
      <c r="F40" s="106">
        <f>SUM(F26:F35)</f>
        <v>1219804.0572000002</v>
      </c>
      <c r="G40" s="9"/>
      <c r="H40" s="10">
        <f>G26+G27+G28</f>
        <v>40318.372799999997</v>
      </c>
    </row>
    <row r="41" spans="1:8" ht="13.5" thickTop="1" x14ac:dyDescent="0.2"/>
  </sheetData>
  <mergeCells count="4">
    <mergeCell ref="C1:D1"/>
    <mergeCell ref="C2:D2"/>
    <mergeCell ref="C23:D23"/>
    <mergeCell ref="C24:D24"/>
  </mergeCells>
  <pageMargins left="0.7" right="0.7" top="0.75" bottom="0.75" header="0.3" footer="0.3"/>
  <pageSetup scale="7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C4:P45"/>
  <sheetViews>
    <sheetView topLeftCell="D1" workbookViewId="0">
      <selection activeCell="O18" sqref="O18"/>
    </sheetView>
  </sheetViews>
  <sheetFormatPr defaultRowHeight="12.75" x14ac:dyDescent="0.2"/>
  <cols>
    <col min="3" max="3" width="35.85546875" customWidth="1"/>
    <col min="4" max="4" width="11.28515625" customWidth="1"/>
    <col min="6" max="6" width="21.85546875" customWidth="1"/>
    <col min="10" max="10" width="19" customWidth="1"/>
    <col min="11" max="11" width="14.140625" customWidth="1"/>
    <col min="13" max="13" width="10.140625" bestFit="1" customWidth="1"/>
    <col min="14" max="14" width="11.140625" bestFit="1" customWidth="1"/>
    <col min="15" max="15" width="14.140625" customWidth="1"/>
  </cols>
  <sheetData>
    <row r="4" spans="3:15" x14ac:dyDescent="0.2">
      <c r="F4" s="183" t="s">
        <v>146</v>
      </c>
      <c r="G4" s="183"/>
      <c r="H4" s="183"/>
      <c r="I4" s="183"/>
      <c r="J4" s="183"/>
      <c r="K4" s="183"/>
    </row>
    <row r="5" spans="3:15" x14ac:dyDescent="0.2">
      <c r="F5" s="183" t="s">
        <v>147</v>
      </c>
      <c r="G5" s="183"/>
      <c r="H5" s="183"/>
      <c r="I5" s="183"/>
      <c r="J5" s="183"/>
      <c r="K5" s="183"/>
    </row>
    <row r="7" spans="3:15" ht="60" x14ac:dyDescent="0.25">
      <c r="C7" s="93" t="s">
        <v>0</v>
      </c>
      <c r="D7" s="94" t="s">
        <v>108</v>
      </c>
      <c r="E7" s="94" t="s">
        <v>136</v>
      </c>
      <c r="F7" s="94" t="s">
        <v>140</v>
      </c>
      <c r="G7" s="94" t="s">
        <v>137</v>
      </c>
      <c r="H7" s="94" t="s">
        <v>2</v>
      </c>
      <c r="I7" s="95" t="s">
        <v>121</v>
      </c>
      <c r="J7" s="94" t="s">
        <v>142</v>
      </c>
      <c r="K7" s="110" t="s">
        <v>143</v>
      </c>
      <c r="L7" s="94" t="s">
        <v>137</v>
      </c>
      <c r="M7" s="94" t="s">
        <v>2</v>
      </c>
      <c r="N7" s="110" t="s">
        <v>144</v>
      </c>
      <c r="O7" s="110" t="s">
        <v>145</v>
      </c>
    </row>
    <row r="8" spans="3:15" ht="15" x14ac:dyDescent="0.25">
      <c r="C8" s="97" t="s">
        <v>4</v>
      </c>
      <c r="D8" s="98">
        <v>665000</v>
      </c>
      <c r="E8" s="98">
        <v>164255</v>
      </c>
      <c r="F8" s="98">
        <v>164255</v>
      </c>
      <c r="G8" s="99">
        <v>0.94</v>
      </c>
      <c r="H8" s="100">
        <f t="shared" ref="H8:H17" si="0">+F8*G8</f>
        <v>154399.69999999998</v>
      </c>
      <c r="I8" s="101">
        <f>F8-H8</f>
        <v>9855.3000000000175</v>
      </c>
      <c r="J8" s="99">
        <f t="shared" ref="J8:J17" si="1">(F8-E8)/E8</f>
        <v>0</v>
      </c>
      <c r="K8" s="111">
        <f>D8*(1+J8)</f>
        <v>665000</v>
      </c>
      <c r="L8" s="99">
        <v>0.94</v>
      </c>
      <c r="M8" s="111">
        <f>K8*L8</f>
        <v>625100</v>
      </c>
      <c r="N8" s="111">
        <f>(275/365)*M8</f>
        <v>470965.75342465757</v>
      </c>
      <c r="O8" s="111">
        <f>H8+N8</f>
        <v>625365.45342465758</v>
      </c>
    </row>
    <row r="9" spans="3:15" ht="15" x14ac:dyDescent="0.25">
      <c r="C9" s="97" t="s">
        <v>5</v>
      </c>
      <c r="D9" s="98">
        <v>6584.21</v>
      </c>
      <c r="E9" s="98">
        <f>83.08+1661.54</f>
        <v>1744.62</v>
      </c>
      <c r="F9" s="102">
        <v>1745</v>
      </c>
      <c r="G9" s="99">
        <v>0.94</v>
      </c>
      <c r="H9" s="100">
        <f t="shared" si="0"/>
        <v>1640.3</v>
      </c>
      <c r="I9" s="101">
        <f t="shared" ref="I9:I10" si="2">F9-H9</f>
        <v>104.70000000000005</v>
      </c>
      <c r="J9" s="99">
        <f t="shared" si="1"/>
        <v>2.1781247492296842E-4</v>
      </c>
      <c r="K9" s="111">
        <f t="shared" ref="K9:K17" si="3">D9*(1+J9)</f>
        <v>6585.6441230755127</v>
      </c>
      <c r="L9" s="99">
        <v>0.94</v>
      </c>
      <c r="M9" s="111">
        <f t="shared" ref="M9:M17" si="4">K9*L9</f>
        <v>6190.5054756909813</v>
      </c>
      <c r="N9" s="111">
        <f t="shared" ref="N9:N17" si="5">(275/365)*M9</f>
        <v>4664.0794679863557</v>
      </c>
      <c r="O9" s="111">
        <f t="shared" ref="O9:O17" si="6">H9+N9</f>
        <v>6304.3794679863558</v>
      </c>
    </row>
    <row r="10" spans="3:15" ht="15" x14ac:dyDescent="0.25">
      <c r="C10" s="97" t="s">
        <v>122</v>
      </c>
      <c r="D10" s="98">
        <v>-328654</v>
      </c>
      <c r="E10" s="98">
        <f>-81178</f>
        <v>-81178</v>
      </c>
      <c r="F10" s="98">
        <f>-81178</f>
        <v>-81178</v>
      </c>
      <c r="G10" s="99">
        <v>0.95199999999999996</v>
      </c>
      <c r="H10" s="100">
        <f t="shared" si="0"/>
        <v>-77281.455999999991</v>
      </c>
      <c r="I10" s="101">
        <f t="shared" si="2"/>
        <v>-3896.544000000009</v>
      </c>
      <c r="J10" s="99">
        <f t="shared" si="1"/>
        <v>0</v>
      </c>
      <c r="K10" s="111">
        <f t="shared" si="3"/>
        <v>-328654</v>
      </c>
      <c r="L10" s="99">
        <v>0.95199999999999996</v>
      </c>
      <c r="M10" s="111">
        <f t="shared" si="4"/>
        <v>-312878.60800000001</v>
      </c>
      <c r="N10" s="111">
        <f t="shared" si="5"/>
        <v>-235730.45808219179</v>
      </c>
      <c r="O10" s="111">
        <f t="shared" si="6"/>
        <v>-313011.91408219177</v>
      </c>
    </row>
    <row r="11" spans="3:15" ht="15" x14ac:dyDescent="0.25">
      <c r="C11" s="97" t="s">
        <v>123</v>
      </c>
      <c r="D11" s="98">
        <v>263550</v>
      </c>
      <c r="E11" s="98">
        <v>65096</v>
      </c>
      <c r="F11" s="98">
        <v>65096</v>
      </c>
      <c r="G11" s="99">
        <v>1</v>
      </c>
      <c r="H11" s="100">
        <f t="shared" si="0"/>
        <v>65096</v>
      </c>
      <c r="I11" s="103"/>
      <c r="J11" s="99">
        <f t="shared" si="1"/>
        <v>0</v>
      </c>
      <c r="K11" s="111">
        <f t="shared" si="3"/>
        <v>263550</v>
      </c>
      <c r="L11" s="99">
        <v>1</v>
      </c>
      <c r="M11" s="111">
        <f t="shared" si="4"/>
        <v>263550</v>
      </c>
      <c r="N11" s="111">
        <f t="shared" si="5"/>
        <v>198565.0684931507</v>
      </c>
      <c r="O11" s="111">
        <f t="shared" si="6"/>
        <v>263661.0684931507</v>
      </c>
    </row>
    <row r="12" spans="3:15" ht="15" x14ac:dyDescent="0.25">
      <c r="C12" s="97" t="s">
        <v>124</v>
      </c>
      <c r="D12" s="98">
        <v>5534.55</v>
      </c>
      <c r="E12" s="98">
        <f>65.1+1301.92</f>
        <v>1367.02</v>
      </c>
      <c r="F12" s="102">
        <v>1367</v>
      </c>
      <c r="G12" s="99">
        <v>1</v>
      </c>
      <c r="H12" s="100">
        <f t="shared" si="0"/>
        <v>1367</v>
      </c>
      <c r="I12" s="104"/>
      <c r="J12" s="99">
        <f t="shared" si="1"/>
        <v>-1.4630363857135821E-5</v>
      </c>
      <c r="K12" s="111">
        <f t="shared" si="3"/>
        <v>5534.4690275197145</v>
      </c>
      <c r="L12" s="99">
        <v>1</v>
      </c>
      <c r="M12" s="111">
        <f t="shared" si="4"/>
        <v>5534.4690275197145</v>
      </c>
      <c r="N12" s="111">
        <f t="shared" si="5"/>
        <v>4169.8054316929356</v>
      </c>
      <c r="O12" s="111">
        <f t="shared" si="6"/>
        <v>5536.8054316929356</v>
      </c>
    </row>
    <row r="13" spans="3:15" ht="15" x14ac:dyDescent="0.25">
      <c r="C13" s="97" t="s">
        <v>125</v>
      </c>
      <c r="D13" s="98">
        <v>80000</v>
      </c>
      <c r="E13" s="98">
        <v>19760</v>
      </c>
      <c r="F13" s="102">
        <v>19760</v>
      </c>
      <c r="G13" s="99">
        <v>1</v>
      </c>
      <c r="H13" s="100">
        <f t="shared" si="0"/>
        <v>19760</v>
      </c>
      <c r="I13" s="97"/>
      <c r="J13" s="99">
        <f t="shared" si="1"/>
        <v>0</v>
      </c>
      <c r="K13" s="111">
        <f t="shared" si="3"/>
        <v>80000</v>
      </c>
      <c r="L13" s="99">
        <v>1</v>
      </c>
      <c r="M13" s="111">
        <f t="shared" si="4"/>
        <v>80000</v>
      </c>
      <c r="N13" s="111">
        <f t="shared" si="5"/>
        <v>60273.972602739726</v>
      </c>
      <c r="O13" s="111">
        <f t="shared" si="6"/>
        <v>80033.972602739726</v>
      </c>
    </row>
    <row r="14" spans="3:15" ht="15" x14ac:dyDescent="0.25">
      <c r="C14" s="97" t="s">
        <v>126</v>
      </c>
      <c r="D14" s="98">
        <v>60000</v>
      </c>
      <c r="E14" s="98">
        <v>14820</v>
      </c>
      <c r="F14" s="102">
        <v>14820</v>
      </c>
      <c r="G14" s="99">
        <v>1</v>
      </c>
      <c r="H14" s="100">
        <f t="shared" si="0"/>
        <v>14820</v>
      </c>
      <c r="I14" s="97"/>
      <c r="J14" s="99">
        <f t="shared" si="1"/>
        <v>0</v>
      </c>
      <c r="K14" s="111">
        <f t="shared" si="3"/>
        <v>60000</v>
      </c>
      <c r="L14" s="99">
        <v>1</v>
      </c>
      <c r="M14" s="111">
        <f t="shared" si="4"/>
        <v>60000</v>
      </c>
      <c r="N14" s="111">
        <f t="shared" si="5"/>
        <v>45205.479452054795</v>
      </c>
      <c r="O14" s="111">
        <f t="shared" si="6"/>
        <v>60025.479452054795</v>
      </c>
    </row>
    <row r="15" spans="3:15" ht="15" x14ac:dyDescent="0.25">
      <c r="C15" s="97" t="s">
        <v>127</v>
      </c>
      <c r="D15" s="98">
        <v>52065</v>
      </c>
      <c r="E15" s="98">
        <v>12844</v>
      </c>
      <c r="F15" s="102">
        <v>12844</v>
      </c>
      <c r="G15" s="99">
        <v>1</v>
      </c>
      <c r="H15" s="100">
        <f t="shared" si="0"/>
        <v>12844</v>
      </c>
      <c r="I15" s="97"/>
      <c r="J15" s="99">
        <f t="shared" si="1"/>
        <v>0</v>
      </c>
      <c r="K15" s="111">
        <f t="shared" si="3"/>
        <v>52065</v>
      </c>
      <c r="L15" s="99">
        <v>1</v>
      </c>
      <c r="M15" s="111">
        <f t="shared" si="4"/>
        <v>52065</v>
      </c>
      <c r="N15" s="111">
        <f t="shared" si="5"/>
        <v>39227.054794520547</v>
      </c>
      <c r="O15" s="111">
        <f t="shared" si="6"/>
        <v>52071.054794520547</v>
      </c>
    </row>
    <row r="16" spans="3:15" ht="15" x14ac:dyDescent="0.25">
      <c r="C16" s="108" t="s">
        <v>138</v>
      </c>
      <c r="D16" s="98">
        <v>75000</v>
      </c>
      <c r="E16" s="98">
        <v>18525</v>
      </c>
      <c r="F16" s="102">
        <v>18525</v>
      </c>
      <c r="G16" s="99">
        <v>1</v>
      </c>
      <c r="H16" s="100">
        <f t="shared" si="0"/>
        <v>18525</v>
      </c>
      <c r="I16" s="97"/>
      <c r="J16" s="99">
        <f t="shared" si="1"/>
        <v>0</v>
      </c>
      <c r="K16" s="111">
        <f t="shared" si="3"/>
        <v>75000</v>
      </c>
      <c r="L16" s="99">
        <v>1</v>
      </c>
      <c r="M16" s="111">
        <f t="shared" si="4"/>
        <v>75000</v>
      </c>
      <c r="N16" s="111">
        <f t="shared" si="5"/>
        <v>56506.849315068495</v>
      </c>
      <c r="O16" s="111">
        <f t="shared" si="6"/>
        <v>75031.849315068495</v>
      </c>
    </row>
    <row r="17" spans="3:16" ht="15" x14ac:dyDescent="0.25">
      <c r="C17" s="97" t="s">
        <v>129</v>
      </c>
      <c r="D17" s="98">
        <v>52000</v>
      </c>
      <c r="E17" s="98">
        <v>12844</v>
      </c>
      <c r="F17" s="102">
        <v>12844</v>
      </c>
      <c r="G17" s="99">
        <v>1</v>
      </c>
      <c r="H17" s="100">
        <f t="shared" si="0"/>
        <v>12844</v>
      </c>
      <c r="I17" s="97"/>
      <c r="J17" s="99">
        <f t="shared" si="1"/>
        <v>0</v>
      </c>
      <c r="K17" s="111">
        <f t="shared" si="3"/>
        <v>52000</v>
      </c>
      <c r="L17" s="99">
        <v>1</v>
      </c>
      <c r="M17" s="111">
        <f t="shared" si="4"/>
        <v>52000</v>
      </c>
      <c r="N17" s="111">
        <f t="shared" si="5"/>
        <v>39178.082191780821</v>
      </c>
      <c r="O17" s="111">
        <f t="shared" si="6"/>
        <v>52022.082191780821</v>
      </c>
    </row>
    <row r="18" spans="3:16" ht="15.75" thickBot="1" x14ac:dyDescent="0.3">
      <c r="C18" s="9"/>
      <c r="D18" s="113">
        <f ca="1">SUM(D8:D18)</f>
        <v>931079.76</v>
      </c>
      <c r="E18" s="9"/>
      <c r="F18" s="9"/>
      <c r="G18" s="9"/>
      <c r="H18" s="9"/>
      <c r="I18" s="97"/>
      <c r="O18" s="171">
        <f>SUM(O8:O17)</f>
        <v>907040.23109146033</v>
      </c>
    </row>
    <row r="19" spans="3:16" ht="15.75" thickTop="1" x14ac:dyDescent="0.25">
      <c r="C19" s="109"/>
      <c r="E19" s="98"/>
      <c r="F19" s="98"/>
      <c r="G19" s="99"/>
      <c r="H19" s="98"/>
      <c r="I19" s="97"/>
    </row>
    <row r="20" spans="3:16" x14ac:dyDescent="0.2">
      <c r="C20" s="22" t="s">
        <v>139</v>
      </c>
    </row>
    <row r="21" spans="3:16" x14ac:dyDescent="0.2">
      <c r="C21" t="s">
        <v>141</v>
      </c>
    </row>
    <row r="27" spans="3:16" x14ac:dyDescent="0.2">
      <c r="C27" s="9"/>
      <c r="D27" s="9"/>
      <c r="E27" s="9"/>
      <c r="F27" s="183" t="s">
        <v>146</v>
      </c>
      <c r="G27" s="183"/>
      <c r="H27" s="183"/>
      <c r="I27" s="183"/>
      <c r="J27" s="183"/>
      <c r="K27" s="183"/>
      <c r="L27" s="9"/>
      <c r="M27" s="9"/>
      <c r="N27" s="9"/>
      <c r="O27" s="9"/>
      <c r="P27" s="9"/>
    </row>
    <row r="28" spans="3:16" x14ac:dyDescent="0.2">
      <c r="C28" s="9"/>
      <c r="D28" s="9"/>
      <c r="E28" s="9"/>
      <c r="F28" s="183" t="s">
        <v>147</v>
      </c>
      <c r="G28" s="183"/>
      <c r="H28" s="183"/>
      <c r="I28" s="183"/>
      <c r="J28" s="183"/>
      <c r="K28" s="183"/>
      <c r="L28" s="9"/>
      <c r="M28" s="9"/>
      <c r="N28" s="9"/>
      <c r="O28" s="9"/>
      <c r="P28" s="9"/>
    </row>
    <row r="29" spans="3:16" x14ac:dyDescent="0.2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3:16" ht="60" x14ac:dyDescent="0.25">
      <c r="C30" s="93" t="s">
        <v>0</v>
      </c>
      <c r="D30" s="94" t="s">
        <v>108</v>
      </c>
      <c r="E30" s="94" t="s">
        <v>136</v>
      </c>
      <c r="F30" s="94" t="s">
        <v>140</v>
      </c>
      <c r="G30" s="94" t="s">
        <v>137</v>
      </c>
      <c r="H30" s="94" t="s">
        <v>2</v>
      </c>
      <c r="I30" s="95" t="s">
        <v>121</v>
      </c>
      <c r="J30" s="94" t="s">
        <v>142</v>
      </c>
      <c r="K30" s="110" t="s">
        <v>143</v>
      </c>
      <c r="L30" s="94" t="s">
        <v>137</v>
      </c>
      <c r="M30" s="94" t="s">
        <v>2</v>
      </c>
      <c r="N30" s="110" t="s">
        <v>144</v>
      </c>
      <c r="O30" s="110" t="s">
        <v>145</v>
      </c>
      <c r="P30" s="9"/>
    </row>
    <row r="31" spans="3:16" ht="15" x14ac:dyDescent="0.25">
      <c r="C31" s="97" t="s">
        <v>4</v>
      </c>
      <c r="D31" s="98">
        <v>665000</v>
      </c>
      <c r="E31" s="98">
        <v>164255</v>
      </c>
      <c r="F31" s="98">
        <v>164255</v>
      </c>
      <c r="G31" s="99">
        <v>0.94</v>
      </c>
      <c r="H31" s="100">
        <f t="shared" ref="H31:H40" si="7">+F31*G31</f>
        <v>154399.69999999998</v>
      </c>
      <c r="I31" s="101">
        <f>F31-H31</f>
        <v>9855.3000000000175</v>
      </c>
      <c r="J31" s="99">
        <f t="shared" ref="J31:J40" si="8">(F31-E31)/E31</f>
        <v>0</v>
      </c>
      <c r="K31" s="111">
        <f>D31*(1+J31)</f>
        <v>665000</v>
      </c>
      <c r="L31" s="99">
        <v>0.94</v>
      </c>
      <c r="M31" s="111">
        <f>K31*L31</f>
        <v>625100</v>
      </c>
      <c r="N31" s="111">
        <f>(275/365)*M31</f>
        <v>470965.75342465757</v>
      </c>
      <c r="O31" s="111">
        <f>H31+N31</f>
        <v>625365.45342465758</v>
      </c>
      <c r="P31" s="9"/>
    </row>
    <row r="32" spans="3:16" ht="15" x14ac:dyDescent="0.25">
      <c r="C32" s="97" t="s">
        <v>5</v>
      </c>
      <c r="D32" s="98">
        <v>6584.21</v>
      </c>
      <c r="E32" s="98">
        <f>83.08+1661.54</f>
        <v>1744.62</v>
      </c>
      <c r="F32" s="102">
        <v>1745</v>
      </c>
      <c r="G32" s="99">
        <v>0.94</v>
      </c>
      <c r="H32" s="100">
        <f t="shared" si="7"/>
        <v>1640.3</v>
      </c>
      <c r="I32" s="101">
        <f t="shared" ref="I32:I33" si="9">F32-H32</f>
        <v>104.70000000000005</v>
      </c>
      <c r="J32" s="99">
        <f t="shared" si="8"/>
        <v>2.1781247492296842E-4</v>
      </c>
      <c r="K32" s="111">
        <f t="shared" ref="K32:K40" si="10">D32*(1+J32)</f>
        <v>6585.6441230755127</v>
      </c>
      <c r="L32" s="99">
        <v>0.94</v>
      </c>
      <c r="M32" s="111">
        <f t="shared" ref="M32:M40" si="11">K32*L32</f>
        <v>6190.5054756909813</v>
      </c>
      <c r="N32" s="111">
        <f t="shared" ref="N32:N40" si="12">(275/365)*M32</f>
        <v>4664.0794679863557</v>
      </c>
      <c r="O32" s="111">
        <f t="shared" ref="O32:O40" si="13">H32+N32</f>
        <v>6304.3794679863558</v>
      </c>
      <c r="P32" s="9"/>
    </row>
    <row r="33" spans="3:16" ht="15" x14ac:dyDescent="0.25">
      <c r="C33" s="97" t="s">
        <v>122</v>
      </c>
      <c r="D33" s="98">
        <v>0</v>
      </c>
      <c r="E33" s="98">
        <v>0</v>
      </c>
      <c r="F33" s="98">
        <v>0</v>
      </c>
      <c r="G33" s="99">
        <v>0.95199999999999996</v>
      </c>
      <c r="H33" s="100">
        <f t="shared" si="7"/>
        <v>0</v>
      </c>
      <c r="I33" s="101">
        <f t="shared" si="9"/>
        <v>0</v>
      </c>
      <c r="J33" s="99" t="e">
        <f t="shared" si="8"/>
        <v>#DIV/0!</v>
      </c>
      <c r="K33" s="111">
        <v>0</v>
      </c>
      <c r="L33" s="99">
        <v>0.95199999999999996</v>
      </c>
      <c r="M33" s="111">
        <f t="shared" si="11"/>
        <v>0</v>
      </c>
      <c r="N33" s="111">
        <f t="shared" si="12"/>
        <v>0</v>
      </c>
      <c r="O33" s="111">
        <f t="shared" si="13"/>
        <v>0</v>
      </c>
      <c r="P33" s="9"/>
    </row>
    <row r="34" spans="3:16" ht="15" x14ac:dyDescent="0.25">
      <c r="C34" s="97" t="s">
        <v>123</v>
      </c>
      <c r="D34" s="98">
        <v>263550</v>
      </c>
      <c r="E34" s="98">
        <v>65096</v>
      </c>
      <c r="F34" s="98">
        <v>65096</v>
      </c>
      <c r="G34" s="99">
        <v>1</v>
      </c>
      <c r="H34" s="100">
        <f t="shared" si="7"/>
        <v>65096</v>
      </c>
      <c r="I34" s="103"/>
      <c r="J34" s="99">
        <f t="shared" si="8"/>
        <v>0</v>
      </c>
      <c r="K34" s="111">
        <f t="shared" si="10"/>
        <v>263550</v>
      </c>
      <c r="L34" s="99">
        <v>1</v>
      </c>
      <c r="M34" s="111">
        <f t="shared" si="11"/>
        <v>263550</v>
      </c>
      <c r="N34" s="111">
        <f t="shared" si="12"/>
        <v>198565.0684931507</v>
      </c>
      <c r="O34" s="111">
        <f t="shared" si="13"/>
        <v>263661.0684931507</v>
      </c>
      <c r="P34" s="9"/>
    </row>
    <row r="35" spans="3:16" ht="15" x14ac:dyDescent="0.25">
      <c r="C35" s="97" t="s">
        <v>124</v>
      </c>
      <c r="D35" s="98">
        <v>5534.55</v>
      </c>
      <c r="E35" s="98">
        <f>65.1+1301.92</f>
        <v>1367.02</v>
      </c>
      <c r="F35" s="102">
        <v>1367</v>
      </c>
      <c r="G35" s="99">
        <v>1</v>
      </c>
      <c r="H35" s="100">
        <f t="shared" si="7"/>
        <v>1367</v>
      </c>
      <c r="I35" s="104"/>
      <c r="J35" s="99">
        <f t="shared" si="8"/>
        <v>-1.4630363857135821E-5</v>
      </c>
      <c r="K35" s="111">
        <f t="shared" si="10"/>
        <v>5534.4690275197145</v>
      </c>
      <c r="L35" s="99">
        <v>1</v>
      </c>
      <c r="M35" s="111">
        <f t="shared" si="11"/>
        <v>5534.4690275197145</v>
      </c>
      <c r="N35" s="111">
        <f t="shared" si="12"/>
        <v>4169.8054316929356</v>
      </c>
      <c r="O35" s="111">
        <f t="shared" si="13"/>
        <v>5536.8054316929356</v>
      </c>
      <c r="P35" s="9"/>
    </row>
    <row r="36" spans="3:16" ht="15" x14ac:dyDescent="0.25">
      <c r="C36" s="97" t="s">
        <v>125</v>
      </c>
      <c r="D36" s="98">
        <v>80000</v>
      </c>
      <c r="E36" s="98">
        <v>19760</v>
      </c>
      <c r="F36" s="102">
        <v>19760</v>
      </c>
      <c r="G36" s="99">
        <v>1</v>
      </c>
      <c r="H36" s="100">
        <f t="shared" si="7"/>
        <v>19760</v>
      </c>
      <c r="I36" s="97"/>
      <c r="J36" s="99">
        <f t="shared" si="8"/>
        <v>0</v>
      </c>
      <c r="K36" s="111">
        <f t="shared" si="10"/>
        <v>80000</v>
      </c>
      <c r="L36" s="99">
        <v>1</v>
      </c>
      <c r="M36" s="111">
        <f t="shared" si="11"/>
        <v>80000</v>
      </c>
      <c r="N36" s="111">
        <f t="shared" si="12"/>
        <v>60273.972602739726</v>
      </c>
      <c r="O36" s="111">
        <f t="shared" si="13"/>
        <v>80033.972602739726</v>
      </c>
      <c r="P36" s="9"/>
    </row>
    <row r="37" spans="3:16" ht="15" x14ac:dyDescent="0.25">
      <c r="C37" s="97" t="s">
        <v>126</v>
      </c>
      <c r="D37" s="98">
        <v>60000</v>
      </c>
      <c r="E37" s="98">
        <v>14820</v>
      </c>
      <c r="F37" s="102">
        <v>14820</v>
      </c>
      <c r="G37" s="99">
        <v>1</v>
      </c>
      <c r="H37" s="100">
        <f t="shared" si="7"/>
        <v>14820</v>
      </c>
      <c r="I37" s="97"/>
      <c r="J37" s="99">
        <f t="shared" si="8"/>
        <v>0</v>
      </c>
      <c r="K37" s="111">
        <f t="shared" si="10"/>
        <v>60000</v>
      </c>
      <c r="L37" s="99">
        <v>1</v>
      </c>
      <c r="M37" s="111">
        <f t="shared" si="11"/>
        <v>60000</v>
      </c>
      <c r="N37" s="111">
        <f t="shared" si="12"/>
        <v>45205.479452054795</v>
      </c>
      <c r="O37" s="111">
        <f t="shared" si="13"/>
        <v>60025.479452054795</v>
      </c>
      <c r="P37" s="9"/>
    </row>
    <row r="38" spans="3:16" ht="15" x14ac:dyDescent="0.25">
      <c r="C38" s="97" t="s">
        <v>127</v>
      </c>
      <c r="D38" s="98">
        <v>52065</v>
      </c>
      <c r="E38" s="98">
        <v>12844</v>
      </c>
      <c r="F38" s="102">
        <v>12844</v>
      </c>
      <c r="G38" s="99">
        <v>1</v>
      </c>
      <c r="H38" s="100">
        <f t="shared" si="7"/>
        <v>12844</v>
      </c>
      <c r="I38" s="97"/>
      <c r="J38" s="99">
        <f t="shared" si="8"/>
        <v>0</v>
      </c>
      <c r="K38" s="111">
        <f t="shared" si="10"/>
        <v>52065</v>
      </c>
      <c r="L38" s="99">
        <v>1</v>
      </c>
      <c r="M38" s="111">
        <f t="shared" si="11"/>
        <v>52065</v>
      </c>
      <c r="N38" s="111">
        <f t="shared" si="12"/>
        <v>39227.054794520547</v>
      </c>
      <c r="O38" s="111">
        <f t="shared" si="13"/>
        <v>52071.054794520547</v>
      </c>
      <c r="P38" s="9"/>
    </row>
    <row r="39" spans="3:16" ht="15" x14ac:dyDescent="0.25">
      <c r="C39" s="108" t="s">
        <v>138</v>
      </c>
      <c r="D39" s="98">
        <v>75000</v>
      </c>
      <c r="E39" s="98">
        <v>18525</v>
      </c>
      <c r="F39" s="102">
        <v>18525</v>
      </c>
      <c r="G39" s="99">
        <v>1</v>
      </c>
      <c r="H39" s="100">
        <f t="shared" si="7"/>
        <v>18525</v>
      </c>
      <c r="I39" s="97"/>
      <c r="J39" s="99">
        <f t="shared" si="8"/>
        <v>0</v>
      </c>
      <c r="K39" s="111">
        <f t="shared" si="10"/>
        <v>75000</v>
      </c>
      <c r="L39" s="99">
        <v>1</v>
      </c>
      <c r="M39" s="111">
        <f t="shared" si="11"/>
        <v>75000</v>
      </c>
      <c r="N39" s="111">
        <f t="shared" si="12"/>
        <v>56506.849315068495</v>
      </c>
      <c r="O39" s="111">
        <f t="shared" si="13"/>
        <v>75031.849315068495</v>
      </c>
      <c r="P39" s="9"/>
    </row>
    <row r="40" spans="3:16" ht="15" x14ac:dyDescent="0.25">
      <c r="C40" s="97" t="s">
        <v>129</v>
      </c>
      <c r="D40" s="98">
        <v>52000</v>
      </c>
      <c r="E40" s="98">
        <v>12844</v>
      </c>
      <c r="F40" s="102">
        <v>12844</v>
      </c>
      <c r="G40" s="99">
        <v>1</v>
      </c>
      <c r="H40" s="100">
        <f t="shared" si="7"/>
        <v>12844</v>
      </c>
      <c r="I40" s="97"/>
      <c r="J40" s="99">
        <f t="shared" si="8"/>
        <v>0</v>
      </c>
      <c r="K40" s="111">
        <f t="shared" si="10"/>
        <v>52000</v>
      </c>
      <c r="L40" s="99">
        <v>1</v>
      </c>
      <c r="M40" s="111">
        <f t="shared" si="11"/>
        <v>52000</v>
      </c>
      <c r="N40" s="111">
        <f t="shared" si="12"/>
        <v>39178.082191780821</v>
      </c>
      <c r="O40" s="111">
        <f t="shared" si="13"/>
        <v>52022.082191780821</v>
      </c>
      <c r="P40" s="9"/>
    </row>
    <row r="41" spans="3:16" ht="15.75" thickBot="1" x14ac:dyDescent="0.3">
      <c r="C41" s="9"/>
      <c r="D41" s="113">
        <f ca="1">SUM(D31:D41)</f>
        <v>931079.76</v>
      </c>
      <c r="E41" s="9"/>
      <c r="F41" s="9"/>
      <c r="G41" s="9"/>
      <c r="H41" s="9"/>
      <c r="I41" s="97"/>
      <c r="J41" s="9"/>
      <c r="K41" s="9"/>
      <c r="L41" s="9"/>
      <c r="M41" s="9"/>
      <c r="N41" s="9"/>
      <c r="O41" s="112">
        <f>SUM(O31:O40)</f>
        <v>1220052.1451736521</v>
      </c>
      <c r="P41" s="9"/>
    </row>
    <row r="42" spans="3:16" ht="15.75" thickTop="1" x14ac:dyDescent="0.25">
      <c r="C42" s="109"/>
      <c r="D42" s="9"/>
      <c r="E42" s="98"/>
      <c r="F42" s="98"/>
      <c r="G42" s="99"/>
      <c r="H42" s="98"/>
      <c r="I42" s="97"/>
      <c r="J42" s="9"/>
      <c r="K42" s="9"/>
      <c r="L42" s="9"/>
      <c r="M42" s="9"/>
      <c r="N42" s="9"/>
      <c r="O42" s="9"/>
      <c r="P42" s="9"/>
    </row>
    <row r="43" spans="3:16" x14ac:dyDescent="0.2">
      <c r="C43" s="22" t="s">
        <v>139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3:16" x14ac:dyDescent="0.2">
      <c r="C44" s="9" t="s">
        <v>141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3:16" x14ac:dyDescent="0.2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</sheetData>
  <mergeCells count="4">
    <mergeCell ref="F4:K4"/>
    <mergeCell ref="F5:K5"/>
    <mergeCell ref="F27:K27"/>
    <mergeCell ref="F28:K28"/>
  </mergeCells>
  <pageMargins left="0.7" right="0.7" top="0.75" bottom="0.75" header="0.3" footer="0.3"/>
  <pageSetup scale="6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C4:O38"/>
  <sheetViews>
    <sheetView topLeftCell="A2" workbookViewId="0">
      <selection activeCell="O18" sqref="O18"/>
    </sheetView>
  </sheetViews>
  <sheetFormatPr defaultRowHeight="12.75" x14ac:dyDescent="0.2"/>
  <cols>
    <col min="1" max="2" width="9.140625" style="9"/>
    <col min="3" max="3" width="35.85546875" style="9" customWidth="1"/>
    <col min="4" max="4" width="18" style="9" customWidth="1"/>
    <col min="5" max="5" width="11.28515625" style="9" customWidth="1"/>
    <col min="6" max="6" width="11" style="9" customWidth="1"/>
    <col min="7" max="9" width="9.140625" style="9"/>
    <col min="10" max="10" width="19" style="9" customWidth="1"/>
    <col min="11" max="11" width="14.140625" style="9" customWidth="1"/>
    <col min="12" max="12" width="12.42578125" style="9" customWidth="1"/>
    <col min="13" max="13" width="10.140625" style="9" bestFit="1" customWidth="1"/>
    <col min="14" max="14" width="11.140625" style="9" bestFit="1" customWidth="1"/>
    <col min="15" max="15" width="14.140625" style="9" customWidth="1"/>
    <col min="16" max="16384" width="9.140625" style="9"/>
  </cols>
  <sheetData>
    <row r="4" spans="3:15" x14ac:dyDescent="0.2">
      <c r="F4" s="183" t="s">
        <v>155</v>
      </c>
      <c r="G4" s="183"/>
      <c r="H4" s="183"/>
      <c r="I4" s="183"/>
      <c r="J4" s="183"/>
      <c r="K4" s="183"/>
      <c r="L4" s="183"/>
    </row>
    <row r="5" spans="3:15" x14ac:dyDescent="0.2">
      <c r="F5" s="183" t="s">
        <v>147</v>
      </c>
      <c r="G5" s="183"/>
      <c r="H5" s="183"/>
      <c r="I5" s="183"/>
      <c r="J5" s="183"/>
      <c r="K5" s="183"/>
      <c r="L5" s="183"/>
      <c r="M5" s="116"/>
    </row>
    <row r="7" spans="3:15" ht="90" x14ac:dyDescent="0.25">
      <c r="C7" s="93" t="s">
        <v>0</v>
      </c>
      <c r="D7" s="94" t="s">
        <v>153</v>
      </c>
      <c r="E7" s="94" t="s">
        <v>149</v>
      </c>
      <c r="F7" s="94" t="s">
        <v>148</v>
      </c>
      <c r="G7" s="94" t="s">
        <v>137</v>
      </c>
      <c r="H7" s="94" t="s">
        <v>2</v>
      </c>
      <c r="I7" s="95" t="s">
        <v>121</v>
      </c>
      <c r="J7" s="94" t="s">
        <v>150</v>
      </c>
      <c r="K7" s="110" t="s">
        <v>151</v>
      </c>
      <c r="L7" s="94" t="s">
        <v>137</v>
      </c>
      <c r="M7" s="94" t="s">
        <v>2</v>
      </c>
      <c r="N7" s="110" t="s">
        <v>152</v>
      </c>
      <c r="O7" s="110" t="s">
        <v>154</v>
      </c>
    </row>
    <row r="8" spans="3:15" ht="15" x14ac:dyDescent="0.25">
      <c r="C8" s="97" t="s">
        <v>4</v>
      </c>
      <c r="D8" s="98">
        <v>154399.69999999998</v>
      </c>
      <c r="E8" s="98">
        <v>665000</v>
      </c>
      <c r="F8" s="98">
        <f>(90/365)*E8</f>
        <v>163972.60273972602</v>
      </c>
      <c r="G8" s="99">
        <v>0.94</v>
      </c>
      <c r="H8" s="100">
        <f>F8*G8</f>
        <v>154134.24657534246</v>
      </c>
      <c r="I8" s="101">
        <f>(1-G8)*F8</f>
        <v>9838.3561643835692</v>
      </c>
      <c r="J8" s="99">
        <v>0</v>
      </c>
      <c r="K8" s="111">
        <f t="shared" ref="K8:K17" si="0">E8*(1+J8)</f>
        <v>665000</v>
      </c>
      <c r="L8" s="99">
        <v>0.94</v>
      </c>
      <c r="M8" s="111">
        <f>K8*L8</f>
        <v>625100</v>
      </c>
      <c r="N8" s="111">
        <f>(275/365)*M8</f>
        <v>470965.75342465757</v>
      </c>
      <c r="O8" s="111">
        <f>D8+N8</f>
        <v>625365.45342465758</v>
      </c>
    </row>
    <row r="9" spans="3:15" ht="15" x14ac:dyDescent="0.25">
      <c r="C9" s="97" t="s">
        <v>5</v>
      </c>
      <c r="D9" s="98">
        <v>1640.3</v>
      </c>
      <c r="E9" s="98">
        <v>6584.21</v>
      </c>
      <c r="F9" s="98">
        <f t="shared" ref="F9:F17" si="1">(90/365)*E9</f>
        <v>1623.5038356164382</v>
      </c>
      <c r="G9" s="99">
        <v>0.94</v>
      </c>
      <c r="H9" s="100">
        <f t="shared" ref="H9:H17" si="2">F9*G9</f>
        <v>1526.0936054794518</v>
      </c>
      <c r="I9" s="101">
        <f t="shared" ref="I9:I10" si="3">(1-G9)*F9</f>
        <v>97.410230136986385</v>
      </c>
      <c r="J9" s="99">
        <v>0</v>
      </c>
      <c r="K9" s="111">
        <f t="shared" si="0"/>
        <v>6584.21</v>
      </c>
      <c r="L9" s="99">
        <v>0.94</v>
      </c>
      <c r="M9" s="111">
        <f t="shared" ref="M9:M17" si="4">K9*L9</f>
        <v>6189.1574000000001</v>
      </c>
      <c r="N9" s="111">
        <f t="shared" ref="N9:N17" si="5">(275/365)*M9</f>
        <v>4663.0637945205481</v>
      </c>
      <c r="O9" s="111">
        <f t="shared" ref="O9:O17" si="6">D9+N9</f>
        <v>6303.3637945205483</v>
      </c>
    </row>
    <row r="10" spans="3:15" ht="15" x14ac:dyDescent="0.25">
      <c r="C10" s="97" t="s">
        <v>122</v>
      </c>
      <c r="D10" s="98">
        <v>-77281.455999999991</v>
      </c>
      <c r="E10" s="98">
        <v>-328654</v>
      </c>
      <c r="F10" s="98">
        <f t="shared" si="1"/>
        <v>-81037.972602739726</v>
      </c>
      <c r="G10" s="99">
        <v>0.95199999999999996</v>
      </c>
      <c r="H10" s="100">
        <f t="shared" si="2"/>
        <v>-77148.149917808216</v>
      </c>
      <c r="I10" s="101">
        <f t="shared" si="3"/>
        <v>-3889.8226849315101</v>
      </c>
      <c r="J10" s="99">
        <v>0</v>
      </c>
      <c r="K10" s="111">
        <f t="shared" si="0"/>
        <v>-328654</v>
      </c>
      <c r="L10" s="99">
        <v>0.94</v>
      </c>
      <c r="M10" s="111">
        <f t="shared" si="4"/>
        <v>-308934.76</v>
      </c>
      <c r="N10" s="111">
        <f t="shared" si="5"/>
        <v>-232759.06575342466</v>
      </c>
      <c r="O10" s="111">
        <f t="shared" si="6"/>
        <v>-310040.52175342466</v>
      </c>
    </row>
    <row r="11" spans="3:15" ht="15" x14ac:dyDescent="0.25">
      <c r="C11" s="97" t="s">
        <v>123</v>
      </c>
      <c r="D11" s="98">
        <v>65096</v>
      </c>
      <c r="E11" s="98">
        <v>263550</v>
      </c>
      <c r="F11" s="98">
        <f t="shared" si="1"/>
        <v>64984.931506849309</v>
      </c>
      <c r="G11" s="99">
        <v>1</v>
      </c>
      <c r="H11" s="100">
        <f t="shared" si="2"/>
        <v>64984.931506849309</v>
      </c>
      <c r="I11" s="103"/>
      <c r="J11" s="99">
        <v>0</v>
      </c>
      <c r="K11" s="111">
        <f t="shared" si="0"/>
        <v>263550</v>
      </c>
      <c r="L11" s="99">
        <v>1</v>
      </c>
      <c r="M11" s="111">
        <f t="shared" si="4"/>
        <v>263550</v>
      </c>
      <c r="N11" s="111">
        <f t="shared" si="5"/>
        <v>198565.0684931507</v>
      </c>
      <c r="O11" s="111">
        <f t="shared" si="6"/>
        <v>263661.0684931507</v>
      </c>
    </row>
    <row r="12" spans="3:15" ht="15" x14ac:dyDescent="0.25">
      <c r="C12" s="97" t="s">
        <v>124</v>
      </c>
      <c r="D12" s="98">
        <v>1367</v>
      </c>
      <c r="E12" s="98">
        <v>5534.55</v>
      </c>
      <c r="F12" s="98">
        <f t="shared" si="1"/>
        <v>1364.6835616438357</v>
      </c>
      <c r="G12" s="99">
        <v>1</v>
      </c>
      <c r="H12" s="100">
        <f t="shared" si="2"/>
        <v>1364.6835616438357</v>
      </c>
      <c r="I12" s="104"/>
      <c r="J12" s="99">
        <v>0</v>
      </c>
      <c r="K12" s="111">
        <f t="shared" si="0"/>
        <v>5534.55</v>
      </c>
      <c r="L12" s="99">
        <v>1</v>
      </c>
      <c r="M12" s="111">
        <f t="shared" si="4"/>
        <v>5534.55</v>
      </c>
      <c r="N12" s="111">
        <f t="shared" si="5"/>
        <v>4169.8664383561645</v>
      </c>
      <c r="O12" s="111">
        <f t="shared" si="6"/>
        <v>5536.8664383561645</v>
      </c>
    </row>
    <row r="13" spans="3:15" ht="15" x14ac:dyDescent="0.25">
      <c r="C13" s="97" t="s">
        <v>125</v>
      </c>
      <c r="D13" s="98">
        <v>19760</v>
      </c>
      <c r="E13" s="98">
        <v>80000</v>
      </c>
      <c r="F13" s="98">
        <f t="shared" si="1"/>
        <v>19726.027397260274</v>
      </c>
      <c r="G13" s="99">
        <v>1</v>
      </c>
      <c r="H13" s="100">
        <f t="shared" si="2"/>
        <v>19726.027397260274</v>
      </c>
      <c r="I13" s="97"/>
      <c r="J13" s="99">
        <v>0</v>
      </c>
      <c r="K13" s="111">
        <f t="shared" si="0"/>
        <v>80000</v>
      </c>
      <c r="L13" s="99">
        <v>1</v>
      </c>
      <c r="M13" s="111">
        <f t="shared" si="4"/>
        <v>80000</v>
      </c>
      <c r="N13" s="111">
        <f t="shared" si="5"/>
        <v>60273.972602739726</v>
      </c>
      <c r="O13" s="111">
        <f t="shared" si="6"/>
        <v>80033.972602739726</v>
      </c>
    </row>
    <row r="14" spans="3:15" ht="15" x14ac:dyDescent="0.25">
      <c r="C14" s="97" t="s">
        <v>126</v>
      </c>
      <c r="D14" s="98">
        <v>14820</v>
      </c>
      <c r="E14" s="98">
        <v>60000</v>
      </c>
      <c r="F14" s="98">
        <f t="shared" si="1"/>
        <v>14794.520547945205</v>
      </c>
      <c r="G14" s="99">
        <v>1</v>
      </c>
      <c r="H14" s="100">
        <f t="shared" si="2"/>
        <v>14794.520547945205</v>
      </c>
      <c r="I14" s="97"/>
      <c r="J14" s="99">
        <v>0</v>
      </c>
      <c r="K14" s="111">
        <f t="shared" si="0"/>
        <v>60000</v>
      </c>
      <c r="L14" s="99">
        <v>1</v>
      </c>
      <c r="M14" s="111">
        <f t="shared" si="4"/>
        <v>60000</v>
      </c>
      <c r="N14" s="111">
        <f t="shared" si="5"/>
        <v>45205.479452054795</v>
      </c>
      <c r="O14" s="111">
        <f t="shared" si="6"/>
        <v>60025.479452054795</v>
      </c>
    </row>
    <row r="15" spans="3:15" ht="15" x14ac:dyDescent="0.25">
      <c r="C15" s="97" t="s">
        <v>127</v>
      </c>
      <c r="D15" s="98">
        <v>12844</v>
      </c>
      <c r="E15" s="98">
        <v>52065</v>
      </c>
      <c r="F15" s="98">
        <f t="shared" si="1"/>
        <v>12837.945205479451</v>
      </c>
      <c r="G15" s="99">
        <v>1</v>
      </c>
      <c r="H15" s="100">
        <f t="shared" si="2"/>
        <v>12837.945205479451</v>
      </c>
      <c r="I15" s="97"/>
      <c r="J15" s="99">
        <v>0</v>
      </c>
      <c r="K15" s="111">
        <f t="shared" si="0"/>
        <v>52065</v>
      </c>
      <c r="L15" s="99">
        <v>1</v>
      </c>
      <c r="M15" s="111">
        <f t="shared" si="4"/>
        <v>52065</v>
      </c>
      <c r="N15" s="111">
        <f t="shared" si="5"/>
        <v>39227.054794520547</v>
      </c>
      <c r="O15" s="111">
        <f t="shared" si="6"/>
        <v>52071.054794520547</v>
      </c>
    </row>
    <row r="16" spans="3:15" ht="15" x14ac:dyDescent="0.25">
      <c r="C16" s="108" t="s">
        <v>138</v>
      </c>
      <c r="D16" s="98">
        <v>18525</v>
      </c>
      <c r="E16" s="98">
        <v>75000</v>
      </c>
      <c r="F16" s="98">
        <f t="shared" si="1"/>
        <v>18493.150684931505</v>
      </c>
      <c r="G16" s="99">
        <v>1</v>
      </c>
      <c r="H16" s="100">
        <f t="shared" si="2"/>
        <v>18493.150684931505</v>
      </c>
      <c r="I16" s="97"/>
      <c r="J16" s="99">
        <v>0</v>
      </c>
      <c r="K16" s="111">
        <f t="shared" si="0"/>
        <v>75000</v>
      </c>
      <c r="L16" s="99">
        <v>1</v>
      </c>
      <c r="M16" s="111">
        <f t="shared" si="4"/>
        <v>75000</v>
      </c>
      <c r="N16" s="111">
        <f t="shared" si="5"/>
        <v>56506.849315068495</v>
      </c>
      <c r="O16" s="111">
        <f t="shared" si="6"/>
        <v>75031.849315068495</v>
      </c>
    </row>
    <row r="17" spans="3:15" ht="15" x14ac:dyDescent="0.25">
      <c r="C17" s="97" t="s">
        <v>129</v>
      </c>
      <c r="D17" s="98">
        <v>12844</v>
      </c>
      <c r="E17" s="98">
        <v>52000</v>
      </c>
      <c r="F17" s="98">
        <f t="shared" si="1"/>
        <v>12821.917808219177</v>
      </c>
      <c r="G17" s="99">
        <v>1</v>
      </c>
      <c r="H17" s="100">
        <f t="shared" si="2"/>
        <v>12821.917808219177</v>
      </c>
      <c r="I17" s="97"/>
      <c r="J17" s="99">
        <v>0</v>
      </c>
      <c r="K17" s="111">
        <f t="shared" si="0"/>
        <v>52000</v>
      </c>
      <c r="L17" s="99">
        <v>1</v>
      </c>
      <c r="M17" s="111">
        <f t="shared" si="4"/>
        <v>52000</v>
      </c>
      <c r="N17" s="111">
        <f t="shared" si="5"/>
        <v>39178.082191780821</v>
      </c>
      <c r="O17" s="111">
        <f t="shared" si="6"/>
        <v>52022.082191780821</v>
      </c>
    </row>
    <row r="18" spans="3:15" ht="15.75" thickBot="1" x14ac:dyDescent="0.3">
      <c r="E18" s="113">
        <f ca="1">SUM(E8:E18)</f>
        <v>931079.76</v>
      </c>
      <c r="H18" s="114">
        <f>SUM(H8:H17)</f>
        <v>223535.36697534248</v>
      </c>
      <c r="I18" s="97"/>
      <c r="O18" s="171">
        <f>SUM(O8:O17)</f>
        <v>910010.66875342454</v>
      </c>
    </row>
    <row r="19" spans="3:15" ht="15.75" thickTop="1" x14ac:dyDescent="0.25">
      <c r="E19" s="100"/>
      <c r="H19" s="115"/>
      <c r="I19" s="97"/>
      <c r="O19" s="115"/>
    </row>
    <row r="20" spans="3:15" ht="15" x14ac:dyDescent="0.25">
      <c r="E20" s="100"/>
      <c r="H20" s="115"/>
      <c r="I20" s="97"/>
      <c r="O20" s="115"/>
    </row>
    <row r="21" spans="3:15" ht="15" x14ac:dyDescent="0.25">
      <c r="E21" s="100"/>
      <c r="H21" s="115"/>
      <c r="I21" s="97"/>
      <c r="O21" s="115"/>
    </row>
    <row r="22" spans="3:15" ht="15" x14ac:dyDescent="0.25">
      <c r="E22" s="100"/>
      <c r="F22" s="183" t="s">
        <v>155</v>
      </c>
      <c r="G22" s="183"/>
      <c r="H22" s="183"/>
      <c r="I22" s="183"/>
      <c r="J22" s="183"/>
      <c r="K22" s="183"/>
      <c r="L22" s="183"/>
      <c r="O22" s="115"/>
    </row>
    <row r="23" spans="3:15" ht="15" x14ac:dyDescent="0.25">
      <c r="C23" s="109"/>
      <c r="D23" s="109"/>
      <c r="F23" s="98"/>
      <c r="G23" s="99"/>
      <c r="H23" s="98"/>
      <c r="I23" s="116" t="s">
        <v>156</v>
      </c>
      <c r="J23" s="116"/>
      <c r="K23" s="116"/>
      <c r="L23" s="116"/>
      <c r="M23" s="116"/>
      <c r="N23" s="116"/>
      <c r="O23" s="116"/>
    </row>
    <row r="24" spans="3:15" x14ac:dyDescent="0.2">
      <c r="G24" s="183"/>
      <c r="H24" s="183"/>
      <c r="I24" s="183"/>
      <c r="J24" s="183"/>
      <c r="K24" s="183"/>
    </row>
    <row r="26" spans="3:15" ht="90" x14ac:dyDescent="0.25">
      <c r="C26" s="93" t="s">
        <v>0</v>
      </c>
      <c r="D26" s="94" t="s">
        <v>153</v>
      </c>
      <c r="E26" s="94" t="s">
        <v>149</v>
      </c>
      <c r="F26" s="94" t="s">
        <v>148</v>
      </c>
      <c r="G26" s="94" t="s">
        <v>137</v>
      </c>
      <c r="H26" s="94" t="s">
        <v>2</v>
      </c>
      <c r="I26" s="95" t="s">
        <v>121</v>
      </c>
      <c r="J26" s="94" t="s">
        <v>150</v>
      </c>
      <c r="K26" s="110" t="s">
        <v>151</v>
      </c>
      <c r="L26" s="94" t="s">
        <v>137</v>
      </c>
      <c r="M26" s="94" t="s">
        <v>2</v>
      </c>
      <c r="N26" s="110" t="s">
        <v>152</v>
      </c>
      <c r="O26" s="110" t="s">
        <v>154</v>
      </c>
    </row>
    <row r="27" spans="3:15" ht="15.75" thickTop="1" x14ac:dyDescent="0.25">
      <c r="C27" s="97" t="s">
        <v>4</v>
      </c>
      <c r="D27" s="98">
        <v>154399.69999999998</v>
      </c>
      <c r="E27" s="98">
        <v>665000</v>
      </c>
      <c r="F27" s="98">
        <f>(90/365)*E27</f>
        <v>163972.60273972602</v>
      </c>
      <c r="G27" s="99">
        <v>0.94</v>
      </c>
      <c r="H27" s="100">
        <f>F27*G27</f>
        <v>154134.24657534246</v>
      </c>
      <c r="I27" s="101">
        <f>(1-G27)*F27</f>
        <v>9838.3561643835692</v>
      </c>
      <c r="J27" s="99">
        <v>0</v>
      </c>
      <c r="K27" s="111">
        <f t="shared" ref="K27:K36" si="7">E27*(1+J27)</f>
        <v>665000</v>
      </c>
      <c r="L27" s="99">
        <v>0.94</v>
      </c>
      <c r="M27" s="111">
        <f>K27*L27</f>
        <v>625100</v>
      </c>
      <c r="N27" s="111">
        <f>(275/365)*M27</f>
        <v>470965.75342465757</v>
      </c>
      <c r="O27" s="111">
        <f>D27+N27</f>
        <v>625365.45342465758</v>
      </c>
    </row>
    <row r="28" spans="3:15" ht="15" x14ac:dyDescent="0.25">
      <c r="C28" s="97" t="s">
        <v>5</v>
      </c>
      <c r="D28" s="98">
        <v>1640.3</v>
      </c>
      <c r="E28" s="98">
        <v>6584.21</v>
      </c>
      <c r="F28" s="98">
        <f t="shared" ref="F28:F36" si="8">(90/365)*E28</f>
        <v>1623.5038356164382</v>
      </c>
      <c r="G28" s="99">
        <v>0.94</v>
      </c>
      <c r="H28" s="100">
        <f t="shared" ref="H28:H36" si="9">F28*G28</f>
        <v>1526.0936054794518</v>
      </c>
      <c r="I28" s="101">
        <f t="shared" ref="I28:I29" si="10">(1-G28)*F28</f>
        <v>97.410230136986385</v>
      </c>
      <c r="J28" s="99">
        <v>0</v>
      </c>
      <c r="K28" s="111">
        <f t="shared" si="7"/>
        <v>6584.21</v>
      </c>
      <c r="L28" s="99">
        <v>0.94</v>
      </c>
      <c r="M28" s="111">
        <f t="shared" ref="M28:M36" si="11">K28*L28</f>
        <v>6189.1574000000001</v>
      </c>
      <c r="N28" s="111">
        <f t="shared" ref="N28:N36" si="12">(275/365)*M28</f>
        <v>4663.0637945205481</v>
      </c>
      <c r="O28" s="111">
        <f t="shared" ref="O28:O36" si="13">D28+N28</f>
        <v>6303.3637945205483</v>
      </c>
    </row>
    <row r="29" spans="3:15" ht="15" x14ac:dyDescent="0.25">
      <c r="C29" s="97" t="s">
        <v>122</v>
      </c>
      <c r="D29" s="98">
        <v>0</v>
      </c>
      <c r="E29" s="98">
        <v>0</v>
      </c>
      <c r="F29" s="98">
        <f t="shared" si="8"/>
        <v>0</v>
      </c>
      <c r="G29" s="99">
        <v>0.95199999999999996</v>
      </c>
      <c r="H29" s="100">
        <f t="shared" si="9"/>
        <v>0</v>
      </c>
      <c r="I29" s="101">
        <f t="shared" si="10"/>
        <v>0</v>
      </c>
      <c r="J29" s="99">
        <v>0</v>
      </c>
      <c r="K29" s="111">
        <f t="shared" si="7"/>
        <v>0</v>
      </c>
      <c r="L29" s="99">
        <v>0.94</v>
      </c>
      <c r="M29" s="111">
        <f t="shared" si="11"/>
        <v>0</v>
      </c>
      <c r="N29" s="111">
        <f t="shared" si="12"/>
        <v>0</v>
      </c>
      <c r="O29" s="111">
        <f t="shared" si="13"/>
        <v>0</v>
      </c>
    </row>
    <row r="30" spans="3:15" ht="15" x14ac:dyDescent="0.25">
      <c r="C30" s="97" t="s">
        <v>123</v>
      </c>
      <c r="D30" s="98">
        <v>65096</v>
      </c>
      <c r="E30" s="98">
        <v>263550</v>
      </c>
      <c r="F30" s="98">
        <f t="shared" si="8"/>
        <v>64984.931506849309</v>
      </c>
      <c r="G30" s="99">
        <v>1</v>
      </c>
      <c r="H30" s="100">
        <f t="shared" si="9"/>
        <v>64984.931506849309</v>
      </c>
      <c r="I30" s="103"/>
      <c r="J30" s="99">
        <v>0</v>
      </c>
      <c r="K30" s="111">
        <f t="shared" si="7"/>
        <v>263550</v>
      </c>
      <c r="L30" s="99">
        <v>1</v>
      </c>
      <c r="M30" s="111">
        <f t="shared" si="11"/>
        <v>263550</v>
      </c>
      <c r="N30" s="111">
        <f t="shared" si="12"/>
        <v>198565.0684931507</v>
      </c>
      <c r="O30" s="111">
        <f t="shared" si="13"/>
        <v>263661.0684931507</v>
      </c>
    </row>
    <row r="31" spans="3:15" ht="15" x14ac:dyDescent="0.25">
      <c r="C31" s="97" t="s">
        <v>124</v>
      </c>
      <c r="D31" s="98">
        <v>1367</v>
      </c>
      <c r="E31" s="98">
        <v>5534.55</v>
      </c>
      <c r="F31" s="98">
        <f t="shared" si="8"/>
        <v>1364.6835616438357</v>
      </c>
      <c r="G31" s="99">
        <v>1</v>
      </c>
      <c r="H31" s="100">
        <f t="shared" si="9"/>
        <v>1364.6835616438357</v>
      </c>
      <c r="I31" s="104"/>
      <c r="J31" s="99">
        <v>0</v>
      </c>
      <c r="K31" s="111">
        <f t="shared" si="7"/>
        <v>5534.55</v>
      </c>
      <c r="L31" s="99">
        <v>1</v>
      </c>
      <c r="M31" s="111">
        <f t="shared" si="11"/>
        <v>5534.55</v>
      </c>
      <c r="N31" s="111">
        <f t="shared" si="12"/>
        <v>4169.8664383561645</v>
      </c>
      <c r="O31" s="111">
        <f t="shared" si="13"/>
        <v>5536.8664383561645</v>
      </c>
    </row>
    <row r="32" spans="3:15" ht="15" x14ac:dyDescent="0.25">
      <c r="C32" s="97" t="s">
        <v>125</v>
      </c>
      <c r="D32" s="98">
        <v>19760</v>
      </c>
      <c r="E32" s="98">
        <v>80000</v>
      </c>
      <c r="F32" s="98">
        <f t="shared" si="8"/>
        <v>19726.027397260274</v>
      </c>
      <c r="G32" s="99">
        <v>1</v>
      </c>
      <c r="H32" s="100">
        <f t="shared" si="9"/>
        <v>19726.027397260274</v>
      </c>
      <c r="I32" s="97"/>
      <c r="J32" s="99">
        <v>0</v>
      </c>
      <c r="K32" s="111">
        <f t="shared" si="7"/>
        <v>80000</v>
      </c>
      <c r="L32" s="99">
        <v>1</v>
      </c>
      <c r="M32" s="111">
        <f t="shared" si="11"/>
        <v>80000</v>
      </c>
      <c r="N32" s="111">
        <f t="shared" si="12"/>
        <v>60273.972602739726</v>
      </c>
      <c r="O32" s="111">
        <f t="shared" si="13"/>
        <v>80033.972602739726</v>
      </c>
    </row>
    <row r="33" spans="3:15" ht="15" x14ac:dyDescent="0.25">
      <c r="C33" s="97" t="s">
        <v>126</v>
      </c>
      <c r="D33" s="98">
        <v>14820</v>
      </c>
      <c r="E33" s="98">
        <v>60000</v>
      </c>
      <c r="F33" s="98">
        <f t="shared" si="8"/>
        <v>14794.520547945205</v>
      </c>
      <c r="G33" s="99">
        <v>1</v>
      </c>
      <c r="H33" s="100">
        <f t="shared" si="9"/>
        <v>14794.520547945205</v>
      </c>
      <c r="I33" s="97"/>
      <c r="J33" s="99">
        <v>0</v>
      </c>
      <c r="K33" s="111">
        <f t="shared" si="7"/>
        <v>60000</v>
      </c>
      <c r="L33" s="99">
        <v>1</v>
      </c>
      <c r="M33" s="111">
        <f t="shared" si="11"/>
        <v>60000</v>
      </c>
      <c r="N33" s="111">
        <f t="shared" si="12"/>
        <v>45205.479452054795</v>
      </c>
      <c r="O33" s="111">
        <f t="shared" si="13"/>
        <v>60025.479452054795</v>
      </c>
    </row>
    <row r="34" spans="3:15" ht="15" x14ac:dyDescent="0.25">
      <c r="C34" s="97" t="s">
        <v>127</v>
      </c>
      <c r="D34" s="98">
        <v>12844</v>
      </c>
      <c r="E34" s="98">
        <v>52065</v>
      </c>
      <c r="F34" s="98">
        <f t="shared" si="8"/>
        <v>12837.945205479451</v>
      </c>
      <c r="G34" s="99">
        <v>1</v>
      </c>
      <c r="H34" s="100">
        <f t="shared" si="9"/>
        <v>12837.945205479451</v>
      </c>
      <c r="I34" s="97"/>
      <c r="J34" s="99">
        <v>0</v>
      </c>
      <c r="K34" s="111">
        <f t="shared" si="7"/>
        <v>52065</v>
      </c>
      <c r="L34" s="99">
        <v>1</v>
      </c>
      <c r="M34" s="111">
        <f t="shared" si="11"/>
        <v>52065</v>
      </c>
      <c r="N34" s="111">
        <f t="shared" si="12"/>
        <v>39227.054794520547</v>
      </c>
      <c r="O34" s="111">
        <f t="shared" si="13"/>
        <v>52071.054794520547</v>
      </c>
    </row>
    <row r="35" spans="3:15" ht="15" x14ac:dyDescent="0.25">
      <c r="C35" s="108" t="s">
        <v>138</v>
      </c>
      <c r="D35" s="98">
        <v>18525</v>
      </c>
      <c r="E35" s="98">
        <v>75000</v>
      </c>
      <c r="F35" s="98">
        <f t="shared" si="8"/>
        <v>18493.150684931505</v>
      </c>
      <c r="G35" s="99">
        <v>1</v>
      </c>
      <c r="H35" s="100">
        <f t="shared" si="9"/>
        <v>18493.150684931505</v>
      </c>
      <c r="I35" s="97"/>
      <c r="J35" s="99">
        <v>0</v>
      </c>
      <c r="K35" s="111">
        <f t="shared" si="7"/>
        <v>75000</v>
      </c>
      <c r="L35" s="99">
        <v>1</v>
      </c>
      <c r="M35" s="111">
        <f t="shared" si="11"/>
        <v>75000</v>
      </c>
      <c r="N35" s="111">
        <f t="shared" si="12"/>
        <v>56506.849315068495</v>
      </c>
      <c r="O35" s="111">
        <f t="shared" si="13"/>
        <v>75031.849315068495</v>
      </c>
    </row>
    <row r="36" spans="3:15" ht="15" x14ac:dyDescent="0.25">
      <c r="C36" s="97" t="s">
        <v>129</v>
      </c>
      <c r="D36" s="98">
        <v>12844</v>
      </c>
      <c r="E36" s="98">
        <v>52000</v>
      </c>
      <c r="F36" s="98">
        <f t="shared" si="8"/>
        <v>12821.917808219177</v>
      </c>
      <c r="G36" s="99">
        <v>1</v>
      </c>
      <c r="H36" s="100">
        <f t="shared" si="9"/>
        <v>12821.917808219177</v>
      </c>
      <c r="I36" s="97"/>
      <c r="J36" s="99">
        <v>0</v>
      </c>
      <c r="K36" s="111">
        <f t="shared" si="7"/>
        <v>52000</v>
      </c>
      <c r="L36" s="99">
        <v>1</v>
      </c>
      <c r="M36" s="111">
        <f t="shared" si="11"/>
        <v>52000</v>
      </c>
      <c r="N36" s="111">
        <f t="shared" si="12"/>
        <v>39178.082191780821</v>
      </c>
      <c r="O36" s="111">
        <f t="shared" si="13"/>
        <v>52022.082191780821</v>
      </c>
    </row>
    <row r="37" spans="3:15" ht="15.75" thickBot="1" x14ac:dyDescent="0.3">
      <c r="E37" s="113">
        <f ca="1">SUM(E27:E37)</f>
        <v>931079.76</v>
      </c>
      <c r="H37" s="114">
        <f>SUM(H27:H36)</f>
        <v>300683.51689315063</v>
      </c>
      <c r="I37" s="97"/>
      <c r="O37" s="112">
        <f>SUM(O27:O36)</f>
        <v>1220051.1905068494</v>
      </c>
    </row>
    <row r="38" spans="3:15" ht="13.5" thickTop="1" x14ac:dyDescent="0.2"/>
  </sheetData>
  <mergeCells count="4">
    <mergeCell ref="G24:K24"/>
    <mergeCell ref="F4:L4"/>
    <mergeCell ref="F5:L5"/>
    <mergeCell ref="F22:L22"/>
  </mergeCells>
  <pageMargins left="0.7" right="0.7" top="0.75" bottom="0.75" header="0.3" footer="0.3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1"/>
  <sheetViews>
    <sheetView tabSelected="1" view="pageLayout" topLeftCell="A13" zoomScaleNormal="100" workbookViewId="0">
      <selection activeCell="A23" sqref="A23"/>
    </sheetView>
  </sheetViews>
  <sheetFormatPr defaultRowHeight="12" x14ac:dyDescent="0.2"/>
  <cols>
    <col min="1" max="1" width="29.7109375" style="47" customWidth="1"/>
    <col min="2" max="7" width="11.140625" style="47" customWidth="1"/>
    <col min="8" max="8" width="10.5703125" style="47" customWidth="1"/>
    <col min="9" max="9" width="11.42578125" style="47" customWidth="1"/>
    <col min="10" max="10" width="11.140625" style="47" customWidth="1"/>
    <col min="11" max="11" width="4.5703125" style="46" hidden="1" customWidth="1"/>
    <col min="12" max="12" width="9.140625" style="46" bestFit="1" customWidth="1"/>
    <col min="13" max="13" width="14" style="46" customWidth="1"/>
    <col min="14" max="14" width="9.28515625" style="46" customWidth="1"/>
    <col min="15" max="15" width="12.5703125" style="46" customWidth="1"/>
    <col min="16" max="16" width="13.85546875" style="46" bestFit="1" customWidth="1"/>
    <col min="17" max="17" width="13.85546875" style="46" customWidth="1"/>
    <col min="18" max="18" width="12.140625" style="46" customWidth="1"/>
    <col min="19" max="19" width="13.140625" style="46" customWidth="1"/>
    <col min="20" max="20" width="13" style="46" customWidth="1"/>
    <col min="21" max="21" width="12.85546875" style="46" customWidth="1"/>
    <col min="22" max="23" width="9.140625" style="46"/>
    <col min="24" max="16384" width="9.140625" style="47"/>
  </cols>
  <sheetData>
    <row r="1" spans="1:23" s="42" customFormat="1" ht="15" customHeight="1" x14ac:dyDescent="0.25">
      <c r="A1" s="172" t="s">
        <v>51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41"/>
      <c r="N1" s="41"/>
      <c r="O1" s="41"/>
      <c r="P1" s="41"/>
      <c r="Q1" s="41"/>
      <c r="R1" s="41"/>
      <c r="S1" s="41"/>
      <c r="T1" s="41"/>
    </row>
    <row r="2" spans="1:23" s="42" customFormat="1" ht="15" customHeight="1" x14ac:dyDescent="0.25">
      <c r="A2" s="172" t="s">
        <v>52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41"/>
      <c r="N2" s="41"/>
      <c r="O2" s="41"/>
      <c r="P2" s="41"/>
      <c r="Q2" s="41"/>
      <c r="R2" s="41"/>
      <c r="S2" s="41"/>
      <c r="T2" s="41"/>
    </row>
    <row r="3" spans="1:23" s="42" customFormat="1" ht="15" customHeight="1" x14ac:dyDescent="0.25">
      <c r="A3" s="172" t="s">
        <v>53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41"/>
      <c r="N3" s="41"/>
      <c r="O3" s="41"/>
      <c r="P3" s="41"/>
      <c r="Q3" s="41"/>
      <c r="R3" s="41"/>
      <c r="S3" s="41"/>
      <c r="T3" s="41"/>
    </row>
    <row r="4" spans="1:23" s="42" customFormat="1" ht="15" customHeight="1" x14ac:dyDescent="0.25">
      <c r="A4" s="172" t="s">
        <v>67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41"/>
      <c r="N4" s="41"/>
      <c r="O4" s="41"/>
      <c r="P4" s="41"/>
      <c r="Q4" s="41"/>
      <c r="R4" s="41"/>
      <c r="S4" s="41"/>
      <c r="T4" s="41"/>
    </row>
    <row r="5" spans="1:23" ht="12.75" thickBot="1" x14ac:dyDescent="0.25">
      <c r="A5" s="43"/>
      <c r="B5" s="44"/>
      <c r="C5" s="44"/>
      <c r="D5" s="44"/>
      <c r="E5" s="44"/>
      <c r="F5" s="44"/>
      <c r="G5" s="44"/>
      <c r="H5" s="44"/>
      <c r="I5" s="44"/>
      <c r="J5" s="44"/>
      <c r="K5" s="45"/>
    </row>
    <row r="6" spans="1:23" ht="13.5" customHeight="1" thickBot="1" x14ac:dyDescent="0.25">
      <c r="A6" s="181" t="s">
        <v>54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</row>
    <row r="7" spans="1:23" s="43" customFormat="1" x14ac:dyDescent="0.2">
      <c r="B7" s="48" t="s">
        <v>55</v>
      </c>
      <c r="C7" s="48"/>
      <c r="D7" s="48">
        <v>43514</v>
      </c>
      <c r="E7" s="49" t="s">
        <v>55</v>
      </c>
      <c r="F7" s="49"/>
      <c r="G7" s="48">
        <v>43514</v>
      </c>
      <c r="H7" s="48" t="s">
        <v>55</v>
      </c>
      <c r="I7" s="48"/>
      <c r="J7" s="48">
        <v>43514</v>
      </c>
      <c r="K7" s="50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</row>
    <row r="8" spans="1:23" s="43" customFormat="1" ht="29.25" customHeight="1" x14ac:dyDescent="0.2">
      <c r="A8" s="51"/>
      <c r="B8" s="174">
        <v>43465</v>
      </c>
      <c r="C8" s="175"/>
      <c r="D8" s="176"/>
      <c r="E8" s="177" t="s">
        <v>176</v>
      </c>
      <c r="F8" s="178"/>
      <c r="G8" s="179"/>
      <c r="H8" s="180" t="s">
        <v>177</v>
      </c>
      <c r="I8" s="175"/>
      <c r="J8" s="176"/>
      <c r="K8" s="52"/>
      <c r="L8" s="53"/>
      <c r="M8" s="53"/>
      <c r="N8" s="53"/>
      <c r="O8" s="54"/>
      <c r="P8" s="54"/>
      <c r="Q8" s="55"/>
      <c r="R8" s="54"/>
      <c r="S8" s="55"/>
      <c r="T8" s="54"/>
      <c r="U8" s="55"/>
      <c r="V8" s="53"/>
      <c r="W8" s="53"/>
    </row>
    <row r="9" spans="1:23" ht="24" x14ac:dyDescent="0.2">
      <c r="A9" s="107" t="s">
        <v>135</v>
      </c>
      <c r="B9" s="75" t="s">
        <v>134</v>
      </c>
      <c r="C9" s="75" t="s">
        <v>69</v>
      </c>
      <c r="D9" s="57" t="s">
        <v>56</v>
      </c>
      <c r="E9" s="76" t="s">
        <v>68</v>
      </c>
      <c r="F9" s="76" t="s">
        <v>69</v>
      </c>
      <c r="G9" s="56" t="s">
        <v>56</v>
      </c>
      <c r="H9" s="75" t="s">
        <v>68</v>
      </c>
      <c r="I9" s="75" t="s">
        <v>69</v>
      </c>
      <c r="J9" s="57" t="s">
        <v>56</v>
      </c>
      <c r="K9" s="45"/>
      <c r="L9" s="58"/>
      <c r="M9" s="59"/>
      <c r="N9" s="59"/>
      <c r="O9" s="58"/>
      <c r="P9" s="58"/>
      <c r="Q9" s="58"/>
      <c r="R9" s="60"/>
      <c r="S9" s="60"/>
      <c r="T9" s="60"/>
      <c r="U9" s="60"/>
      <c r="V9" s="55"/>
      <c r="W9" s="55"/>
    </row>
    <row r="10" spans="1:23" x14ac:dyDescent="0.2">
      <c r="B10" s="61"/>
      <c r="C10" s="61"/>
      <c r="D10" s="61"/>
      <c r="E10" s="44"/>
      <c r="F10" s="44"/>
      <c r="G10" s="44"/>
      <c r="H10" s="61"/>
      <c r="I10" s="61"/>
      <c r="J10" s="61"/>
      <c r="K10" s="45"/>
    </row>
    <row r="11" spans="1:23" x14ac:dyDescent="0.2">
      <c r="A11" s="51" t="s">
        <v>57</v>
      </c>
      <c r="B11" s="63">
        <f>'2018 GL Actual'!J14</f>
        <v>2330542.7255950007</v>
      </c>
      <c r="C11" s="63">
        <f>'2018 GL Actual'!J28</f>
        <v>2668951.6841950002</v>
      </c>
      <c r="D11" s="64" t="s">
        <v>61</v>
      </c>
      <c r="E11" s="62">
        <f>'2019 GL Est'!L19</f>
        <v>2353944.8396103005</v>
      </c>
      <c r="F11" s="62">
        <f>'2019 GL Est'!L38</f>
        <v>2630591.8748103003</v>
      </c>
      <c r="G11" s="65" t="s">
        <v>58</v>
      </c>
      <c r="H11" s="63">
        <f>'2020 GL Est'!L19</f>
        <v>2404991.4837941001</v>
      </c>
      <c r="I11" s="63">
        <f>'2020 GL Est'!L38</f>
        <v>2746808.9567940999</v>
      </c>
      <c r="J11" s="64" t="s">
        <v>58</v>
      </c>
      <c r="K11" s="66" t="e">
        <f>+#REF!/#REF!</f>
        <v>#REF!</v>
      </c>
      <c r="L11" s="46" t="s">
        <v>59</v>
      </c>
      <c r="N11" s="67"/>
      <c r="O11" s="68"/>
      <c r="P11" s="68"/>
      <c r="Q11" s="69"/>
      <c r="R11" s="68"/>
      <c r="S11" s="69"/>
      <c r="T11" s="68"/>
      <c r="U11" s="69"/>
    </row>
    <row r="12" spans="1:23" x14ac:dyDescent="0.2">
      <c r="B12" s="61"/>
      <c r="C12" s="61"/>
      <c r="D12" s="61"/>
      <c r="E12" s="44"/>
      <c r="F12" s="44"/>
      <c r="G12" s="44"/>
      <c r="H12" s="61"/>
      <c r="I12" s="61"/>
      <c r="J12" s="61"/>
      <c r="K12" s="45"/>
    </row>
    <row r="13" spans="1:23" x14ac:dyDescent="0.2">
      <c r="A13" s="51" t="s">
        <v>60</v>
      </c>
      <c r="B13" s="63">
        <f>'2018 D O actual'!F18</f>
        <v>898832.54520000005</v>
      </c>
      <c r="C13" s="63">
        <f>'2018 D O actual'!F40</f>
        <v>1219804.0572000002</v>
      </c>
      <c r="D13" s="64" t="s">
        <v>61</v>
      </c>
      <c r="E13" s="62">
        <f>'2019 D O actual'!O18</f>
        <v>907040.23109146033</v>
      </c>
      <c r="F13" s="62">
        <f>'2019 D O actual'!O41</f>
        <v>1220052.1451736521</v>
      </c>
      <c r="G13" s="65" t="s">
        <v>58</v>
      </c>
      <c r="H13" s="63">
        <f>'2020 D O est'!O18</f>
        <v>910010.66875342454</v>
      </c>
      <c r="I13" s="63">
        <f>'2020 D O est'!O37</f>
        <v>1220051.1905068494</v>
      </c>
      <c r="J13" s="64" t="s">
        <v>58</v>
      </c>
      <c r="K13" s="66" t="e">
        <f>+#REF!/#REF!</f>
        <v>#REF!</v>
      </c>
      <c r="L13" s="46" t="s">
        <v>59</v>
      </c>
      <c r="N13" s="67"/>
      <c r="O13" s="68"/>
      <c r="P13" s="68"/>
      <c r="Q13" s="69"/>
      <c r="R13" s="68"/>
      <c r="S13" s="69"/>
      <c r="T13" s="68"/>
      <c r="U13" s="69"/>
    </row>
    <row r="14" spans="1:23" x14ac:dyDescent="0.2">
      <c r="B14" s="61"/>
      <c r="C14" s="61"/>
      <c r="D14" s="61"/>
      <c r="E14" s="44"/>
      <c r="F14" s="44"/>
      <c r="G14" s="44"/>
      <c r="H14" s="61"/>
      <c r="I14" s="61"/>
      <c r="J14" s="61"/>
      <c r="K14" s="45"/>
    </row>
    <row r="15" spans="1:23" x14ac:dyDescent="0.2">
      <c r="A15" s="51" t="s">
        <v>62</v>
      </c>
      <c r="B15" s="70">
        <f>'Prop worksheet for calndr yr'!H7</f>
        <v>1360710.2279179329</v>
      </c>
      <c r="C15" s="70">
        <f>'Prop worksheet for calndr yr'!H27</f>
        <v>1361842.7322713763</v>
      </c>
      <c r="D15" s="64" t="s">
        <v>61</v>
      </c>
      <c r="E15" s="62">
        <f>'Prop worksheet for calndr yr'!H10</f>
        <v>1490327.9792416675</v>
      </c>
      <c r="F15" s="62">
        <f>'Prop worksheet for calndr yr'!H30</f>
        <v>1492892.5591725954</v>
      </c>
      <c r="G15" s="65" t="s">
        <v>58</v>
      </c>
      <c r="H15" s="70">
        <f>'Prop worksheet for calndr yr'!H13</f>
        <v>1631909.137269625</v>
      </c>
      <c r="I15" s="70">
        <f>'Prop worksheet for calndr yr'!H33</f>
        <v>1635223.347895544</v>
      </c>
      <c r="J15" s="64" t="s">
        <v>58</v>
      </c>
      <c r="K15" s="66" t="e">
        <f>+#REF!/#REF!</f>
        <v>#REF!</v>
      </c>
      <c r="L15" s="46" t="s">
        <v>63</v>
      </c>
      <c r="N15" s="67"/>
      <c r="O15" s="68"/>
      <c r="P15" s="68"/>
      <c r="Q15" s="69"/>
      <c r="R15" s="68"/>
      <c r="S15" s="69"/>
      <c r="T15" s="68"/>
      <c r="U15" s="69"/>
    </row>
    <row r="16" spans="1:23" x14ac:dyDescent="0.2">
      <c r="A16" s="46"/>
      <c r="B16" s="61"/>
      <c r="C16" s="61"/>
      <c r="D16" s="61"/>
      <c r="E16" s="44"/>
      <c r="F16" s="44"/>
      <c r="G16" s="44"/>
      <c r="H16" s="61"/>
      <c r="I16" s="61"/>
      <c r="J16" s="61"/>
      <c r="K16" s="45"/>
    </row>
    <row r="17" spans="1:11" x14ac:dyDescent="0.2">
      <c r="A17" s="46"/>
      <c r="B17" s="61"/>
      <c r="C17" s="61"/>
      <c r="D17" s="61"/>
      <c r="E17" s="44"/>
      <c r="F17" s="44"/>
      <c r="G17" s="44"/>
      <c r="H17" s="61"/>
      <c r="I17" s="61"/>
      <c r="J17" s="61"/>
      <c r="K17" s="45"/>
    </row>
    <row r="18" spans="1:11" x14ac:dyDescent="0.2">
      <c r="A18" s="43" t="s">
        <v>64</v>
      </c>
      <c r="B18" s="71">
        <f>SUM(B11:B15)</f>
        <v>4590085.4987129336</v>
      </c>
      <c r="C18" s="71">
        <f>SUM(C11:C15)</f>
        <v>5250598.4736663764</v>
      </c>
      <c r="D18" s="61"/>
      <c r="E18" s="71">
        <f>SUM(E11:E15)</f>
        <v>4751313.0499434285</v>
      </c>
      <c r="F18" s="71">
        <f>SUM(F11:F15)</f>
        <v>5343536.5791565478</v>
      </c>
      <c r="G18" s="44"/>
      <c r="H18" s="71">
        <f>SUM(H11:H15)</f>
        <v>4946911.2898171498</v>
      </c>
      <c r="I18" s="71">
        <f>SUM(I11:I15)</f>
        <v>5602083.4951964933</v>
      </c>
      <c r="J18" s="61"/>
      <c r="K18" s="45"/>
    </row>
    <row r="19" spans="1:11" x14ac:dyDescent="0.2">
      <c r="A19" s="46"/>
      <c r="B19" s="72" t="s">
        <v>65</v>
      </c>
      <c r="C19" s="72"/>
      <c r="D19" s="44"/>
      <c r="E19" s="72" t="s">
        <v>65</v>
      </c>
      <c r="F19" s="72"/>
      <c r="G19" s="44"/>
      <c r="H19" s="72" t="s">
        <v>65</v>
      </c>
      <c r="I19" s="72"/>
      <c r="J19" s="44"/>
      <c r="K19" s="45"/>
    </row>
    <row r="20" spans="1:11" x14ac:dyDescent="0.2">
      <c r="A20" s="46"/>
      <c r="B20" s="72"/>
      <c r="C20" s="72"/>
      <c r="D20" s="44"/>
      <c r="E20" s="72"/>
      <c r="F20" s="72"/>
      <c r="G20" s="44"/>
      <c r="H20" s="72"/>
      <c r="I20" s="72"/>
      <c r="J20" s="44"/>
      <c r="K20" s="45"/>
    </row>
    <row r="21" spans="1:11" x14ac:dyDescent="0.2">
      <c r="A21" s="46" t="s">
        <v>180</v>
      </c>
      <c r="B21" s="162">
        <v>0</v>
      </c>
      <c r="C21" s="162"/>
      <c r="D21" s="162"/>
      <c r="E21" s="162">
        <f>E13*0.5</f>
        <v>453520.11554573016</v>
      </c>
      <c r="F21" s="162"/>
      <c r="G21" s="162"/>
      <c r="H21" s="162">
        <f>H13*0.1</f>
        <v>91001.066875342454</v>
      </c>
      <c r="I21" s="161"/>
      <c r="J21" s="44"/>
      <c r="K21" s="45"/>
    </row>
    <row r="22" spans="1:11" x14ac:dyDescent="0.2">
      <c r="A22" s="51" t="s">
        <v>181</v>
      </c>
      <c r="B22" s="161">
        <f>B18-B21</f>
        <v>4590085.4987129336</v>
      </c>
      <c r="C22" s="161"/>
      <c r="D22" s="161"/>
      <c r="E22" s="161">
        <f t="shared" ref="E22:H22" si="0">E18-E21</f>
        <v>4297792.9343976984</v>
      </c>
      <c r="F22" s="161"/>
      <c r="G22" s="161"/>
      <c r="H22" s="161">
        <f t="shared" si="0"/>
        <v>4855910.2229418075</v>
      </c>
      <c r="I22" s="161"/>
      <c r="J22" s="44"/>
      <c r="K22" s="45"/>
    </row>
    <row r="23" spans="1:11" x14ac:dyDescent="0.2">
      <c r="A23" s="46"/>
      <c r="B23" s="44"/>
      <c r="C23" s="44"/>
      <c r="D23" s="44"/>
      <c r="E23" s="44"/>
      <c r="F23" s="44"/>
      <c r="G23" s="44"/>
      <c r="H23" s="44"/>
      <c r="I23" s="44"/>
      <c r="J23" s="44"/>
      <c r="K23" s="45"/>
    </row>
    <row r="24" spans="1:11" x14ac:dyDescent="0.2">
      <c r="A24" s="43" t="s">
        <v>66</v>
      </c>
    </row>
    <row r="26" spans="1:11" ht="42.75" customHeight="1" x14ac:dyDescent="0.2">
      <c r="A26" s="173" t="s">
        <v>175</v>
      </c>
      <c r="B26" s="173"/>
      <c r="C26" s="173"/>
      <c r="D26" s="173"/>
      <c r="E26" s="173"/>
      <c r="F26" s="173"/>
      <c r="G26" s="173"/>
      <c r="H26" s="164"/>
      <c r="I26" s="164"/>
    </row>
    <row r="39" spans="2:10" x14ac:dyDescent="0.2">
      <c r="B39" s="73"/>
      <c r="C39" s="73"/>
      <c r="D39" s="73"/>
      <c r="E39" s="74"/>
      <c r="F39" s="74"/>
      <c r="G39" s="74"/>
      <c r="H39" s="74"/>
      <c r="I39" s="74"/>
      <c r="J39" s="74"/>
    </row>
    <row r="40" spans="2:10" x14ac:dyDescent="0.2">
      <c r="B40" s="73"/>
      <c r="C40" s="73"/>
      <c r="D40" s="73"/>
    </row>
    <row r="41" spans="2:10" x14ac:dyDescent="0.2">
      <c r="B41" s="73"/>
      <c r="C41" s="73"/>
      <c r="D41" s="73"/>
    </row>
  </sheetData>
  <mergeCells count="9">
    <mergeCell ref="A26:G26"/>
    <mergeCell ref="B8:D8"/>
    <mergeCell ref="E8:G8"/>
    <mergeCell ref="H8:J8"/>
    <mergeCell ref="A1:L1"/>
    <mergeCell ref="A2:L2"/>
    <mergeCell ref="A3:L3"/>
    <mergeCell ref="A4:L4"/>
    <mergeCell ref="A6:K6"/>
  </mergeCells>
  <pageMargins left="0.7" right="0.7" top="0.75" bottom="0.75" header="0.3" footer="0.3"/>
  <pageSetup scale="89" orientation="landscape" r:id="rId1"/>
  <headerFooter>
    <oddHeader>&amp;RAdjustment No.         .
Workpaper Ref. &amp;A</oddHeader>
    <oddFooter>&amp;L&amp;F
&amp;P of &amp;N&amp;RPrep by: ____________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34"/>
  <sheetViews>
    <sheetView topLeftCell="D1" workbookViewId="0">
      <selection activeCell="C1" sqref="A1:C1048576"/>
    </sheetView>
  </sheetViews>
  <sheetFormatPr defaultRowHeight="12.75" x14ac:dyDescent="0.2"/>
  <cols>
    <col min="1" max="3" width="9.140625" hidden="1" customWidth="1"/>
    <col min="4" max="4" width="13.5703125" customWidth="1"/>
    <col min="5" max="6" width="14" customWidth="1"/>
    <col min="7" max="7" width="15.85546875" customWidth="1"/>
    <col min="8" max="8" width="21.7109375" customWidth="1"/>
  </cols>
  <sheetData>
    <row r="2" spans="4:8" x14ac:dyDescent="0.2">
      <c r="D2" s="183" t="s">
        <v>72</v>
      </c>
      <c r="E2" s="183"/>
      <c r="F2" s="183"/>
      <c r="G2" s="183"/>
      <c r="H2" s="183"/>
    </row>
    <row r="6" spans="4:8" ht="38.25" x14ac:dyDescent="0.2">
      <c r="D6" s="33" t="s">
        <v>39</v>
      </c>
      <c r="E6" s="19" t="s">
        <v>101</v>
      </c>
      <c r="F6" s="33" t="s">
        <v>46</v>
      </c>
      <c r="G6" s="19" t="s">
        <v>102</v>
      </c>
      <c r="H6" s="19" t="s">
        <v>42</v>
      </c>
    </row>
    <row r="7" spans="4:8" x14ac:dyDescent="0.2">
      <c r="D7" s="165">
        <f>'Prop 12 2018 Invoice'!D27</f>
        <v>1478622.2200000011</v>
      </c>
      <c r="E7" s="32">
        <f>D7*(1/12)</f>
        <v>123218.51833333343</v>
      </c>
      <c r="F7" s="32">
        <f>'Prop 12 2017 Invoice'!D29</f>
        <v>1349990.9559104722</v>
      </c>
      <c r="G7" s="32">
        <f>F7*(11/12)</f>
        <v>1237491.7095845994</v>
      </c>
      <c r="H7" s="165">
        <f>E7+G7</f>
        <v>1360710.2279179329</v>
      </c>
    </row>
    <row r="8" spans="4:8" x14ac:dyDescent="0.2">
      <c r="D8" s="10"/>
    </row>
    <row r="9" spans="4:8" ht="38.25" x14ac:dyDescent="0.2">
      <c r="D9" s="34" t="s">
        <v>39</v>
      </c>
      <c r="E9" s="19" t="s">
        <v>104</v>
      </c>
      <c r="F9" s="33" t="s">
        <v>100</v>
      </c>
      <c r="G9" s="19" t="s">
        <v>103</v>
      </c>
      <c r="H9" s="19" t="s">
        <v>78</v>
      </c>
    </row>
    <row r="10" spans="4:8" x14ac:dyDescent="0.2">
      <c r="D10" s="165">
        <f>D7</f>
        <v>1478622.2200000011</v>
      </c>
      <c r="E10" s="32">
        <f>D10*(11/12)</f>
        <v>1355403.7016666676</v>
      </c>
      <c r="F10" s="165">
        <f>'Est Prop 12 2019'!G8</f>
        <v>1619091.3308999999</v>
      </c>
      <c r="G10" s="32">
        <f>F10*(1/12)</f>
        <v>134924.27757499999</v>
      </c>
      <c r="H10" s="165">
        <f>E10+G10</f>
        <v>1490327.9792416675</v>
      </c>
    </row>
    <row r="11" spans="4:8" x14ac:dyDescent="0.2">
      <c r="D11" s="10"/>
    </row>
    <row r="12" spans="4:8" ht="38.25" x14ac:dyDescent="0.2">
      <c r="D12" s="33" t="s">
        <v>100</v>
      </c>
      <c r="E12" s="19" t="s">
        <v>105</v>
      </c>
      <c r="F12" s="33" t="s">
        <v>99</v>
      </c>
      <c r="G12" s="19" t="s">
        <v>106</v>
      </c>
      <c r="H12" s="19" t="s">
        <v>79</v>
      </c>
    </row>
    <row r="13" spans="4:8" x14ac:dyDescent="0.2">
      <c r="D13" s="165">
        <f>'Est Prop 12 2019'!G8</f>
        <v>1619091.3308999999</v>
      </c>
      <c r="E13" s="32">
        <f>D13*(11/12)</f>
        <v>1484167.053325</v>
      </c>
      <c r="F13" s="165">
        <f>'Est Prop 12 2020'!E8</f>
        <v>1772905.0073354999</v>
      </c>
      <c r="G13" s="32">
        <f>F13*(1/12)</f>
        <v>147742.08394462499</v>
      </c>
      <c r="H13" s="165">
        <f>E13+G13</f>
        <v>1631909.137269625</v>
      </c>
    </row>
    <row r="22" spans="4:8" x14ac:dyDescent="0.2">
      <c r="D22" s="183" t="s">
        <v>73</v>
      </c>
      <c r="E22" s="183"/>
      <c r="F22" s="183"/>
      <c r="G22" s="183"/>
      <c r="H22" s="183"/>
    </row>
    <row r="23" spans="4:8" x14ac:dyDescent="0.2">
      <c r="D23" s="9"/>
      <c r="E23" s="9"/>
      <c r="F23" s="9"/>
      <c r="G23" s="9"/>
      <c r="H23" s="9"/>
    </row>
    <row r="24" spans="4:8" x14ac:dyDescent="0.2">
      <c r="D24" s="9"/>
      <c r="E24" s="9"/>
      <c r="F24" s="9"/>
      <c r="G24" s="9"/>
      <c r="H24" s="9"/>
    </row>
    <row r="25" spans="4:8" x14ac:dyDescent="0.2">
      <c r="D25" s="9"/>
      <c r="E25" s="9"/>
      <c r="F25" s="9"/>
      <c r="G25" s="9"/>
      <c r="H25" s="9"/>
    </row>
    <row r="26" spans="4:8" ht="25.5" x14ac:dyDescent="0.2">
      <c r="D26" s="33" t="s">
        <v>39</v>
      </c>
      <c r="E26" s="33" t="s">
        <v>40</v>
      </c>
      <c r="F26" s="33" t="s">
        <v>47</v>
      </c>
      <c r="G26" s="33" t="s">
        <v>41</v>
      </c>
      <c r="H26" s="19" t="s">
        <v>42</v>
      </c>
    </row>
    <row r="27" spans="4:8" x14ac:dyDescent="0.2">
      <c r="D27" s="32">
        <f>'Prop 12 2018 Invoice'!D58</f>
        <v>1481125.059698693</v>
      </c>
      <c r="E27" s="32">
        <f>D27*(1/12)</f>
        <v>123427.08830822441</v>
      </c>
      <c r="F27" s="32">
        <f>'Prop 12 2017 Invoice'!D60</f>
        <v>1350998.8843234384</v>
      </c>
      <c r="G27" s="32">
        <f>F27*(11/12)</f>
        <v>1238415.6439631518</v>
      </c>
      <c r="H27" s="32">
        <f>E27+G27</f>
        <v>1361842.7322713763</v>
      </c>
    </row>
    <row r="28" spans="4:8" x14ac:dyDescent="0.2">
      <c r="D28" s="10"/>
      <c r="E28" s="9"/>
      <c r="F28" s="9"/>
      <c r="G28" s="9"/>
      <c r="H28" s="9"/>
    </row>
    <row r="29" spans="4:8" ht="38.25" x14ac:dyDescent="0.2">
      <c r="D29" s="34" t="s">
        <v>39</v>
      </c>
      <c r="E29" s="19" t="s">
        <v>104</v>
      </c>
      <c r="F29" s="33" t="s">
        <v>100</v>
      </c>
      <c r="G29" s="19" t="s">
        <v>103</v>
      </c>
      <c r="H29" s="19" t="s">
        <v>78</v>
      </c>
    </row>
    <row r="30" spans="4:8" x14ac:dyDescent="0.2">
      <c r="D30" s="32">
        <f>'Prop 12 2018 Invoice'!D58</f>
        <v>1481125.059698693</v>
      </c>
      <c r="E30" s="32">
        <f>D30*(11/12)</f>
        <v>1357697.9713904685</v>
      </c>
      <c r="F30" s="32">
        <f>'Est Prop 12 2019'!J8</f>
        <v>1622335.053385522</v>
      </c>
      <c r="G30" s="32">
        <f>F30*(1/12)</f>
        <v>135194.58778212682</v>
      </c>
      <c r="H30" s="32">
        <f>E30+G30</f>
        <v>1492892.5591725954</v>
      </c>
    </row>
    <row r="31" spans="4:8" x14ac:dyDescent="0.2">
      <c r="D31" s="10"/>
      <c r="E31" s="9"/>
      <c r="F31" s="9"/>
      <c r="G31" s="9"/>
      <c r="H31" s="9"/>
    </row>
    <row r="32" spans="4:8" ht="38.25" x14ac:dyDescent="0.2">
      <c r="D32" s="33" t="s">
        <v>100</v>
      </c>
      <c r="E32" s="19" t="s">
        <v>105</v>
      </c>
      <c r="F32" s="33" t="s">
        <v>99</v>
      </c>
      <c r="G32" s="19" t="s">
        <v>106</v>
      </c>
      <c r="H32" s="19" t="s">
        <v>79</v>
      </c>
    </row>
    <row r="33" spans="4:8" x14ac:dyDescent="0.2">
      <c r="D33" s="32">
        <f>'Est Prop 12 2019'!J8</f>
        <v>1622335.053385522</v>
      </c>
      <c r="E33" s="32">
        <f>D33*(11/12)</f>
        <v>1487140.4656033951</v>
      </c>
      <c r="F33" s="32">
        <f>'Est Prop 12 2020'!H8</f>
        <v>1776994.5875057871</v>
      </c>
      <c r="G33" s="32">
        <f>F33*(1/12)</f>
        <v>148082.88229214892</v>
      </c>
      <c r="H33" s="32">
        <f>E33+G33</f>
        <v>1635223.347895544</v>
      </c>
    </row>
    <row r="34" spans="4:8" x14ac:dyDescent="0.2">
      <c r="D34" s="9"/>
      <c r="E34" s="9"/>
      <c r="F34" s="9"/>
      <c r="G34" s="9"/>
      <c r="H34" s="9"/>
    </row>
  </sheetData>
  <mergeCells count="2">
    <mergeCell ref="D2:H2"/>
    <mergeCell ref="D22:H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L10"/>
  <sheetViews>
    <sheetView workbookViewId="0">
      <selection activeCell="C1" sqref="A1:C1048576"/>
    </sheetView>
  </sheetViews>
  <sheetFormatPr defaultRowHeight="12.75" x14ac:dyDescent="0.2"/>
  <cols>
    <col min="1" max="1" width="12.28515625" bestFit="1" customWidth="1"/>
    <col min="2" max="2" width="15.28515625" style="9" bestFit="1" customWidth="1"/>
    <col min="3" max="3" width="15.28515625" bestFit="1" customWidth="1"/>
    <col min="4" max="4" width="16.28515625" style="9" customWidth="1"/>
    <col min="5" max="5" width="19.7109375" customWidth="1"/>
    <col min="7" max="7" width="14.42578125" customWidth="1"/>
    <col min="10" max="10" width="13.7109375" customWidth="1"/>
  </cols>
  <sheetData>
    <row r="3" spans="1:12" x14ac:dyDescent="0.2">
      <c r="D3" s="78" t="s">
        <v>92</v>
      </c>
    </row>
    <row r="6" spans="1:12" ht="72.75" customHeight="1" x14ac:dyDescent="0.2">
      <c r="B6" s="77" t="s">
        <v>84</v>
      </c>
      <c r="C6" t="s">
        <v>80</v>
      </c>
      <c r="D6" s="81" t="s">
        <v>85</v>
      </c>
      <c r="E6" s="77" t="s">
        <v>86</v>
      </c>
      <c r="F6" s="80" t="s">
        <v>83</v>
      </c>
      <c r="G6" s="80" t="s">
        <v>87</v>
      </c>
      <c r="H6" s="84" t="s">
        <v>88</v>
      </c>
      <c r="I6" s="81" t="s">
        <v>89</v>
      </c>
      <c r="J6" s="81" t="s">
        <v>91</v>
      </c>
    </row>
    <row r="7" spans="1:12" x14ac:dyDescent="0.2">
      <c r="A7" t="s">
        <v>81</v>
      </c>
      <c r="B7" s="10">
        <v>3383.44</v>
      </c>
      <c r="C7" s="10">
        <v>3705.82</v>
      </c>
      <c r="D7" s="9">
        <f>(C7-B7)/B7</f>
        <v>9.5281725108173954E-2</v>
      </c>
      <c r="E7" s="82">
        <f>C7/C10</f>
        <v>2.0143805491446352E-3</v>
      </c>
      <c r="F7">
        <v>9.5000000000000001E-2</v>
      </c>
      <c r="G7" s="10">
        <f>C7*(1+F7)</f>
        <v>4057.8729000000003</v>
      </c>
      <c r="H7">
        <f>G7/G10</f>
        <v>2.0324075174010482E-3</v>
      </c>
      <c r="I7" s="85">
        <f>H7*4000</f>
        <v>8.1296300696041932</v>
      </c>
      <c r="J7" s="10">
        <f>G7+I7</f>
        <v>4066.0025300696043</v>
      </c>
    </row>
    <row r="8" spans="1:12" x14ac:dyDescent="0.2">
      <c r="A8" t="s">
        <v>51</v>
      </c>
      <c r="B8" s="10">
        <v>1349990.94</v>
      </c>
      <c r="C8" s="166">
        <v>1478622.22</v>
      </c>
      <c r="D8" s="9">
        <f t="shared" ref="D8:D9" si="0">(C8-B8)/B8</f>
        <v>9.5283069084893285E-2</v>
      </c>
      <c r="E8" s="82">
        <f>C8/C10</f>
        <v>0.80373786085159549</v>
      </c>
      <c r="F8">
        <v>9.5000000000000001E-2</v>
      </c>
      <c r="G8" s="166">
        <f t="shared" ref="G8:G9" si="1">C8*(1+F8)</f>
        <v>1619091.3308999999</v>
      </c>
      <c r="H8" s="9">
        <f>G8/G10</f>
        <v>0.81093062138048433</v>
      </c>
      <c r="I8" s="85">
        <f t="shared" ref="I8:I9" si="2">H8*4000</f>
        <v>3243.7224855219374</v>
      </c>
      <c r="J8" s="10">
        <f t="shared" ref="J8:J9" si="3">G8+I8</f>
        <v>1622335.053385522</v>
      </c>
    </row>
    <row r="9" spans="1:12" x14ac:dyDescent="0.2">
      <c r="A9" t="s">
        <v>82</v>
      </c>
      <c r="B9" s="10">
        <v>343609.75</v>
      </c>
      <c r="C9" s="10">
        <v>357354.14</v>
      </c>
      <c r="D9" s="9">
        <f t="shared" si="0"/>
        <v>4.0000000000000042E-2</v>
      </c>
      <c r="E9" s="82">
        <f>C9/C10</f>
        <v>0.19424775859925977</v>
      </c>
      <c r="F9">
        <v>4.4999999999999998E-2</v>
      </c>
      <c r="G9" s="10">
        <f t="shared" si="1"/>
        <v>373435.07630000002</v>
      </c>
      <c r="H9" s="9">
        <f>G9/G10</f>
        <v>0.18703697110211462</v>
      </c>
      <c r="I9" s="85">
        <f t="shared" si="2"/>
        <v>748.14788440845848</v>
      </c>
      <c r="J9" s="10">
        <f t="shared" si="3"/>
        <v>374183.22418440849</v>
      </c>
    </row>
    <row r="10" spans="1:12" x14ac:dyDescent="0.2">
      <c r="C10" s="83">
        <f>SUM(C7:C9)</f>
        <v>1839682.1800000002</v>
      </c>
      <c r="G10" s="83">
        <f>SUM(G7:G9)</f>
        <v>1996584.2801000001</v>
      </c>
      <c r="K10" s="82">
        <f>(G10-C10)/C10</f>
        <v>8.5287612070036961E-2</v>
      </c>
      <c r="L10" s="77" t="s">
        <v>90</v>
      </c>
    </row>
  </sheetData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I60"/>
  <sheetViews>
    <sheetView view="pageBreakPreview" zoomScale="60" zoomScaleNormal="100" workbookViewId="0">
      <selection activeCell="C1" sqref="A1:C1048576"/>
    </sheetView>
  </sheetViews>
  <sheetFormatPr defaultRowHeight="15" x14ac:dyDescent="0.25"/>
  <cols>
    <col min="1" max="1" width="32.7109375" style="1" bestFit="1" customWidth="1"/>
    <col min="2" max="2" width="12.7109375" style="1" bestFit="1" customWidth="1"/>
    <col min="3" max="3" width="38.42578125" style="1" customWidth="1"/>
    <col min="4" max="4" width="40" style="1" customWidth="1"/>
    <col min="5" max="6" width="9.140625" style="1"/>
    <col min="7" max="7" width="11.42578125" style="1" customWidth="1"/>
    <col min="8" max="8" width="18.42578125" style="1" bestFit="1" customWidth="1"/>
    <col min="9" max="16384" width="9.140625" style="1"/>
  </cols>
  <sheetData>
    <row r="4" spans="1:8" x14ac:dyDescent="0.25">
      <c r="B4" s="2" t="s">
        <v>34</v>
      </c>
    </row>
    <row r="5" spans="1:8" x14ac:dyDescent="0.25">
      <c r="C5" s="2" t="s">
        <v>74</v>
      </c>
    </row>
    <row r="7" spans="1:8" x14ac:dyDescent="0.25">
      <c r="A7" s="3" t="s">
        <v>0</v>
      </c>
      <c r="B7" s="3" t="s">
        <v>1</v>
      </c>
      <c r="C7" s="2" t="s">
        <v>38</v>
      </c>
    </row>
    <row r="8" spans="1:8" x14ac:dyDescent="0.25">
      <c r="A8" s="1" t="s">
        <v>15</v>
      </c>
      <c r="B8" s="4">
        <v>470951</v>
      </c>
      <c r="C8" s="4">
        <f>B8*0.803737860851596</f>
        <v>378521.14930592</v>
      </c>
      <c r="H8" s="28"/>
    </row>
    <row r="9" spans="1:8" x14ac:dyDescent="0.25">
      <c r="A9" s="1" t="s">
        <v>11</v>
      </c>
      <c r="B9" s="4">
        <v>134557</v>
      </c>
      <c r="C9" s="4">
        <f t="shared" ref="C9:C22" si="0">B9*0.803737860851596</f>
        <v>108148.5553426082</v>
      </c>
    </row>
    <row r="10" spans="1:8" x14ac:dyDescent="0.25">
      <c r="A10" s="1" t="s">
        <v>12</v>
      </c>
      <c r="B10" s="4">
        <f>2691.14+134.56</f>
        <v>2825.7</v>
      </c>
      <c r="C10" s="4">
        <f t="shared" si="0"/>
        <v>2271.1220734083549</v>
      </c>
    </row>
    <row r="11" spans="1:8" x14ac:dyDescent="0.25">
      <c r="A11" s="1" t="s">
        <v>13</v>
      </c>
      <c r="B11" s="4">
        <v>89705</v>
      </c>
      <c r="C11" s="4">
        <f t="shared" si="0"/>
        <v>72099.304807692417</v>
      </c>
    </row>
    <row r="12" spans="1:8" x14ac:dyDescent="0.25">
      <c r="A12" s="1" t="s">
        <v>31</v>
      </c>
      <c r="B12" s="4">
        <v>717640</v>
      </c>
      <c r="C12" s="4">
        <f t="shared" si="0"/>
        <v>576794.43846153934</v>
      </c>
    </row>
    <row r="13" spans="1:8" x14ac:dyDescent="0.25">
      <c r="A13" s="30" t="s">
        <v>10</v>
      </c>
      <c r="B13" s="29">
        <v>-3114</v>
      </c>
      <c r="C13" s="4">
        <f t="shared" si="0"/>
        <v>-2502.8396986918701</v>
      </c>
    </row>
    <row r="14" spans="1:8" x14ac:dyDescent="0.25">
      <c r="A14" s="1" t="s">
        <v>14</v>
      </c>
      <c r="B14" s="4">
        <f>14290.52+714.53</f>
        <v>15005.050000000001</v>
      </c>
      <c r="C14" s="4">
        <f t="shared" si="0"/>
        <v>12060.126788971242</v>
      </c>
    </row>
    <row r="15" spans="1:8" x14ac:dyDescent="0.25">
      <c r="A15" s="1" t="s">
        <v>19</v>
      </c>
      <c r="B15" s="4">
        <v>270195.75</v>
      </c>
      <c r="C15" s="4">
        <f t="shared" si="0"/>
        <v>217166.55411619262</v>
      </c>
    </row>
    <row r="16" spans="1:8" x14ac:dyDescent="0.25">
      <c r="A16" s="1" t="s">
        <v>20</v>
      </c>
      <c r="B16" s="4">
        <f>5403.92+270.2</f>
        <v>5674.12</v>
      </c>
      <c r="C16" s="4">
        <f t="shared" si="0"/>
        <v>4560.5050710152582</v>
      </c>
    </row>
    <row r="17" spans="1:9" x14ac:dyDescent="0.25">
      <c r="A17" s="1" t="s">
        <v>21</v>
      </c>
      <c r="B17" s="4">
        <v>30000</v>
      </c>
      <c r="C17" s="4">
        <f t="shared" si="0"/>
        <v>24112.135825547881</v>
      </c>
      <c r="I17" s="21"/>
    </row>
    <row r="18" spans="1:9" x14ac:dyDescent="0.25">
      <c r="A18" s="1" t="s">
        <v>22</v>
      </c>
      <c r="B18" s="4">
        <f>600+30</f>
        <v>630</v>
      </c>
      <c r="C18" s="4">
        <f t="shared" si="0"/>
        <v>506.35485233650553</v>
      </c>
    </row>
    <row r="19" spans="1:9" x14ac:dyDescent="0.25">
      <c r="A19" s="1" t="s">
        <v>23</v>
      </c>
      <c r="B19" s="4">
        <v>90065.3</v>
      </c>
      <c r="C19" s="4">
        <f t="shared" si="0"/>
        <v>72388.891558957257</v>
      </c>
    </row>
    <row r="20" spans="1:9" x14ac:dyDescent="0.25">
      <c r="A20" s="1" t="s">
        <v>18</v>
      </c>
      <c r="B20" s="4">
        <f>1801.31+90.07</f>
        <v>1891.3799999999999</v>
      </c>
      <c r="C20" s="4">
        <f t="shared" si="0"/>
        <v>1520.1737152574917</v>
      </c>
    </row>
    <row r="21" spans="1:9" x14ac:dyDescent="0.25">
      <c r="A21" s="1" t="s">
        <v>23</v>
      </c>
      <c r="B21" s="4">
        <v>13375</v>
      </c>
      <c r="C21" s="4">
        <f t="shared" si="0"/>
        <v>10749.993888890098</v>
      </c>
    </row>
    <row r="22" spans="1:9" x14ac:dyDescent="0.25">
      <c r="A22" s="1" t="s">
        <v>18</v>
      </c>
      <c r="B22" s="4">
        <f>267.5+13.38</f>
        <v>280.88</v>
      </c>
      <c r="C22" s="4">
        <f t="shared" si="0"/>
        <v>225.7538903559963</v>
      </c>
    </row>
    <row r="23" spans="1:9" x14ac:dyDescent="0.25">
      <c r="C23" s="5"/>
      <c r="D23" s="27">
        <f>SUM(C8:C22)</f>
        <v>1478622.2200000011</v>
      </c>
    </row>
    <row r="25" spans="1:9" ht="15.75" thickBot="1" x14ac:dyDescent="0.3">
      <c r="A25" s="6" t="s">
        <v>16</v>
      </c>
      <c r="B25" s="7">
        <f>SUM(B8:B24)</f>
        <v>1839682.18</v>
      </c>
      <c r="C25" s="31" t="s">
        <v>43</v>
      </c>
      <c r="D25" s="4">
        <v>0</v>
      </c>
    </row>
    <row r="26" spans="1:9" ht="15.75" thickTop="1" x14ac:dyDescent="0.25"/>
    <row r="27" spans="1:9" ht="15.75" thickBot="1" x14ac:dyDescent="0.3">
      <c r="A27" s="20">
        <v>43451</v>
      </c>
      <c r="B27" s="7">
        <v>1839682.18</v>
      </c>
      <c r="D27" s="167">
        <f>D23-D25</f>
        <v>1478622.2200000011</v>
      </c>
      <c r="E27" s="2" t="s">
        <v>44</v>
      </c>
    </row>
    <row r="28" spans="1:9" ht="15.75" thickTop="1" x14ac:dyDescent="0.25"/>
    <row r="29" spans="1:9" x14ac:dyDescent="0.25">
      <c r="A29" s="6" t="s">
        <v>17</v>
      </c>
      <c r="B29" s="8">
        <f>+B25-B27</f>
        <v>0</v>
      </c>
      <c r="C29" s="26" t="s">
        <v>35</v>
      </c>
    </row>
    <row r="35" spans="1:3" x14ac:dyDescent="0.25">
      <c r="B35" s="2" t="s">
        <v>34</v>
      </c>
    </row>
    <row r="36" spans="1:3" x14ac:dyDescent="0.25">
      <c r="C36" s="2" t="s">
        <v>75</v>
      </c>
    </row>
    <row r="38" spans="1:3" x14ac:dyDescent="0.25">
      <c r="A38" s="3" t="s">
        <v>0</v>
      </c>
      <c r="B38" s="3" t="s">
        <v>1</v>
      </c>
      <c r="C38" s="2" t="s">
        <v>38</v>
      </c>
    </row>
    <row r="39" spans="1:3" x14ac:dyDescent="0.25">
      <c r="A39" s="1" t="s">
        <v>15</v>
      </c>
      <c r="B39" s="4">
        <v>470951</v>
      </c>
      <c r="C39" s="4">
        <f>B39*0.803737860851596</f>
        <v>378521.14930592</v>
      </c>
    </row>
    <row r="40" spans="1:3" x14ac:dyDescent="0.25">
      <c r="A40" s="1" t="s">
        <v>11</v>
      </c>
      <c r="B40" s="4">
        <v>134557</v>
      </c>
      <c r="C40" s="4">
        <f t="shared" ref="C40:C53" si="1">B40*0.803737860851596</f>
        <v>108148.5553426082</v>
      </c>
    </row>
    <row r="41" spans="1:3" x14ac:dyDescent="0.25">
      <c r="A41" s="1" t="s">
        <v>12</v>
      </c>
      <c r="B41" s="4">
        <f>2691.14+134.56</f>
        <v>2825.7</v>
      </c>
      <c r="C41" s="4">
        <f t="shared" si="1"/>
        <v>2271.1220734083549</v>
      </c>
    </row>
    <row r="42" spans="1:3" x14ac:dyDescent="0.25">
      <c r="A42" s="1" t="s">
        <v>13</v>
      </c>
      <c r="B42" s="4">
        <v>89705</v>
      </c>
      <c r="C42" s="4">
        <f t="shared" si="1"/>
        <v>72099.304807692417</v>
      </c>
    </row>
    <row r="43" spans="1:3" x14ac:dyDescent="0.25">
      <c r="A43" s="1" t="s">
        <v>31</v>
      </c>
      <c r="B43" s="4">
        <v>717640</v>
      </c>
      <c r="C43" s="4">
        <f t="shared" si="1"/>
        <v>576794.43846153934</v>
      </c>
    </row>
    <row r="44" spans="1:3" x14ac:dyDescent="0.25">
      <c r="A44" s="30" t="s">
        <v>10</v>
      </c>
      <c r="B44" s="29">
        <v>0</v>
      </c>
      <c r="C44" s="4">
        <f t="shared" si="1"/>
        <v>0</v>
      </c>
    </row>
    <row r="45" spans="1:3" x14ac:dyDescent="0.25">
      <c r="A45" s="1" t="s">
        <v>14</v>
      </c>
      <c r="B45" s="4">
        <f>14290.52+714.53</f>
        <v>15005.050000000001</v>
      </c>
      <c r="C45" s="4">
        <f t="shared" si="1"/>
        <v>12060.126788971242</v>
      </c>
    </row>
    <row r="46" spans="1:3" x14ac:dyDescent="0.25">
      <c r="A46" s="1" t="s">
        <v>19</v>
      </c>
      <c r="B46" s="4">
        <v>270195.75</v>
      </c>
      <c r="C46" s="4">
        <f t="shared" si="1"/>
        <v>217166.55411619262</v>
      </c>
    </row>
    <row r="47" spans="1:3" x14ac:dyDescent="0.25">
      <c r="A47" s="1" t="s">
        <v>20</v>
      </c>
      <c r="B47" s="4">
        <f>5403.92+270.2</f>
        <v>5674.12</v>
      </c>
      <c r="C47" s="4">
        <f t="shared" si="1"/>
        <v>4560.5050710152582</v>
      </c>
    </row>
    <row r="48" spans="1:3" x14ac:dyDescent="0.25">
      <c r="A48" s="1" t="s">
        <v>21</v>
      </c>
      <c r="B48" s="4">
        <v>30000</v>
      </c>
      <c r="C48" s="4">
        <f t="shared" si="1"/>
        <v>24112.135825547881</v>
      </c>
    </row>
    <row r="49" spans="1:5" x14ac:dyDescent="0.25">
      <c r="A49" s="1" t="s">
        <v>22</v>
      </c>
      <c r="B49" s="4">
        <f>600+30</f>
        <v>630</v>
      </c>
      <c r="C49" s="4">
        <f t="shared" si="1"/>
        <v>506.35485233650553</v>
      </c>
    </row>
    <row r="50" spans="1:5" x14ac:dyDescent="0.25">
      <c r="A50" s="1" t="s">
        <v>23</v>
      </c>
      <c r="B50" s="4">
        <v>90065.3</v>
      </c>
      <c r="C50" s="4">
        <f t="shared" si="1"/>
        <v>72388.891558957257</v>
      </c>
    </row>
    <row r="51" spans="1:5" x14ac:dyDescent="0.25">
      <c r="A51" s="1" t="s">
        <v>18</v>
      </c>
      <c r="B51" s="4">
        <f>1801.31+90.07</f>
        <v>1891.3799999999999</v>
      </c>
      <c r="C51" s="4">
        <f t="shared" si="1"/>
        <v>1520.1737152574917</v>
      </c>
    </row>
    <row r="52" spans="1:5" x14ac:dyDescent="0.25">
      <c r="A52" s="1" t="s">
        <v>23</v>
      </c>
      <c r="B52" s="4">
        <v>13375</v>
      </c>
      <c r="C52" s="4">
        <f t="shared" si="1"/>
        <v>10749.993888890098</v>
      </c>
    </row>
    <row r="53" spans="1:5" x14ac:dyDescent="0.25">
      <c r="A53" s="1" t="s">
        <v>18</v>
      </c>
      <c r="B53" s="4">
        <f>267.5+13.38</f>
        <v>280.88</v>
      </c>
      <c r="C53" s="4">
        <f t="shared" si="1"/>
        <v>225.7538903559963</v>
      </c>
    </row>
    <row r="54" spans="1:5" x14ac:dyDescent="0.25">
      <c r="C54" s="5"/>
      <c r="D54" s="27">
        <f>SUM(C39:C53)</f>
        <v>1481125.059698693</v>
      </c>
    </row>
    <row r="56" spans="1:5" ht="15.75" thickBot="1" x14ac:dyDescent="0.3">
      <c r="A56" s="6" t="s">
        <v>16</v>
      </c>
      <c r="B56" s="7">
        <f>SUM(B39:B55)</f>
        <v>1842796.18</v>
      </c>
      <c r="C56" s="31" t="s">
        <v>43</v>
      </c>
      <c r="D56" s="4">
        <v>0</v>
      </c>
    </row>
    <row r="57" spans="1:5" ht="15.75" thickTop="1" x14ac:dyDescent="0.25"/>
    <row r="58" spans="1:5" ht="15.75" thickBot="1" x14ac:dyDescent="0.3">
      <c r="A58" s="20"/>
      <c r="B58" s="79"/>
      <c r="D58" s="18">
        <f>D54-D56</f>
        <v>1481125.059698693</v>
      </c>
      <c r="E58" s="2" t="s">
        <v>44</v>
      </c>
    </row>
    <row r="59" spans="1:5" ht="15.75" thickTop="1" x14ac:dyDescent="0.25"/>
    <row r="60" spans="1:5" x14ac:dyDescent="0.25">
      <c r="A60" s="6"/>
      <c r="B60" s="8"/>
      <c r="C60" s="26"/>
    </row>
  </sheetData>
  <pageMargins left="0.7" right="0.7" top="0.75" bottom="0.75" header="0.3" footer="0.3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4:I62"/>
  <sheetViews>
    <sheetView workbookViewId="0">
      <selection activeCell="C1" sqref="A1:C1048576"/>
    </sheetView>
  </sheetViews>
  <sheetFormatPr defaultRowHeight="15" x14ac:dyDescent="0.25"/>
  <cols>
    <col min="1" max="1" width="32.7109375" style="1" bestFit="1" customWidth="1"/>
    <col min="2" max="2" width="12.7109375" style="1" bestFit="1" customWidth="1"/>
    <col min="3" max="3" width="38.42578125" style="1" customWidth="1"/>
    <col min="4" max="4" width="40" style="1" customWidth="1"/>
    <col min="5" max="6" width="9.140625" style="1"/>
    <col min="7" max="7" width="11.42578125" style="1" customWidth="1"/>
    <col min="8" max="8" width="18.42578125" style="1" bestFit="1" customWidth="1"/>
    <col min="9" max="16384" width="9.140625" style="1"/>
  </cols>
  <sheetData>
    <row r="4" spans="1:8" x14ac:dyDescent="0.25">
      <c r="B4" s="2" t="s">
        <v>33</v>
      </c>
    </row>
    <row r="5" spans="1:8" x14ac:dyDescent="0.25">
      <c r="C5" s="2" t="s">
        <v>76</v>
      </c>
    </row>
    <row r="7" spans="1:8" x14ac:dyDescent="0.25">
      <c r="A7" s="3" t="s">
        <v>0</v>
      </c>
      <c r="B7" s="3" t="s">
        <v>1</v>
      </c>
      <c r="C7" s="2" t="s">
        <v>37</v>
      </c>
    </row>
    <row r="8" spans="1:8" x14ac:dyDescent="0.25">
      <c r="A8" s="1" t="s">
        <v>15</v>
      </c>
      <c r="B8" s="4">
        <v>433633</v>
      </c>
      <c r="C8" s="4">
        <f>B8*0.795523609286788</f>
        <v>344965.28926585772</v>
      </c>
      <c r="H8" s="28"/>
    </row>
    <row r="9" spans="1:8" x14ac:dyDescent="0.25">
      <c r="A9" s="1" t="s">
        <v>11</v>
      </c>
      <c r="B9" s="4">
        <v>123146</v>
      </c>
      <c r="C9" s="4">
        <f t="shared" ref="C9:C24" si="0">B9*0.795523609286788</f>
        <v>97965.55038923079</v>
      </c>
    </row>
    <row r="10" spans="1:8" x14ac:dyDescent="0.25">
      <c r="A10" s="1" t="s">
        <v>12</v>
      </c>
      <c r="B10" s="4">
        <f>2462.92+123.15</f>
        <v>2586.0700000000002</v>
      </c>
      <c r="C10" s="4">
        <f t="shared" si="0"/>
        <v>2057.2797402682841</v>
      </c>
    </row>
    <row r="11" spans="1:8" x14ac:dyDescent="0.25">
      <c r="A11" s="1" t="s">
        <v>13</v>
      </c>
      <c r="B11" s="4">
        <v>82097</v>
      </c>
      <c r="C11" s="4">
        <f t="shared" si="0"/>
        <v>65310.101751617432</v>
      </c>
    </row>
    <row r="12" spans="1:8" x14ac:dyDescent="0.25">
      <c r="A12" s="1" t="s">
        <v>31</v>
      </c>
      <c r="B12" s="4">
        <v>656779</v>
      </c>
      <c r="C12" s="4">
        <f t="shared" si="0"/>
        <v>522483.20058376732</v>
      </c>
    </row>
    <row r="13" spans="1:8" x14ac:dyDescent="0.25">
      <c r="A13" s="30" t="s">
        <v>10</v>
      </c>
      <c r="B13" s="29">
        <v>-1267</v>
      </c>
      <c r="C13" s="4">
        <f t="shared" si="0"/>
        <v>-1007.9284129663604</v>
      </c>
    </row>
    <row r="14" spans="1:8" x14ac:dyDescent="0.25">
      <c r="A14" s="1" t="s">
        <v>14</v>
      </c>
      <c r="B14" s="4">
        <f>13110.24+655.52</f>
        <v>13765.76</v>
      </c>
      <c r="C14" s="4">
        <f t="shared" si="0"/>
        <v>10950.987079775696</v>
      </c>
    </row>
    <row r="15" spans="1:8" x14ac:dyDescent="0.25">
      <c r="A15" s="1" t="s">
        <v>19</v>
      </c>
      <c r="B15" s="4">
        <v>163695</v>
      </c>
      <c r="C15" s="4">
        <f t="shared" si="0"/>
        <v>130223.23722220077</v>
      </c>
    </row>
    <row r="16" spans="1:8" x14ac:dyDescent="0.25">
      <c r="A16" s="1" t="s">
        <v>20</v>
      </c>
      <c r="B16" s="4">
        <f>3273.9+163.7</f>
        <v>3437.6</v>
      </c>
      <c r="C16" s="4">
        <f t="shared" si="0"/>
        <v>2734.6919592842623</v>
      </c>
    </row>
    <row r="17" spans="1:9" x14ac:dyDescent="0.25">
      <c r="A17" s="1" t="s">
        <v>21</v>
      </c>
      <c r="B17" s="4">
        <v>37125</v>
      </c>
      <c r="C17" s="4">
        <f t="shared" si="0"/>
        <v>29533.813994772005</v>
      </c>
      <c r="I17" s="21"/>
    </row>
    <row r="18" spans="1:9" x14ac:dyDescent="0.25">
      <c r="A18" s="1" t="s">
        <v>22</v>
      </c>
      <c r="B18" s="4">
        <f>742.5+37.13</f>
        <v>779.63</v>
      </c>
      <c r="C18" s="4">
        <f t="shared" si="0"/>
        <v>620.21407150825848</v>
      </c>
    </row>
    <row r="19" spans="1:9" x14ac:dyDescent="0.25">
      <c r="A19" s="1" t="s">
        <v>23</v>
      </c>
      <c r="B19" s="4">
        <v>17955</v>
      </c>
      <c r="C19" s="4">
        <f t="shared" si="0"/>
        <v>14283.626404744278</v>
      </c>
    </row>
    <row r="20" spans="1:9" x14ac:dyDescent="0.25">
      <c r="A20" s="1" t="s">
        <v>18</v>
      </c>
      <c r="B20" s="4">
        <f>359.1+17.96</f>
        <v>377.06</v>
      </c>
      <c r="C20" s="4">
        <f t="shared" si="0"/>
        <v>299.96013211767627</v>
      </c>
    </row>
    <row r="21" spans="1:9" x14ac:dyDescent="0.25">
      <c r="A21" s="1" t="s">
        <v>23</v>
      </c>
      <c r="B21" s="4">
        <v>35775</v>
      </c>
      <c r="C21" s="4">
        <f t="shared" si="0"/>
        <v>28459.85712223484</v>
      </c>
    </row>
    <row r="22" spans="1:9" x14ac:dyDescent="0.25">
      <c r="A22" s="1" t="s">
        <v>18</v>
      </c>
      <c r="B22" s="4">
        <f>715.5+35.78</f>
        <v>751.28</v>
      </c>
      <c r="C22" s="4">
        <f t="shared" si="0"/>
        <v>597.66097718497804</v>
      </c>
    </row>
    <row r="23" spans="1:9" x14ac:dyDescent="0.25">
      <c r="A23" s="1" t="s">
        <v>21</v>
      </c>
      <c r="B23" s="4">
        <v>123750</v>
      </c>
      <c r="C23" s="4">
        <f t="shared" si="0"/>
        <v>98446.046649240016</v>
      </c>
    </row>
    <row r="24" spans="1:9" x14ac:dyDescent="0.25">
      <c r="A24" s="1" t="s">
        <v>24</v>
      </c>
      <c r="B24" s="4">
        <f>2475+123.75</f>
        <v>2598.75</v>
      </c>
      <c r="C24" s="4">
        <f t="shared" si="0"/>
        <v>2067.3669796340405</v>
      </c>
    </row>
    <row r="25" spans="1:9" x14ac:dyDescent="0.25">
      <c r="C25" s="5"/>
      <c r="D25" s="27">
        <f>SUM(C8:C24)</f>
        <v>1349990.9559104722</v>
      </c>
    </row>
    <row r="27" spans="1:9" ht="15.75" thickBot="1" x14ac:dyDescent="0.3">
      <c r="A27" s="6" t="s">
        <v>16</v>
      </c>
      <c r="B27" s="7">
        <f>SUM(B8:B26)</f>
        <v>1696984.15</v>
      </c>
      <c r="C27" s="31" t="s">
        <v>36</v>
      </c>
      <c r="D27" s="4">
        <v>0</v>
      </c>
    </row>
    <row r="28" spans="1:9" ht="15.75" thickTop="1" x14ac:dyDescent="0.25"/>
    <row r="29" spans="1:9" ht="15.75" thickBot="1" x14ac:dyDescent="0.3">
      <c r="A29" s="20">
        <v>43083</v>
      </c>
      <c r="B29" s="7">
        <v>1696984.13</v>
      </c>
      <c r="D29" s="18">
        <f>D25-D27</f>
        <v>1349990.9559104722</v>
      </c>
      <c r="E29" s="2" t="s">
        <v>45</v>
      </c>
    </row>
    <row r="30" spans="1:9" ht="15.75" thickTop="1" x14ac:dyDescent="0.25"/>
    <row r="31" spans="1:9" x14ac:dyDescent="0.25">
      <c r="A31" s="6" t="s">
        <v>17</v>
      </c>
      <c r="B31" s="8">
        <f>+B27-B29</f>
        <v>2.0000000018626451E-2</v>
      </c>
      <c r="C31" s="26" t="s">
        <v>35</v>
      </c>
    </row>
    <row r="35" spans="1:3" x14ac:dyDescent="0.25">
      <c r="B35" s="2" t="s">
        <v>33</v>
      </c>
    </row>
    <row r="36" spans="1:3" x14ac:dyDescent="0.25">
      <c r="C36" s="2" t="s">
        <v>77</v>
      </c>
    </row>
    <row r="38" spans="1:3" x14ac:dyDescent="0.25">
      <c r="A38" s="3" t="s">
        <v>0</v>
      </c>
      <c r="B38" s="3" t="s">
        <v>1</v>
      </c>
      <c r="C38" s="2" t="s">
        <v>37</v>
      </c>
    </row>
    <row r="39" spans="1:3" x14ac:dyDescent="0.25">
      <c r="A39" s="1" t="s">
        <v>15</v>
      </c>
      <c r="B39" s="4">
        <v>433633</v>
      </c>
      <c r="C39" s="4">
        <f>B39*0.795523609286788</f>
        <v>344965.28926585772</v>
      </c>
    </row>
    <row r="40" spans="1:3" x14ac:dyDescent="0.25">
      <c r="A40" s="1" t="s">
        <v>11</v>
      </c>
      <c r="B40" s="4">
        <v>123146</v>
      </c>
      <c r="C40" s="4">
        <f t="shared" ref="C40:C55" si="1">B40*0.795523609286788</f>
        <v>97965.55038923079</v>
      </c>
    </row>
    <row r="41" spans="1:3" x14ac:dyDescent="0.25">
      <c r="A41" s="1" t="s">
        <v>12</v>
      </c>
      <c r="B41" s="4">
        <f>2462.92+123.15</f>
        <v>2586.0700000000002</v>
      </c>
      <c r="C41" s="4">
        <f t="shared" si="1"/>
        <v>2057.2797402682841</v>
      </c>
    </row>
    <row r="42" spans="1:3" x14ac:dyDescent="0.25">
      <c r="A42" s="1" t="s">
        <v>13</v>
      </c>
      <c r="B42" s="4">
        <v>82097</v>
      </c>
      <c r="C42" s="4">
        <f t="shared" si="1"/>
        <v>65310.101751617432</v>
      </c>
    </row>
    <row r="43" spans="1:3" x14ac:dyDescent="0.25">
      <c r="A43" s="1" t="s">
        <v>31</v>
      </c>
      <c r="B43" s="4">
        <v>656779</v>
      </c>
      <c r="C43" s="4">
        <f t="shared" si="1"/>
        <v>522483.20058376732</v>
      </c>
    </row>
    <row r="44" spans="1:3" x14ac:dyDescent="0.25">
      <c r="A44" s="30" t="s">
        <v>10</v>
      </c>
      <c r="B44" s="29">
        <v>0</v>
      </c>
      <c r="C44" s="4">
        <f t="shared" si="1"/>
        <v>0</v>
      </c>
    </row>
    <row r="45" spans="1:3" x14ac:dyDescent="0.25">
      <c r="A45" s="1" t="s">
        <v>14</v>
      </c>
      <c r="B45" s="4">
        <f>13110.24+655.52</f>
        <v>13765.76</v>
      </c>
      <c r="C45" s="4">
        <f t="shared" si="1"/>
        <v>10950.987079775696</v>
      </c>
    </row>
    <row r="46" spans="1:3" x14ac:dyDescent="0.25">
      <c r="A46" s="1" t="s">
        <v>19</v>
      </c>
      <c r="B46" s="4">
        <v>163695</v>
      </c>
      <c r="C46" s="4">
        <f t="shared" si="1"/>
        <v>130223.23722220077</v>
      </c>
    </row>
    <row r="47" spans="1:3" x14ac:dyDescent="0.25">
      <c r="A47" s="1" t="s">
        <v>20</v>
      </c>
      <c r="B47" s="4">
        <f>3273.9+163.7</f>
        <v>3437.6</v>
      </c>
      <c r="C47" s="4">
        <f t="shared" si="1"/>
        <v>2734.6919592842623</v>
      </c>
    </row>
    <row r="48" spans="1:3" x14ac:dyDescent="0.25">
      <c r="A48" s="1" t="s">
        <v>21</v>
      </c>
      <c r="B48" s="4">
        <v>37125</v>
      </c>
      <c r="C48" s="4">
        <f t="shared" si="1"/>
        <v>29533.813994772005</v>
      </c>
    </row>
    <row r="49" spans="1:5" x14ac:dyDescent="0.25">
      <c r="A49" s="1" t="s">
        <v>22</v>
      </c>
      <c r="B49" s="4">
        <f>742.5+37.13</f>
        <v>779.63</v>
      </c>
      <c r="C49" s="4">
        <f t="shared" si="1"/>
        <v>620.21407150825848</v>
      </c>
    </row>
    <row r="50" spans="1:5" x14ac:dyDescent="0.25">
      <c r="A50" s="1" t="s">
        <v>23</v>
      </c>
      <c r="B50" s="4">
        <v>17955</v>
      </c>
      <c r="C50" s="4">
        <f t="shared" si="1"/>
        <v>14283.626404744278</v>
      </c>
    </row>
    <row r="51" spans="1:5" x14ac:dyDescent="0.25">
      <c r="A51" s="1" t="s">
        <v>18</v>
      </c>
      <c r="B51" s="4">
        <f>359.1+17.96</f>
        <v>377.06</v>
      </c>
      <c r="C51" s="4">
        <f t="shared" si="1"/>
        <v>299.96013211767627</v>
      </c>
    </row>
    <row r="52" spans="1:5" x14ac:dyDescent="0.25">
      <c r="A52" s="1" t="s">
        <v>23</v>
      </c>
      <c r="B52" s="4">
        <v>35775</v>
      </c>
      <c r="C52" s="4">
        <f t="shared" si="1"/>
        <v>28459.85712223484</v>
      </c>
    </row>
    <row r="53" spans="1:5" x14ac:dyDescent="0.25">
      <c r="A53" s="1" t="s">
        <v>18</v>
      </c>
      <c r="B53" s="4">
        <f>715.5+35.78</f>
        <v>751.28</v>
      </c>
      <c r="C53" s="4">
        <f t="shared" si="1"/>
        <v>597.66097718497804</v>
      </c>
    </row>
    <row r="54" spans="1:5" x14ac:dyDescent="0.25">
      <c r="A54" s="1" t="s">
        <v>21</v>
      </c>
      <c r="B54" s="4">
        <v>123750</v>
      </c>
      <c r="C54" s="4">
        <f t="shared" si="1"/>
        <v>98446.046649240016</v>
      </c>
    </row>
    <row r="55" spans="1:5" x14ac:dyDescent="0.25">
      <c r="A55" s="1" t="s">
        <v>24</v>
      </c>
      <c r="B55" s="4">
        <f>2475+123.75</f>
        <v>2598.75</v>
      </c>
      <c r="C55" s="4">
        <f t="shared" si="1"/>
        <v>2067.3669796340405</v>
      </c>
    </row>
    <row r="56" spans="1:5" x14ac:dyDescent="0.25">
      <c r="C56" s="5"/>
      <c r="D56" s="27">
        <f>SUM(C39:C55)</f>
        <v>1350998.8843234384</v>
      </c>
    </row>
    <row r="58" spans="1:5" ht="15.75" thickBot="1" x14ac:dyDescent="0.3">
      <c r="A58" s="6" t="s">
        <v>16</v>
      </c>
      <c r="B58" s="7">
        <f>SUM(B39:B57)</f>
        <v>1698251.15</v>
      </c>
      <c r="C58" s="31" t="s">
        <v>36</v>
      </c>
      <c r="D58" s="4">
        <v>0</v>
      </c>
    </row>
    <row r="59" spans="1:5" ht="15.75" thickTop="1" x14ac:dyDescent="0.25"/>
    <row r="60" spans="1:5" ht="15.75" thickBot="1" x14ac:dyDescent="0.3">
      <c r="A60" s="20"/>
      <c r="B60" s="7"/>
      <c r="D60" s="18">
        <f>D56-D58</f>
        <v>1350998.8843234384</v>
      </c>
      <c r="E60" s="2" t="s">
        <v>45</v>
      </c>
    </row>
    <row r="61" spans="1:5" ht="15.75" thickTop="1" x14ac:dyDescent="0.25"/>
    <row r="62" spans="1:5" x14ac:dyDescent="0.25">
      <c r="A62" s="6"/>
      <c r="B62" s="8"/>
      <c r="C62" s="26"/>
    </row>
  </sheetData>
  <pageMargins left="0.7" right="0.7" top="0.75" bottom="0.75" header="0.3" footer="0.3"/>
  <pageSetup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N10"/>
  <sheetViews>
    <sheetView workbookViewId="0">
      <selection activeCell="C1" sqref="A1:C1048576"/>
    </sheetView>
  </sheetViews>
  <sheetFormatPr defaultRowHeight="12.75" x14ac:dyDescent="0.2"/>
  <cols>
    <col min="2" max="2" width="15.28515625" bestFit="1" customWidth="1"/>
    <col min="5" max="5" width="12.7109375" bestFit="1" customWidth="1"/>
    <col min="7" max="7" width="12" bestFit="1" customWidth="1"/>
    <col min="8" max="8" width="12.7109375" bestFit="1" customWidth="1"/>
  </cols>
  <sheetData>
    <row r="3" spans="1:14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89.25" x14ac:dyDescent="0.2">
      <c r="A6" s="9"/>
      <c r="B6" s="77" t="s">
        <v>93</v>
      </c>
      <c r="C6" s="81" t="s">
        <v>88</v>
      </c>
      <c r="D6" s="81" t="s">
        <v>94</v>
      </c>
      <c r="E6" s="81" t="s">
        <v>95</v>
      </c>
      <c r="F6" s="81" t="s">
        <v>96</v>
      </c>
      <c r="G6" s="81" t="s">
        <v>97</v>
      </c>
      <c r="H6" s="81" t="s">
        <v>91</v>
      </c>
      <c r="I6" s="9"/>
      <c r="J6" s="9"/>
      <c r="K6" s="9"/>
      <c r="L6" s="9"/>
      <c r="M6" s="9"/>
      <c r="N6" s="9"/>
    </row>
    <row r="7" spans="1:14" x14ac:dyDescent="0.2">
      <c r="A7" s="9" t="s">
        <v>81</v>
      </c>
      <c r="B7" s="10">
        <f>'Est Prop 12 2019'!G7</f>
        <v>4057.8729000000003</v>
      </c>
      <c r="C7" s="82">
        <f>B7/B10</f>
        <v>2.0324075174010482E-3</v>
      </c>
      <c r="D7" s="9">
        <v>9.5000000000000001E-2</v>
      </c>
      <c r="E7" s="10">
        <f>B7*(1+D7)</f>
        <v>4443.3708255000001</v>
      </c>
      <c r="F7" s="9">
        <f>E7/E10</f>
        <v>2.0499148168697549E-3</v>
      </c>
      <c r="G7" s="85">
        <f>F7*5000</f>
        <v>10.249574084348774</v>
      </c>
      <c r="H7" s="10">
        <f>E7+G7</f>
        <v>4453.6203995843489</v>
      </c>
      <c r="I7" s="9"/>
      <c r="J7" s="9"/>
      <c r="K7" s="9"/>
      <c r="L7" s="9"/>
      <c r="M7" s="9"/>
      <c r="N7" s="9"/>
    </row>
    <row r="8" spans="1:14" x14ac:dyDescent="0.2">
      <c r="A8" s="9" t="s">
        <v>51</v>
      </c>
      <c r="B8" s="166">
        <f>'Est Prop 12 2019'!G8</f>
        <v>1619091.3308999999</v>
      </c>
      <c r="C8" s="82">
        <f>B8/B10</f>
        <v>0.81093062138048433</v>
      </c>
      <c r="D8" s="9">
        <v>9.5000000000000001E-2</v>
      </c>
      <c r="E8" s="166">
        <f>B8*(1+D8)</f>
        <v>1772905.0073354999</v>
      </c>
      <c r="F8" s="9">
        <f>E8/E10</f>
        <v>0.81791603405746904</v>
      </c>
      <c r="G8" s="85">
        <f t="shared" ref="G8:G9" si="0">F8*5000</f>
        <v>4089.580170287345</v>
      </c>
      <c r="H8" s="10">
        <f t="shared" ref="H8:H9" si="1">E8+G8</f>
        <v>1776994.5875057871</v>
      </c>
      <c r="I8" s="9"/>
      <c r="J8" s="9"/>
      <c r="K8" s="9"/>
      <c r="L8" s="9"/>
      <c r="M8" s="9"/>
      <c r="N8" s="9"/>
    </row>
    <row r="9" spans="1:14" x14ac:dyDescent="0.2">
      <c r="A9" s="9" t="s">
        <v>82</v>
      </c>
      <c r="B9" s="10">
        <f>'Est Prop 12 2019'!G9</f>
        <v>373435.07630000002</v>
      </c>
      <c r="C9" s="82">
        <f>B9/B10</f>
        <v>0.18703697110211462</v>
      </c>
      <c r="D9" s="9">
        <v>4.4999999999999998E-2</v>
      </c>
      <c r="E9" s="10">
        <f>B9*(1+D9)</f>
        <v>390239.65473349998</v>
      </c>
      <c r="F9" s="9">
        <f>E9/E10</f>
        <v>0.18003405112566132</v>
      </c>
      <c r="G9" s="85">
        <f t="shared" si="0"/>
        <v>900.17025562830656</v>
      </c>
      <c r="H9" s="10">
        <f t="shared" si="1"/>
        <v>391139.82498912828</v>
      </c>
      <c r="I9" s="9"/>
      <c r="J9" s="9"/>
      <c r="K9" s="9"/>
      <c r="L9" s="9"/>
      <c r="M9" s="9"/>
      <c r="N9" s="9"/>
    </row>
    <row r="10" spans="1:14" x14ac:dyDescent="0.2">
      <c r="A10" s="9"/>
      <c r="B10" s="83">
        <f>SUM(B7:B9)</f>
        <v>1996584.2801000001</v>
      </c>
      <c r="C10" s="9"/>
      <c r="D10" s="9"/>
      <c r="E10" s="83">
        <f>SUM(E7:E9)</f>
        <v>2167588.0328944996</v>
      </c>
      <c r="F10" s="9"/>
      <c r="G10" s="9"/>
      <c r="H10" s="9"/>
      <c r="I10" s="82">
        <f>(E10-B10)/B10</f>
        <v>8.5648151444894016E-2</v>
      </c>
      <c r="J10" s="77" t="s">
        <v>98</v>
      </c>
      <c r="K10" s="9"/>
      <c r="L10" s="9"/>
      <c r="M10" s="9"/>
      <c r="N10" s="9"/>
    </row>
  </sheetData>
  <pageMargins left="0.7" right="0.7" top="0.75" bottom="0.75" header="0.3" footer="0.3"/>
  <pageSetup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B3:J29"/>
  <sheetViews>
    <sheetView workbookViewId="0">
      <selection activeCell="C1" sqref="A1:C1048576"/>
    </sheetView>
  </sheetViews>
  <sheetFormatPr defaultRowHeight="12.75" x14ac:dyDescent="0.2"/>
  <cols>
    <col min="3" max="3" width="35.85546875" bestFit="1" customWidth="1"/>
    <col min="4" max="4" width="10.140625" bestFit="1" customWidth="1"/>
    <col min="5" max="5" width="12.42578125" customWidth="1"/>
    <col min="6" max="6" width="13.7109375" customWidth="1"/>
    <col min="7" max="7" width="11.85546875" customWidth="1"/>
    <col min="8" max="8" width="12.85546875" customWidth="1"/>
    <col min="10" max="10" width="13.42578125" customWidth="1"/>
  </cols>
  <sheetData>
    <row r="3" spans="2:10" x14ac:dyDescent="0.2">
      <c r="E3" s="78" t="s">
        <v>70</v>
      </c>
    </row>
    <row r="5" spans="2:10" ht="60" x14ac:dyDescent="0.25">
      <c r="C5" s="12" t="s">
        <v>9</v>
      </c>
      <c r="D5" s="25" t="s">
        <v>49</v>
      </c>
      <c r="E5" s="25" t="s">
        <v>30</v>
      </c>
      <c r="F5" s="13" t="s">
        <v>25</v>
      </c>
      <c r="G5" s="13" t="s">
        <v>26</v>
      </c>
      <c r="H5" s="13" t="s">
        <v>27</v>
      </c>
      <c r="I5" s="13" t="s">
        <v>28</v>
      </c>
      <c r="J5" s="13" t="s">
        <v>29</v>
      </c>
    </row>
    <row r="6" spans="2:10" x14ac:dyDescent="0.2">
      <c r="C6" s="11" t="s">
        <v>4</v>
      </c>
      <c r="D6" s="16">
        <f>2030287+75000</f>
        <v>2105287</v>
      </c>
      <c r="E6" s="15">
        <v>0.16600000000000001</v>
      </c>
      <c r="F6" s="14">
        <f>+D6*E6</f>
        <v>349477.64199999999</v>
      </c>
      <c r="G6" s="15">
        <f>0.834*0.005</f>
        <v>4.1700000000000001E-3</v>
      </c>
      <c r="H6" s="14">
        <f>+D6*G6</f>
        <v>8779.0467900000003</v>
      </c>
      <c r="I6" s="15">
        <f>0.834*0.995</f>
        <v>0.82982999999999996</v>
      </c>
      <c r="J6" s="14">
        <f t="shared" ref="J6:J13" si="0">+I6*D6</f>
        <v>1747030.31121</v>
      </c>
    </row>
    <row r="7" spans="2:10" x14ac:dyDescent="0.2">
      <c r="C7" s="38" t="s">
        <v>10</v>
      </c>
      <c r="D7" s="39">
        <v>-60263</v>
      </c>
      <c r="E7" s="15">
        <v>6.6400000000000001E-2</v>
      </c>
      <c r="F7" s="14">
        <f>+D7*E7</f>
        <v>-4001.4632000000001</v>
      </c>
      <c r="G7" s="15">
        <v>4.1999999999999997E-3</v>
      </c>
      <c r="H7" s="14">
        <f>+D7*G7</f>
        <v>-253.10459999999998</v>
      </c>
      <c r="I7" s="15">
        <f>(1-E7-G7)</f>
        <v>0.9294</v>
      </c>
      <c r="J7" s="39">
        <f t="shared" si="0"/>
        <v>-56008.432200000003</v>
      </c>
    </row>
    <row r="8" spans="2:10" x14ac:dyDescent="0.2">
      <c r="C8" s="11" t="s">
        <v>5</v>
      </c>
      <c r="D8" s="16">
        <f>40900.48+2045.02</f>
        <v>42945.5</v>
      </c>
      <c r="E8" s="15">
        <v>0.16600000000000001</v>
      </c>
      <c r="F8" s="14">
        <f t="shared" ref="F8:F13" si="1">+D8*E8</f>
        <v>7128.9530000000004</v>
      </c>
      <c r="G8" s="15">
        <f>0.834*0.005</f>
        <v>4.1700000000000001E-3</v>
      </c>
      <c r="H8" s="14">
        <f t="shared" ref="H8:H13" si="2">+D8*G8</f>
        <v>179.08273500000001</v>
      </c>
      <c r="I8" s="15">
        <f>0.834*0.995</f>
        <v>0.82982999999999996</v>
      </c>
      <c r="J8" s="14">
        <f t="shared" si="0"/>
        <v>35637.464264999995</v>
      </c>
    </row>
    <row r="9" spans="2:10" x14ac:dyDescent="0.2">
      <c r="C9" s="11" t="s">
        <v>6</v>
      </c>
      <c r="D9" s="16">
        <v>766068</v>
      </c>
      <c r="E9" s="15">
        <v>9.6000000000000002E-2</v>
      </c>
      <c r="F9" s="14">
        <f t="shared" si="1"/>
        <v>73542.528000000006</v>
      </c>
      <c r="G9" s="15">
        <v>0</v>
      </c>
      <c r="H9" s="14">
        <f t="shared" si="2"/>
        <v>0</v>
      </c>
      <c r="I9" s="15">
        <v>0.90400000000000003</v>
      </c>
      <c r="J9" s="14">
        <f t="shared" si="0"/>
        <v>692525.47200000007</v>
      </c>
    </row>
    <row r="10" spans="2:10" x14ac:dyDescent="0.2">
      <c r="C10" s="11" t="s">
        <v>7</v>
      </c>
      <c r="D10" s="16">
        <f>15321.36+766.07</f>
        <v>16087.43</v>
      </c>
      <c r="E10" s="15">
        <v>9.6000000000000002E-2</v>
      </c>
      <c r="F10" s="14">
        <f t="shared" si="1"/>
        <v>1544.39328</v>
      </c>
      <c r="G10" s="15">
        <v>0</v>
      </c>
      <c r="H10" s="14">
        <f t="shared" si="2"/>
        <v>0</v>
      </c>
      <c r="I10" s="15">
        <v>0.90400000000000003</v>
      </c>
      <c r="J10" s="14">
        <f t="shared" si="0"/>
        <v>14543.03672</v>
      </c>
    </row>
    <row r="11" spans="2:10" x14ac:dyDescent="0.2">
      <c r="C11" s="40" t="s">
        <v>32</v>
      </c>
      <c r="D11" s="39">
        <v>-184062</v>
      </c>
      <c r="E11" s="24">
        <f>0.096*(3/5)</f>
        <v>5.7599999999999998E-2</v>
      </c>
      <c r="F11" s="14">
        <f t="shared" si="1"/>
        <v>-10601.9712</v>
      </c>
      <c r="G11" s="15">
        <v>0</v>
      </c>
      <c r="H11" s="14">
        <f t="shared" si="2"/>
        <v>0</v>
      </c>
      <c r="I11" s="15">
        <f>(1-E11-G11)</f>
        <v>0.94240000000000002</v>
      </c>
      <c r="J11" s="39">
        <f t="shared" si="0"/>
        <v>-173460.0288</v>
      </c>
    </row>
    <row r="12" spans="2:10" x14ac:dyDescent="0.2">
      <c r="B12" t="s">
        <v>157</v>
      </c>
      <c r="C12" s="40" t="s">
        <v>50</v>
      </c>
      <c r="D12" s="39">
        <v>-115599</v>
      </c>
      <c r="E12" s="24">
        <f>0.096*(3/5)</f>
        <v>5.7599999999999998E-2</v>
      </c>
      <c r="F12" s="14">
        <f t="shared" si="1"/>
        <v>-6658.5023999999994</v>
      </c>
      <c r="G12" s="15">
        <v>0</v>
      </c>
      <c r="H12" s="14">
        <f t="shared" si="2"/>
        <v>0</v>
      </c>
      <c r="I12" s="15">
        <f>(1-E12-G12)</f>
        <v>0.94240000000000002</v>
      </c>
      <c r="J12" s="39">
        <f t="shared" si="0"/>
        <v>-108940.4976</v>
      </c>
    </row>
    <row r="13" spans="2:10" x14ac:dyDescent="0.2">
      <c r="C13" s="11" t="s">
        <v>8</v>
      </c>
      <c r="D13" s="16">
        <v>182000</v>
      </c>
      <c r="E13" s="15">
        <v>1.5299999999999999E-2</v>
      </c>
      <c r="F13" s="14">
        <f t="shared" si="1"/>
        <v>2784.6</v>
      </c>
      <c r="G13" s="15">
        <v>0</v>
      </c>
      <c r="H13" s="14">
        <f t="shared" si="2"/>
        <v>0</v>
      </c>
      <c r="I13" s="15">
        <v>0.98470000000000002</v>
      </c>
      <c r="J13" s="14">
        <f t="shared" si="0"/>
        <v>179215.4</v>
      </c>
    </row>
    <row r="14" spans="2:10" ht="13.5" thickBot="1" x14ac:dyDescent="0.25">
      <c r="C14" s="11"/>
      <c r="D14" s="9"/>
      <c r="E14" s="9"/>
      <c r="F14" s="23">
        <f>SUM(F6:F13)</f>
        <v>413216.17947999993</v>
      </c>
      <c r="G14" s="11"/>
      <c r="H14" s="23">
        <f>SUM(H6:H13)</f>
        <v>8705.0249249999997</v>
      </c>
      <c r="I14" s="11"/>
      <c r="J14" s="168">
        <f>SUM(J6:J13)</f>
        <v>2330542.7255950007</v>
      </c>
    </row>
    <row r="15" spans="2:10" ht="13.5" thickTop="1" x14ac:dyDescent="0.2"/>
    <row r="17" spans="3:10" x14ac:dyDescent="0.2">
      <c r="C17" s="9"/>
      <c r="D17" s="9"/>
      <c r="E17" s="78" t="s">
        <v>71</v>
      </c>
      <c r="F17" s="9"/>
      <c r="G17" s="9"/>
      <c r="H17" s="9"/>
      <c r="I17" s="9"/>
      <c r="J17" s="9"/>
    </row>
    <row r="18" spans="3:10" x14ac:dyDescent="0.2">
      <c r="C18" s="9"/>
      <c r="D18" s="9"/>
      <c r="E18" s="9"/>
      <c r="F18" s="9"/>
      <c r="G18" s="9"/>
      <c r="H18" s="9"/>
      <c r="I18" s="9"/>
      <c r="J18" s="9"/>
    </row>
    <row r="19" spans="3:10" ht="60" x14ac:dyDescent="0.25">
      <c r="C19" s="12" t="s">
        <v>9</v>
      </c>
      <c r="D19" s="25" t="s">
        <v>49</v>
      </c>
      <c r="E19" s="25" t="s">
        <v>30</v>
      </c>
      <c r="F19" s="13" t="s">
        <v>25</v>
      </c>
      <c r="G19" s="13" t="s">
        <v>26</v>
      </c>
      <c r="H19" s="13" t="s">
        <v>27</v>
      </c>
      <c r="I19" s="13" t="s">
        <v>28</v>
      </c>
      <c r="J19" s="13" t="s">
        <v>29</v>
      </c>
    </row>
    <row r="20" spans="3:10" x14ac:dyDescent="0.2">
      <c r="C20" s="11" t="s">
        <v>4</v>
      </c>
      <c r="D20" s="16">
        <f>2030287+75000</f>
        <v>2105287</v>
      </c>
      <c r="E20" s="15">
        <v>0.16600000000000001</v>
      </c>
      <c r="F20" s="14">
        <f>+D20*E20</f>
        <v>349477.64199999999</v>
      </c>
      <c r="G20" s="15">
        <f>0.834*0.005</f>
        <v>4.1700000000000001E-3</v>
      </c>
      <c r="H20" s="14">
        <f>+D20*G20</f>
        <v>8779.0467900000003</v>
      </c>
      <c r="I20" s="15">
        <f>0.834*0.995</f>
        <v>0.82982999999999996</v>
      </c>
      <c r="J20" s="14">
        <f t="shared" ref="J20:J27" si="3">+I20*D20</f>
        <v>1747030.31121</v>
      </c>
    </row>
    <row r="21" spans="3:10" x14ac:dyDescent="0.2">
      <c r="C21" s="38" t="s">
        <v>10</v>
      </c>
      <c r="D21" s="39">
        <v>0</v>
      </c>
      <c r="E21" s="15">
        <v>6.6400000000000001E-2</v>
      </c>
      <c r="F21" s="14">
        <f>+D21*E21</f>
        <v>0</v>
      </c>
      <c r="G21" s="15">
        <v>4.1999999999999997E-3</v>
      </c>
      <c r="H21" s="14">
        <f>+D21*G21</f>
        <v>0</v>
      </c>
      <c r="I21" s="15">
        <f>(1-E21-G21)</f>
        <v>0.9294</v>
      </c>
      <c r="J21" s="39">
        <f t="shared" si="3"/>
        <v>0</v>
      </c>
    </row>
    <row r="22" spans="3:10" x14ac:dyDescent="0.2">
      <c r="C22" s="11" t="s">
        <v>5</v>
      </c>
      <c r="D22" s="16">
        <f>40900.48+2045.02</f>
        <v>42945.5</v>
      </c>
      <c r="E22" s="15">
        <v>0.16600000000000001</v>
      </c>
      <c r="F22" s="14">
        <f t="shared" ref="F22:F27" si="4">+D22*E22</f>
        <v>7128.9530000000004</v>
      </c>
      <c r="G22" s="15">
        <f>0.834*0.005</f>
        <v>4.1700000000000001E-3</v>
      </c>
      <c r="H22" s="14">
        <f t="shared" ref="H22:H27" si="5">+D22*G22</f>
        <v>179.08273500000001</v>
      </c>
      <c r="I22" s="15">
        <f>0.834*0.995</f>
        <v>0.82982999999999996</v>
      </c>
      <c r="J22" s="14">
        <f t="shared" si="3"/>
        <v>35637.464264999995</v>
      </c>
    </row>
    <row r="23" spans="3:10" x14ac:dyDescent="0.2">
      <c r="C23" s="11" t="s">
        <v>6</v>
      </c>
      <c r="D23" s="16">
        <v>766068</v>
      </c>
      <c r="E23" s="15">
        <v>9.6000000000000002E-2</v>
      </c>
      <c r="F23" s="14">
        <f t="shared" si="4"/>
        <v>73542.528000000006</v>
      </c>
      <c r="G23" s="15">
        <v>0</v>
      </c>
      <c r="H23" s="14">
        <f t="shared" si="5"/>
        <v>0</v>
      </c>
      <c r="I23" s="15">
        <v>0.90400000000000003</v>
      </c>
      <c r="J23" s="14">
        <f t="shared" si="3"/>
        <v>692525.47200000007</v>
      </c>
    </row>
    <row r="24" spans="3:10" x14ac:dyDescent="0.2">
      <c r="C24" s="11" t="s">
        <v>7</v>
      </c>
      <c r="D24" s="16">
        <f>15321.36+766.07</f>
        <v>16087.43</v>
      </c>
      <c r="E24" s="15">
        <v>9.6000000000000002E-2</v>
      </c>
      <c r="F24" s="14">
        <f t="shared" si="4"/>
        <v>1544.39328</v>
      </c>
      <c r="G24" s="15">
        <v>0</v>
      </c>
      <c r="H24" s="14">
        <f t="shared" si="5"/>
        <v>0</v>
      </c>
      <c r="I24" s="15">
        <v>0.90400000000000003</v>
      </c>
      <c r="J24" s="14">
        <f t="shared" si="3"/>
        <v>14543.03672</v>
      </c>
    </row>
    <row r="25" spans="3:10" x14ac:dyDescent="0.2">
      <c r="C25" s="40" t="s">
        <v>32</v>
      </c>
      <c r="D25" s="39">
        <v>0</v>
      </c>
      <c r="E25" s="24">
        <f>0.096*(3/5)</f>
        <v>5.7599999999999998E-2</v>
      </c>
      <c r="F25" s="14">
        <f t="shared" si="4"/>
        <v>0</v>
      </c>
      <c r="G25" s="15">
        <v>0</v>
      </c>
      <c r="H25" s="14">
        <f t="shared" si="5"/>
        <v>0</v>
      </c>
      <c r="I25" s="15">
        <f>(1-E25-G25)</f>
        <v>0.94240000000000002</v>
      </c>
      <c r="J25" s="39">
        <f t="shared" si="3"/>
        <v>0</v>
      </c>
    </row>
    <row r="26" spans="3:10" x14ac:dyDescent="0.2">
      <c r="C26" s="40" t="s">
        <v>50</v>
      </c>
      <c r="D26" s="39">
        <v>0</v>
      </c>
      <c r="E26" s="24">
        <f>0.096*(3/5)</f>
        <v>5.7599999999999998E-2</v>
      </c>
      <c r="F26" s="14">
        <f t="shared" si="4"/>
        <v>0</v>
      </c>
      <c r="G26" s="15">
        <v>0</v>
      </c>
      <c r="H26" s="14">
        <f t="shared" si="5"/>
        <v>0</v>
      </c>
      <c r="I26" s="15">
        <f>(1-E26-G26)</f>
        <v>0.94240000000000002</v>
      </c>
      <c r="J26" s="39">
        <f t="shared" si="3"/>
        <v>0</v>
      </c>
    </row>
    <row r="27" spans="3:10" x14ac:dyDescent="0.2">
      <c r="C27" s="11" t="s">
        <v>8</v>
      </c>
      <c r="D27" s="16">
        <v>182000</v>
      </c>
      <c r="E27" s="15">
        <v>1.5299999999999999E-2</v>
      </c>
      <c r="F27" s="14">
        <f t="shared" si="4"/>
        <v>2784.6</v>
      </c>
      <c r="G27" s="15">
        <v>0</v>
      </c>
      <c r="H27" s="14">
        <f t="shared" si="5"/>
        <v>0</v>
      </c>
      <c r="I27" s="15">
        <v>0.98470000000000002</v>
      </c>
      <c r="J27" s="14">
        <f t="shared" si="3"/>
        <v>179215.4</v>
      </c>
    </row>
    <row r="28" spans="3:10" ht="13.5" thickBot="1" x14ac:dyDescent="0.25">
      <c r="C28" s="11"/>
      <c r="D28" s="9"/>
      <c r="E28" s="9"/>
      <c r="F28" s="23">
        <f>SUM(F20:F27)</f>
        <v>434478.11627999996</v>
      </c>
      <c r="G28" s="11"/>
      <c r="H28" s="23">
        <f>SUM(H20:H27)</f>
        <v>8958.1295250000003</v>
      </c>
      <c r="I28" s="11"/>
      <c r="J28" s="23">
        <f>SUM(J20:J27)</f>
        <v>2668951.6841950002</v>
      </c>
    </row>
    <row r="29" spans="3:10" ht="13.5" thickTop="1" x14ac:dyDescent="0.2"/>
  </sheetData>
  <pageMargins left="0.7" right="0.7" top="0.75" bottom="0.75" header="0.3" footer="0.3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C8:L39"/>
  <sheetViews>
    <sheetView workbookViewId="0">
      <selection activeCell="C1" sqref="A1:C1048576"/>
    </sheetView>
  </sheetViews>
  <sheetFormatPr defaultRowHeight="12.75" x14ac:dyDescent="0.2"/>
  <cols>
    <col min="3" max="3" width="35.85546875" bestFit="1" customWidth="1"/>
    <col min="4" max="4" width="10.140625" bestFit="1" customWidth="1"/>
    <col min="5" max="6" width="11.42578125" customWidth="1"/>
    <col min="7" max="7" width="12.7109375" customWidth="1"/>
    <col min="8" max="8" width="12.140625" customWidth="1"/>
    <col min="9" max="10" width="11.5703125" customWidth="1"/>
    <col min="11" max="11" width="11.7109375" customWidth="1"/>
    <col min="12" max="12" width="13.140625" customWidth="1"/>
  </cols>
  <sheetData>
    <row r="8" spans="3:12" ht="15" x14ac:dyDescent="0.25">
      <c r="C8" s="11"/>
      <c r="D8" s="185" t="s">
        <v>107</v>
      </c>
      <c r="E8" s="185"/>
      <c r="F8" s="185"/>
      <c r="G8" s="92"/>
      <c r="H8" s="86"/>
      <c r="I8" s="37"/>
      <c r="J8" s="37"/>
      <c r="K8" s="87"/>
      <c r="L8" s="9"/>
    </row>
    <row r="9" spans="3:12" ht="15" x14ac:dyDescent="0.25">
      <c r="C9" s="17"/>
      <c r="D9" s="184" t="s">
        <v>111</v>
      </c>
      <c r="E9" s="184"/>
      <c r="F9" s="184"/>
      <c r="G9" s="17"/>
      <c r="H9" s="17"/>
      <c r="I9" s="17"/>
      <c r="J9" s="17"/>
      <c r="K9" s="9"/>
      <c r="L9" s="9"/>
    </row>
    <row r="10" spans="3:12" ht="60" x14ac:dyDescent="0.25">
      <c r="C10" s="12" t="s">
        <v>9</v>
      </c>
      <c r="D10" s="25" t="s">
        <v>108</v>
      </c>
      <c r="E10" s="13" t="s">
        <v>109</v>
      </c>
      <c r="F10" s="25" t="s">
        <v>110</v>
      </c>
      <c r="G10" s="25" t="s">
        <v>30</v>
      </c>
      <c r="H10" s="13" t="s">
        <v>25</v>
      </c>
      <c r="I10" s="13" t="s">
        <v>26</v>
      </c>
      <c r="J10" s="13" t="s">
        <v>27</v>
      </c>
      <c r="K10" s="13" t="s">
        <v>28</v>
      </c>
      <c r="L10" s="13" t="s">
        <v>29</v>
      </c>
    </row>
    <row r="11" spans="3:12" x14ac:dyDescent="0.2">
      <c r="C11" s="11" t="s">
        <v>4</v>
      </c>
      <c r="D11" s="88">
        <f>2030287+75000</f>
        <v>2105287</v>
      </c>
      <c r="E11" s="15">
        <f>(F11-D11)/D11</f>
        <v>2.0000123498601377E-2</v>
      </c>
      <c r="F11" s="16">
        <v>2147393</v>
      </c>
      <c r="G11" s="15">
        <v>0.16600000000000001</v>
      </c>
      <c r="H11" s="35">
        <f>+F11*G11</f>
        <v>356467.23800000001</v>
      </c>
      <c r="I11" s="15">
        <f>0.834*0.005</f>
        <v>4.1700000000000001E-3</v>
      </c>
      <c r="J11" s="14">
        <f>+F11*I11</f>
        <v>8954.6288100000002</v>
      </c>
      <c r="K11" s="15">
        <f>0.834*0.995</f>
        <v>0.82982999999999996</v>
      </c>
      <c r="L11" s="35">
        <f t="shared" ref="L11:L18" si="0">+K11*F11</f>
        <v>1781971.13319</v>
      </c>
    </row>
    <row r="12" spans="3:12" x14ac:dyDescent="0.2">
      <c r="C12" s="11" t="s">
        <v>10</v>
      </c>
      <c r="D12" s="88">
        <v>-60263</v>
      </c>
      <c r="E12" s="15">
        <f t="shared" ref="E12" si="1">(F12-D12)/D12</f>
        <v>0.36373894429417719</v>
      </c>
      <c r="F12" s="16">
        <v>-82183</v>
      </c>
      <c r="G12" s="15">
        <v>9.9599999999999994E-2</v>
      </c>
      <c r="H12" s="35">
        <f>+D12*G12</f>
        <v>-6002.1947999999993</v>
      </c>
      <c r="I12" s="15">
        <v>4.1999999999999997E-3</v>
      </c>
      <c r="J12" s="14">
        <f>+I12*D12</f>
        <v>-253.10459999999998</v>
      </c>
      <c r="K12" s="15">
        <f>(1-G12-I12)</f>
        <v>0.8962</v>
      </c>
      <c r="L12" s="35">
        <f t="shared" si="0"/>
        <v>-73652.404599999994</v>
      </c>
    </row>
    <row r="13" spans="3:12" x14ac:dyDescent="0.2">
      <c r="C13" s="11" t="s">
        <v>5</v>
      </c>
      <c r="D13" s="88">
        <f>40900.48+2045.02</f>
        <v>42945.5</v>
      </c>
      <c r="E13" s="15">
        <f>(F13-D13)/D13</f>
        <v>9.8708828631636891E-3</v>
      </c>
      <c r="F13" s="89">
        <f>41304.2+2065.21</f>
        <v>43369.409999999996</v>
      </c>
      <c r="G13" s="15">
        <v>0.16600000000000001</v>
      </c>
      <c r="H13" s="35">
        <f t="shared" ref="H13:H18" si="2">+F13*G13</f>
        <v>7199.3220599999995</v>
      </c>
      <c r="I13" s="15">
        <f>0.834*0.005</f>
        <v>4.1700000000000001E-3</v>
      </c>
      <c r="J13" s="14">
        <f t="shared" ref="J13:J18" si="3">+F13*I13</f>
        <v>180.85043969999998</v>
      </c>
      <c r="K13" s="15">
        <f>0.834*0.995</f>
        <v>0.82982999999999996</v>
      </c>
      <c r="L13" s="35">
        <f t="shared" si="0"/>
        <v>35989.237500299998</v>
      </c>
    </row>
    <row r="14" spans="3:12" x14ac:dyDescent="0.2">
      <c r="C14" s="11" t="s">
        <v>6</v>
      </c>
      <c r="D14" s="88">
        <v>766068</v>
      </c>
      <c r="E14" s="15">
        <f t="shared" ref="E14:E18" si="4">(F14-D14)/D14</f>
        <v>0</v>
      </c>
      <c r="F14" s="16">
        <v>766068</v>
      </c>
      <c r="G14" s="15">
        <v>9.6000000000000002E-2</v>
      </c>
      <c r="H14" s="35">
        <f t="shared" si="2"/>
        <v>73542.528000000006</v>
      </c>
      <c r="I14" s="15">
        <v>0</v>
      </c>
      <c r="J14" s="14">
        <f t="shared" si="3"/>
        <v>0</v>
      </c>
      <c r="K14" s="15">
        <v>0.90400000000000003</v>
      </c>
      <c r="L14" s="35">
        <f t="shared" si="0"/>
        <v>692525.47200000007</v>
      </c>
    </row>
    <row r="15" spans="3:12" x14ac:dyDescent="0.2">
      <c r="C15" s="11" t="s">
        <v>7</v>
      </c>
      <c r="D15" s="88">
        <f>15321.36+766.07</f>
        <v>16087.43</v>
      </c>
      <c r="E15" s="15">
        <f t="shared" si="4"/>
        <v>0</v>
      </c>
      <c r="F15" s="89">
        <f>15321.36+766.07</f>
        <v>16087.43</v>
      </c>
      <c r="G15" s="15">
        <v>9.6000000000000002E-2</v>
      </c>
      <c r="H15" s="35">
        <f t="shared" si="2"/>
        <v>1544.39328</v>
      </c>
      <c r="I15" s="15">
        <v>0</v>
      </c>
      <c r="J15" s="14">
        <f t="shared" si="3"/>
        <v>0</v>
      </c>
      <c r="K15" s="15">
        <v>0.90400000000000003</v>
      </c>
      <c r="L15" s="35">
        <f t="shared" si="0"/>
        <v>14543.03672</v>
      </c>
    </row>
    <row r="16" spans="3:12" x14ac:dyDescent="0.2">
      <c r="C16" s="90" t="s">
        <v>32</v>
      </c>
      <c r="D16" s="88">
        <v>-184062</v>
      </c>
      <c r="E16" s="15">
        <f t="shared" si="4"/>
        <v>0</v>
      </c>
      <c r="F16" s="91">
        <v>-184062</v>
      </c>
      <c r="G16" s="24">
        <v>7.6799999999999993E-2</v>
      </c>
      <c r="H16" s="35">
        <f t="shared" si="2"/>
        <v>-14135.961599999999</v>
      </c>
      <c r="I16" s="15">
        <v>0</v>
      </c>
      <c r="J16" s="14">
        <f t="shared" si="3"/>
        <v>0</v>
      </c>
      <c r="K16" s="15">
        <f>(1-G16-I16)</f>
        <v>0.92320000000000002</v>
      </c>
      <c r="L16" s="35">
        <f t="shared" si="0"/>
        <v>-169926.03839999999</v>
      </c>
    </row>
    <row r="17" spans="3:12" x14ac:dyDescent="0.2">
      <c r="C17" s="90" t="s">
        <v>50</v>
      </c>
      <c r="D17" s="88">
        <v>-115599</v>
      </c>
      <c r="E17" s="15">
        <f t="shared" si="4"/>
        <v>0</v>
      </c>
      <c r="F17" s="91">
        <v>-115599</v>
      </c>
      <c r="G17" s="24">
        <v>7.6799999999999993E-2</v>
      </c>
      <c r="H17" s="35">
        <f t="shared" si="2"/>
        <v>-8878.0031999999992</v>
      </c>
      <c r="I17" s="15">
        <v>0</v>
      </c>
      <c r="J17" s="14">
        <f t="shared" si="3"/>
        <v>0</v>
      </c>
      <c r="K17" s="15">
        <f>(1-G17-I17)</f>
        <v>0.92320000000000002</v>
      </c>
      <c r="L17" s="35">
        <f t="shared" si="0"/>
        <v>-106720.99680000001</v>
      </c>
    </row>
    <row r="18" spans="3:12" x14ac:dyDescent="0.2">
      <c r="C18" s="11" t="s">
        <v>8</v>
      </c>
      <c r="D18" s="88">
        <v>182000</v>
      </c>
      <c r="E18" s="15">
        <f t="shared" si="4"/>
        <v>0</v>
      </c>
      <c r="F18" s="16">
        <v>182000</v>
      </c>
      <c r="G18" s="15">
        <v>1.5299999999999999E-2</v>
      </c>
      <c r="H18" s="35">
        <f t="shared" si="2"/>
        <v>2784.6</v>
      </c>
      <c r="I18" s="15">
        <v>0</v>
      </c>
      <c r="J18" s="14">
        <f t="shared" si="3"/>
        <v>0</v>
      </c>
      <c r="K18" s="15">
        <v>0.98470000000000002</v>
      </c>
      <c r="L18" s="35">
        <f t="shared" si="0"/>
        <v>179215.4</v>
      </c>
    </row>
    <row r="19" spans="3:12" ht="13.5" thickBot="1" x14ac:dyDescent="0.25">
      <c r="C19" s="11"/>
      <c r="D19" s="14"/>
      <c r="E19" s="11"/>
      <c r="F19" s="9"/>
      <c r="G19" s="9"/>
      <c r="H19" s="36">
        <f>SUM(H11:H18)</f>
        <v>412521.92174000002</v>
      </c>
      <c r="I19" s="11"/>
      <c r="J19" s="36">
        <f>SUM(J11:J18)</f>
        <v>8882.3746496999993</v>
      </c>
      <c r="K19" s="11"/>
      <c r="L19" s="169">
        <f>SUM(L11:L18)</f>
        <v>2353944.8396103005</v>
      </c>
    </row>
    <row r="20" spans="3:12" ht="13.5" thickTop="1" x14ac:dyDescent="0.2"/>
    <row r="27" spans="3:12" ht="15" x14ac:dyDescent="0.25">
      <c r="C27" s="11"/>
      <c r="D27" s="185" t="s">
        <v>107</v>
      </c>
      <c r="E27" s="185"/>
      <c r="F27" s="185"/>
      <c r="G27" s="92"/>
      <c r="H27" s="86"/>
      <c r="I27" s="37"/>
      <c r="J27" s="37"/>
      <c r="K27" s="87"/>
      <c r="L27" s="9"/>
    </row>
    <row r="28" spans="3:12" ht="15" x14ac:dyDescent="0.25">
      <c r="C28" s="17"/>
      <c r="D28" s="184" t="s">
        <v>112</v>
      </c>
      <c r="E28" s="184"/>
      <c r="F28" s="184"/>
      <c r="G28" s="17"/>
      <c r="H28" s="17"/>
      <c r="I28" s="17"/>
      <c r="J28" s="17"/>
      <c r="K28" s="9"/>
      <c r="L28" s="9"/>
    </row>
    <row r="29" spans="3:12" ht="60" x14ac:dyDescent="0.25">
      <c r="C29" s="12" t="s">
        <v>9</v>
      </c>
      <c r="D29" s="25" t="s">
        <v>108</v>
      </c>
      <c r="E29" s="13" t="s">
        <v>109</v>
      </c>
      <c r="F29" s="25" t="s">
        <v>110</v>
      </c>
      <c r="G29" s="25" t="s">
        <v>30</v>
      </c>
      <c r="H29" s="13" t="s">
        <v>25</v>
      </c>
      <c r="I29" s="13" t="s">
        <v>26</v>
      </c>
      <c r="J29" s="13" t="s">
        <v>27</v>
      </c>
      <c r="K29" s="13" t="s">
        <v>28</v>
      </c>
      <c r="L29" s="13" t="s">
        <v>29</v>
      </c>
    </row>
    <row r="30" spans="3:12" x14ac:dyDescent="0.2">
      <c r="C30" s="11" t="s">
        <v>4</v>
      </c>
      <c r="D30" s="88">
        <f>2030287+75000</f>
        <v>2105287</v>
      </c>
      <c r="E30" s="15">
        <f>(F30-D30)/D30</f>
        <v>2.0000123498601377E-2</v>
      </c>
      <c r="F30" s="16">
        <v>2147393</v>
      </c>
      <c r="G30" s="15">
        <v>0.16600000000000001</v>
      </c>
      <c r="H30" s="35">
        <f>+F30*G30</f>
        <v>356467.23800000001</v>
      </c>
      <c r="I30" s="15">
        <f>0.834*0.005</f>
        <v>4.1700000000000001E-3</v>
      </c>
      <c r="J30" s="14">
        <f>+F30*I30</f>
        <v>8954.6288100000002</v>
      </c>
      <c r="K30" s="15">
        <f>0.834*0.995</f>
        <v>0.82982999999999996</v>
      </c>
      <c r="L30" s="35">
        <f t="shared" ref="L30:L37" si="5">+K30*F30</f>
        <v>1781971.13319</v>
      </c>
    </row>
    <row r="31" spans="3:12" x14ac:dyDescent="0.2">
      <c r="C31" s="11" t="s">
        <v>10</v>
      </c>
      <c r="D31" s="88">
        <v>-60263</v>
      </c>
      <c r="E31" s="15">
        <f t="shared" ref="E31" si="6">(F31-D31)/D31</f>
        <v>0.36373894429417719</v>
      </c>
      <c r="F31" s="16">
        <v>-82183</v>
      </c>
      <c r="G31" s="15">
        <v>9.9599999999999994E-2</v>
      </c>
      <c r="H31" s="35">
        <f>+D31*G31</f>
        <v>-6002.1947999999993</v>
      </c>
      <c r="I31" s="15">
        <v>4.1999999999999997E-3</v>
      </c>
      <c r="J31" s="14">
        <f>+I31*D31</f>
        <v>-253.10459999999998</v>
      </c>
      <c r="K31" s="15">
        <f>(1-G31-I31)</f>
        <v>0.8962</v>
      </c>
      <c r="L31" s="35">
        <f t="shared" si="5"/>
        <v>-73652.404599999994</v>
      </c>
    </row>
    <row r="32" spans="3:12" x14ac:dyDescent="0.2">
      <c r="C32" s="11" t="s">
        <v>5</v>
      </c>
      <c r="D32" s="88">
        <f>40900.48+2045.02</f>
        <v>42945.5</v>
      </c>
      <c r="E32" s="15">
        <f>(F32-D32)/D32</f>
        <v>9.8708828631636891E-3</v>
      </c>
      <c r="F32" s="89">
        <f>41304.2+2065.21</f>
        <v>43369.409999999996</v>
      </c>
      <c r="G32" s="15">
        <v>0.16600000000000001</v>
      </c>
      <c r="H32" s="35">
        <f t="shared" ref="H32:H37" si="7">+F32*G32</f>
        <v>7199.3220599999995</v>
      </c>
      <c r="I32" s="15">
        <f>0.834*0.005</f>
        <v>4.1700000000000001E-3</v>
      </c>
      <c r="J32" s="14">
        <f t="shared" ref="J32:J37" si="8">+F32*I32</f>
        <v>180.85043969999998</v>
      </c>
      <c r="K32" s="15">
        <f>0.834*0.995</f>
        <v>0.82982999999999996</v>
      </c>
      <c r="L32" s="35">
        <f t="shared" si="5"/>
        <v>35989.237500299998</v>
      </c>
    </row>
    <row r="33" spans="3:12" x14ac:dyDescent="0.2">
      <c r="C33" s="11" t="s">
        <v>6</v>
      </c>
      <c r="D33" s="88">
        <v>766068</v>
      </c>
      <c r="E33" s="15">
        <f t="shared" ref="E33:E37" si="9">(F33-D33)/D33</f>
        <v>0</v>
      </c>
      <c r="F33" s="16">
        <v>766068</v>
      </c>
      <c r="G33" s="15">
        <v>9.6000000000000002E-2</v>
      </c>
      <c r="H33" s="35">
        <f t="shared" si="7"/>
        <v>73542.528000000006</v>
      </c>
      <c r="I33" s="15">
        <v>0</v>
      </c>
      <c r="J33" s="14">
        <f t="shared" si="8"/>
        <v>0</v>
      </c>
      <c r="K33" s="15">
        <v>0.90400000000000003</v>
      </c>
      <c r="L33" s="35">
        <f t="shared" si="5"/>
        <v>692525.47200000007</v>
      </c>
    </row>
    <row r="34" spans="3:12" x14ac:dyDescent="0.2">
      <c r="C34" s="11" t="s">
        <v>7</v>
      </c>
      <c r="D34" s="88">
        <f>15321.36+766.07</f>
        <v>16087.43</v>
      </c>
      <c r="E34" s="15">
        <f t="shared" si="9"/>
        <v>0</v>
      </c>
      <c r="F34" s="89">
        <f>15321.36+766.07</f>
        <v>16087.43</v>
      </c>
      <c r="G34" s="15">
        <v>9.6000000000000002E-2</v>
      </c>
      <c r="H34" s="35">
        <f t="shared" si="7"/>
        <v>1544.39328</v>
      </c>
      <c r="I34" s="15">
        <v>0</v>
      </c>
      <c r="J34" s="14">
        <f t="shared" si="8"/>
        <v>0</v>
      </c>
      <c r="K34" s="15">
        <v>0.90400000000000003</v>
      </c>
      <c r="L34" s="35">
        <f t="shared" si="5"/>
        <v>14543.03672</v>
      </c>
    </row>
    <row r="35" spans="3:12" x14ac:dyDescent="0.2">
      <c r="C35" s="90" t="s">
        <v>32</v>
      </c>
      <c r="D35" s="88">
        <v>-184062</v>
      </c>
      <c r="E35" s="15">
        <f t="shared" si="9"/>
        <v>-1</v>
      </c>
      <c r="F35" s="91">
        <v>0</v>
      </c>
      <c r="G35" s="24">
        <v>7.6799999999999993E-2</v>
      </c>
      <c r="H35" s="35">
        <f t="shared" si="7"/>
        <v>0</v>
      </c>
      <c r="I35" s="15">
        <v>0</v>
      </c>
      <c r="J35" s="14">
        <f t="shared" si="8"/>
        <v>0</v>
      </c>
      <c r="K35" s="15">
        <f>(1-G35-I35)</f>
        <v>0.92320000000000002</v>
      </c>
      <c r="L35" s="35">
        <f t="shared" si="5"/>
        <v>0</v>
      </c>
    </row>
    <row r="36" spans="3:12" x14ac:dyDescent="0.2">
      <c r="C36" s="90" t="s">
        <v>50</v>
      </c>
      <c r="D36" s="88">
        <v>-115599</v>
      </c>
      <c r="E36" s="15">
        <f t="shared" si="9"/>
        <v>-1</v>
      </c>
      <c r="F36" s="91">
        <v>0</v>
      </c>
      <c r="G36" s="24">
        <v>7.6799999999999993E-2</v>
      </c>
      <c r="H36" s="35">
        <f t="shared" si="7"/>
        <v>0</v>
      </c>
      <c r="I36" s="15">
        <v>0</v>
      </c>
      <c r="J36" s="14">
        <f t="shared" si="8"/>
        <v>0</v>
      </c>
      <c r="K36" s="15">
        <f>(1-G36-I36)</f>
        <v>0.92320000000000002</v>
      </c>
      <c r="L36" s="35">
        <f t="shared" si="5"/>
        <v>0</v>
      </c>
    </row>
    <row r="37" spans="3:12" x14ac:dyDescent="0.2">
      <c r="C37" s="11" t="s">
        <v>8</v>
      </c>
      <c r="D37" s="88">
        <v>182000</v>
      </c>
      <c r="E37" s="15">
        <f t="shared" si="9"/>
        <v>0</v>
      </c>
      <c r="F37" s="16">
        <v>182000</v>
      </c>
      <c r="G37" s="15">
        <v>1.5299999999999999E-2</v>
      </c>
      <c r="H37" s="35">
        <f t="shared" si="7"/>
        <v>2784.6</v>
      </c>
      <c r="I37" s="15">
        <v>0</v>
      </c>
      <c r="J37" s="14">
        <f t="shared" si="8"/>
        <v>0</v>
      </c>
      <c r="K37" s="15">
        <v>0.98470000000000002</v>
      </c>
      <c r="L37" s="35">
        <f t="shared" si="5"/>
        <v>179215.4</v>
      </c>
    </row>
    <row r="38" spans="3:12" ht="13.5" thickBot="1" x14ac:dyDescent="0.25">
      <c r="C38" s="11"/>
      <c r="D38" s="14"/>
      <c r="E38" s="11"/>
      <c r="F38" s="9"/>
      <c r="G38" s="9"/>
      <c r="H38" s="36">
        <f>SUM(H30:H37)</f>
        <v>435535.88653999998</v>
      </c>
      <c r="I38" s="11"/>
      <c r="J38" s="36">
        <f>SUM(J30:J37)</f>
        <v>8882.3746496999993</v>
      </c>
      <c r="K38" s="11"/>
      <c r="L38" s="36">
        <f>SUM(L30:L37)</f>
        <v>2630591.8748103003</v>
      </c>
    </row>
    <row r="39" spans="3:12" ht="13.5" thickTop="1" x14ac:dyDescent="0.2"/>
  </sheetData>
  <mergeCells count="4">
    <mergeCell ref="D9:F9"/>
    <mergeCell ref="D28:F28"/>
    <mergeCell ref="D27:F27"/>
    <mergeCell ref="D8:F8"/>
  </mergeCells>
  <pageMargins left="0.7" right="0.7" top="0.75" bottom="0.75" header="0.3" footer="0.3"/>
  <pageSetup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2019-10-07T07:00:00+00:00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6787F9E-929C-473A-B896-057E4E669C49}"/>
</file>

<file path=customXml/itemProps2.xml><?xml version="1.0" encoding="utf-8"?>
<ds:datastoreItem xmlns:ds="http://schemas.openxmlformats.org/officeDocument/2006/customXml" ds:itemID="{668638B6-B84C-4ECE-9BFC-0D7F466F8B14}"/>
</file>

<file path=customXml/itemProps3.xml><?xml version="1.0" encoding="utf-8"?>
<ds:datastoreItem xmlns:ds="http://schemas.openxmlformats.org/officeDocument/2006/customXml" ds:itemID="{0EC13AF7-DDC6-4261-BCEC-E3B67DD49E16}"/>
</file>

<file path=customXml/itemProps4.xml><?xml version="1.0" encoding="utf-8"?>
<ds:datastoreItem xmlns:ds="http://schemas.openxmlformats.org/officeDocument/2006/customXml" ds:itemID="{60F60617-D9C8-43DD-9EF9-949FC17108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IA-1</vt:lpstr>
      <vt:lpstr>IA-2</vt:lpstr>
      <vt:lpstr>Prop worksheet for calndr yr</vt:lpstr>
      <vt:lpstr>Est Prop 12 2019</vt:lpstr>
      <vt:lpstr>Prop 12 2018 Invoice</vt:lpstr>
      <vt:lpstr>Prop 12 2017 Invoice</vt:lpstr>
      <vt:lpstr>Est Prop 12 2020</vt:lpstr>
      <vt:lpstr>2018 GL Actual</vt:lpstr>
      <vt:lpstr>2019 GL Est</vt:lpstr>
      <vt:lpstr>2020 GL Est</vt:lpstr>
      <vt:lpstr>2018 D O actual</vt:lpstr>
      <vt:lpstr>2019 D O actual</vt:lpstr>
      <vt:lpstr>2020 D O est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bbb3786</dc:creator>
  <cp:lastModifiedBy>Owner</cp:lastModifiedBy>
  <cp:lastPrinted>2019-08-25T19:52:03Z</cp:lastPrinted>
  <dcterms:created xsi:type="dcterms:W3CDTF">2015-03-23T22:45:41Z</dcterms:created>
  <dcterms:modified xsi:type="dcterms:W3CDTF">2019-09-23T22:12:57Z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